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4bd8eba5a5bfb0/Desktop/proyecto nuevo/"/>
    </mc:Choice>
  </mc:AlternateContent>
  <xr:revisionPtr revIDLastSave="71234" documentId="8_{075CFC43-24B6-49CE-AC96-53C6B94494BC}" xr6:coauthVersionLast="47" xr6:coauthVersionMax="47" xr10:uidLastSave="{5AC34AD1-7E25-4CB4-B65B-73A24569B700}"/>
  <bookViews>
    <workbookView xWindow="28680" yWindow="-120" windowWidth="29040" windowHeight="15720" xr2:uid="{F2F78474-B92F-4B6B-8CED-8ADB80DA9E97}"/>
  </bookViews>
  <sheets>
    <sheet name="RESUMEN" sheetId="1" r:id="rId1"/>
    <sheet name="ABASTO ANTONY" sheetId="126" r:id="rId2"/>
    <sheet name="ABASTO DON MARCOS" sheetId="270" r:id="rId3"/>
    <sheet name="ABASTO GLORIMAR" sheetId="121" r:id="rId4"/>
    <sheet name="ABASTO JAVER" sheetId="242" r:id="rId5"/>
    <sheet name="ABASTO KLEIDI" sheetId="111" r:id="rId6"/>
    <sheet name="ABASTO LAUDA" sheetId="165" r:id="rId7"/>
    <sheet name="ABASTO LAS CUADRAS" sheetId="179" r:id="rId8"/>
    <sheet name="ABASTO LAS MORENAS" sheetId="120" r:id="rId9"/>
    <sheet name="ABASTO LAS PILAS" sheetId="166" r:id="rId10"/>
    <sheet name="ABASTO LUZ VALERO" sheetId="341" r:id="rId11"/>
    <sheet name="ABASTO LUZMAR" sheetId="197" r:id="rId12"/>
    <sheet name="ABASTO MIS ANGELES" sheetId="304" r:id="rId13"/>
    <sheet name="ABASTO VANESA" sheetId="128" r:id="rId14"/>
    <sheet name="ABASTO Y CHARCUTERIA WILMARY" sheetId="345" r:id="rId15"/>
    <sheet name="ABASTO YUDERLI" sheetId="205" r:id="rId16"/>
    <sheet name="ABASTO ZORANNY" sheetId="103" r:id="rId17"/>
    <sheet name="ALAS COMPAS" sheetId="177" r:id="rId18"/>
    <sheet name="ALVARO RINCON" sheetId="224" r:id="rId19"/>
    <sheet name="ALEJANDRA NIETO" sheetId="110" r:id="rId20"/>
    <sheet name="AMALUBE" sheetId="219" r:id="rId21"/>
    <sheet name="AMEZQUITA BODEGON" sheetId="376" r:id="rId22"/>
    <sheet name="ANDERZON POLAR" sheetId="332" r:id="rId23"/>
    <sheet name="ANDERZON RODRIGUEZ" sheetId="122" r:id="rId24"/>
    <sheet name="ANDREA URDANETA" sheetId="306" r:id="rId25"/>
    <sheet name="APRICOT" sheetId="235" r:id="rId26"/>
    <sheet name="AURA VIVAS" sheetId="331" r:id="rId27"/>
    <sheet name="AVENTURA INFLABLE" sheetId="383" r:id="rId28"/>
    <sheet name="BARBERIA SPARTA" sheetId="391" r:id="rId29"/>
    <sheet name="BAKAI MACHIRI" sheetId="155" r:id="rId30"/>
    <sheet name="BELKIS MONSALVE" sheetId="199" r:id="rId31"/>
    <sheet name="BOD ALTOS PARAMILLO" sheetId="140" r:id="rId32"/>
    <sheet name="BOD MARBELYS ROA" sheetId="81" r:id="rId33"/>
    <sheet name="BOD SOLMAR PINTO" sheetId="99" r:id="rId34"/>
    <sheet name="BOD TOICO CLEIBER" sheetId="72" r:id="rId35"/>
    <sheet name="BOD TOICO OSMAR" sheetId="73" r:id="rId36"/>
    <sheet name="BODEGA DE ORO" sheetId="162" r:id="rId37"/>
    <sheet name="BODEGA DE CECI" sheetId="273" r:id="rId38"/>
    <sheet name="BODEGA EL ARBOLITO" sheetId="300" r:id="rId39"/>
    <sheet name="BODEGA EL GATO" sheetId="328" r:id="rId40"/>
    <sheet name="BODEGA EL SOL" sheetId="279" r:id="rId41"/>
    <sheet name="BODEGA EXPRESS" sheetId="129" r:id="rId42"/>
    <sheet name="BODEGA EL GUARO" sheetId="360" r:id="rId43"/>
    <sheet name="BODEGA DONITA" sheetId="192" r:id="rId44"/>
    <sheet name="BODEGA ESCALANTE" sheetId="256" r:id="rId45"/>
    <sheet name="BODEGA LOS CHACAROS" sheetId="112" r:id="rId46"/>
    <sheet name="BODEGA MARIA" sheetId="333" r:id="rId47"/>
    <sheet name="BODEGA MARITZA" sheetId="246" r:id="rId48"/>
    <sheet name="BODEGA MILAGRO" sheetId="148" r:id="rId49"/>
    <sheet name="BODEGA MILAGROS" sheetId="186" r:id="rId50"/>
    <sheet name="BODEGA NANCYTA" sheetId="137" r:id="rId51"/>
    <sheet name="BODEGA NAZARENO" sheetId="78" r:id="rId52"/>
    <sheet name="BODEGA Y PAPELERIA REY" sheetId="190" r:id="rId53"/>
    <sheet name="BODEGON AGUA LINDA" sheetId="136" r:id="rId54"/>
    <sheet name="BODEGON ANDREA'S" sheetId="156" r:id="rId55"/>
    <sheet name="BODEGON DE ELIDA" sheetId="378" r:id="rId56"/>
    <sheet name="BODEGON DE OLGA" sheetId="183" r:id="rId57"/>
    <sheet name="BODEGON D KSA" sheetId="212" r:id="rId58"/>
    <sheet name="BODEGON D Y JD" sheetId="264" r:id="rId59"/>
    <sheet name="BODEGON EL COMPADRE" sheetId="252" r:id="rId60"/>
    <sheet name="BODEGON ENDER GUERRERO" sheetId="330" r:id="rId61"/>
    <sheet name="BODEGON ENZO" sheetId="75" r:id="rId62"/>
    <sheet name="BODEGON EXPRESS" sheetId="84" r:id="rId63"/>
    <sheet name="BODEGON EXPRESS LA ESMERALDA" sheetId="308" r:id="rId64"/>
    <sheet name="BODEGON EXPRESS MARI" sheetId="150" r:id="rId65"/>
    <sheet name="BODEGON EXPRESS GREGORI" sheetId="98" r:id="rId66"/>
    <sheet name="BODEGON ESQUINA PARAMILLO" sheetId="76" r:id="rId67"/>
    <sheet name="BODEGON GARCIAS" sheetId="254" r:id="rId68"/>
    <sheet name="BODEGON JUANCHO" sheetId="113" r:id="rId69"/>
    <sheet name="BODEGON KATERIN" sheetId="213" r:id="rId70"/>
    <sheet name="BODEGON LA ESQUINA DE LUIS" sheetId="189" r:id="rId71"/>
    <sheet name="BODEGON LINARES" sheetId="151" r:id="rId72"/>
    <sheet name="BODEGON LOS NONOS" sheetId="154" r:id="rId73"/>
    <sheet name="BODEGON MACHIRI" sheetId="130" r:id="rId74"/>
    <sheet name="BODEGON MKM" sheetId="302" r:id="rId75"/>
    <sheet name="BODEGON SEVILLANA" sheetId="90" r:id="rId76"/>
    <sheet name="BODEGON TERESITA" sheetId="180" r:id="rId77"/>
    <sheet name="BODEGON UNICO" sheetId="85" r:id="rId78"/>
    <sheet name="CAFE RACER" sheetId="276" r:id="rId79"/>
    <sheet name="CAMPO MARKET" sheetId="145" r:id="rId80"/>
    <sheet name="CARNICERIA 2009" sheetId="173" r:id="rId81"/>
    <sheet name="CARNICERIA KARINA" sheetId="127" r:id="rId82"/>
    <sheet name="CARNICERIA MARTA" sheetId="266" r:id="rId83"/>
    <sheet name="CAROL KARDEIGON" sheetId="94" r:id="rId84"/>
    <sheet name="CASA EXPRESS" sheetId="133" r:id="rId85"/>
    <sheet name="CCP PARAMILLO" sheetId="228" r:id="rId86"/>
    <sheet name="CECILIA EMPANADAS" sheetId="167" r:id="rId87"/>
    <sheet name="CEMUCA" sheetId="347" r:id="rId88"/>
    <sheet name="CHARCUTERIA LA TOICA" sheetId="149" r:id="rId89"/>
    <sheet name="CHACARO CREAM" sheetId="372" r:id="rId90"/>
    <sheet name="COLEGIO SANTISIMA TRINIDAD" sheetId="260" r:id="rId91"/>
    <sheet name="COLEGIO SANTO CRISTO" sheetId="363" r:id="rId92"/>
    <sheet name="COMERCIALIZADORA ALFONSO PEREZ" sheetId="293" r:id="rId93"/>
    <sheet name="COMERCIALIZADORA FLOREZ" sheetId="267" r:id="rId94"/>
    <sheet name="COMERCIALIZADORA JEALKA" sheetId="117" r:id="rId95"/>
    <sheet name="COMERCIALIZADORA MULTIMASS" sheetId="74" r:id="rId96"/>
    <sheet name="COMERCIALIZADORA ORZY RUZY" sheetId="274" r:id="rId97"/>
    <sheet name="COMERCIALIZADORA YUDI" sheetId="104" r:id="rId98"/>
    <sheet name="COMPINCHOS" sheetId="292" r:id="rId99"/>
    <sheet name="COPAS DE PACO" sheetId="187" r:id="rId100"/>
    <sheet name="CONSUELO MENDOZA" sheetId="216" r:id="rId101"/>
    <sheet name="CREACIONES YAKY" sheetId="236" r:id="rId102"/>
    <sheet name="DANIEL VERSIONES DURAN" sheetId="322" r:id="rId103"/>
    <sheet name="DARIANA ESCALANTE" sheetId="287" r:id="rId104"/>
    <sheet name="DAVID DIAZ" sheetId="358" r:id="rId105"/>
    <sheet name="DAVID MORALES" sheetId="68" r:id="rId106"/>
    <sheet name="MINIABASTO SANTO CRISTO" sheetId="239" r:id="rId107"/>
    <sheet name="DE PANA" sheetId="257" r:id="rId108"/>
    <sheet name="DELMIRA RAMIREZ" sheetId="320" r:id="rId109"/>
    <sheet name="DISTRIBUIDO DE DOS" sheetId="339" r:id="rId110"/>
    <sheet name="DISTRIBUIDORA LUCHENI" sheetId="277" r:id="rId111"/>
    <sheet name="DISTRIPOLLO LOS ANDES" sheetId="319" r:id="rId112"/>
    <sheet name="DON HECTOR" sheetId="240" r:id="rId113"/>
    <sheet name="DON LEO" sheetId="124" r:id="rId114"/>
    <sheet name="DONDE QUIERA FOOD HOUSE" sheetId="231" r:id="rId115"/>
    <sheet name="DONDE MIGUEL" sheetId="384" r:id="rId116"/>
    <sheet name="DONDE YENNY" sheetId="253" r:id="rId117"/>
    <sheet name="DORIS CAICEDO" sheetId="303" r:id="rId118"/>
    <sheet name="DORIS MOGOLLON" sheetId="9" r:id="rId119"/>
    <sheet name="EDICSON HERRERA" sheetId="317" r:id="rId120"/>
    <sheet name="EDUAR GARCIA" sheetId="299" r:id="rId121"/>
    <sheet name="EL ATAJO CAFE" sheetId="268" r:id="rId122"/>
    <sheet name="EL GRONE GOMEZ" sheetId="174" r:id="rId123"/>
    <sheet name="EL REY CACHAPA" sheetId="125" r:id="rId124"/>
    <sheet name="EL RINCON DEL DULCE" sheetId="314" r:id="rId125"/>
    <sheet name="EMPANADA ANA RAMIREZ" sheetId="335" r:id="rId126"/>
    <sheet name="EMPANADA BELKIS ZAMBRANO" sheetId="381" r:id="rId127"/>
    <sheet name="EMPANADA LIAM" sheetId="396" r:id="rId128"/>
    <sheet name="EMPANA LAS NONAS" sheetId="202" r:id="rId129"/>
    <sheet name="EMPANA SANTA TERESA" sheetId="296" r:id="rId130"/>
    <sheet name="EMPRENDIMIENTO EDGAR" sheetId="244" r:id="rId131"/>
    <sheet name="EMPRENDIMIENTO LARRY" sheetId="221" r:id="rId132"/>
    <sheet name="EMPRENDIMIENTO MAIBEL" sheetId="250" r:id="rId133"/>
    <sheet name="EMPRENDIMIENTO MANZO" sheetId="87" r:id="rId134"/>
    <sheet name="EMPRENDIMIENTO MARIA ROMERO" sheetId="326" r:id="rId135"/>
    <sheet name="EMPRENDIMIENTO MIRLEY" sheetId="83" r:id="rId136"/>
    <sheet name="EMPRENDIMIENTO RAKEL ROJAS" sheetId="311" r:id="rId137"/>
    <sheet name="EMPRENDIMIENTO YAHIBE MOLINA" sheetId="86" r:id="rId138"/>
    <sheet name="EMPRENDIMIENTO YOSMAR GANBOA" sheetId="380" r:id="rId139"/>
    <sheet name="ERIKA DIAMANTE EXPRESS" sheetId="367" r:id="rId140"/>
    <sheet name="EVENTO SENIAT" sheetId="359" r:id="rId141"/>
    <sheet name="EVENTUAL NELSON" sheetId="365" r:id="rId142"/>
    <sheet name="FARMA BIEN" sheetId="214" r:id="rId143"/>
    <sheet name="FISICO" sheetId="227" r:id="rId144"/>
    <sheet name="FLOR ASOGATA" sheetId="362" r:id="rId145"/>
    <sheet name="FLORES DEL TRIGO" sheetId="194" r:id="rId146"/>
    <sheet name="FLORESK &amp; CAFE" sheetId="388" r:id="rId147"/>
    <sheet name="FOCACIA" sheetId="222" r:id="rId148"/>
    <sheet name="FRESCURA DE MI TIERRA" sheetId="184" r:id="rId149"/>
    <sheet name="FRIGORIFICO GABISCAR" sheetId="373" r:id="rId150"/>
    <sheet name="FRIGORIFICO OROZCO" sheetId="368" r:id="rId151"/>
    <sheet name="FRUTAS Y VERDURAS DON OMAR" sheetId="356" r:id="rId152"/>
    <sheet name="FRUTAS Y VERDURAS PALO GORDO" sheetId="147" r:id="rId153"/>
    <sheet name="FRUTERIA MI PEQUENA AURIYASMIN" sheetId="361" r:id="rId154"/>
    <sheet name="FRUTITAS" sheetId="196" r:id="rId155"/>
    <sheet name="FRUTERIA LA COLINA" sheetId="354" r:id="rId156"/>
    <sheet name="FUSION SPORT BAR" sheetId="382" r:id="rId157"/>
    <sheet name="GABRIELA LANDINEZ" sheetId="397" r:id="rId158"/>
    <sheet name="GERZON CHACON GUERRERO" sheetId="280" r:id="rId159"/>
    <sheet name="GLADIS PERNIA" sheetId="70" r:id="rId160"/>
    <sheet name="GLORIA RAMIREZ" sheetId="193" r:id="rId161"/>
    <sheet name="GREYSI JAUREGUI" sheetId="161" r:id="rId162"/>
    <sheet name="HAMBURGUESAS DONDE YERAL" sheetId="198" r:id="rId163"/>
    <sheet name="HAMBURGUESAS KIKE" sheetId="316" r:id="rId164"/>
    <sheet name="HELADERIA CRETA" sheetId="379" r:id="rId165"/>
    <sheet name="HELADERIA HAPPY DAY" sheetId="386" r:id="rId166"/>
    <sheet name="HENRY PARRA" sheetId="371" r:id="rId167"/>
    <sheet name="HIPER BODEGON" sheetId="207" r:id="rId168"/>
    <sheet name="HIPER FRESS" sheetId="131" r:id="rId169"/>
    <sheet name="HOTEL LA RAMADA" sheetId="295" r:id="rId170"/>
    <sheet name="INVERSIONES DIMARIA" sheetId="152" r:id="rId171"/>
    <sheet name="INVERSIONES ELY" sheetId="344" r:id="rId172"/>
    <sheet name="INVERSIONES MEID" sheetId="95" r:id="rId173"/>
    <sheet name="INVERSIONES Y VARIEDADES YENIFE" sheetId="288" r:id="rId174"/>
    <sheet name="INVERSIONES VIPLAST" sheetId="305" r:id="rId175"/>
    <sheet name="INVERFRUVE SANTANDER" sheetId="195" r:id="rId176"/>
    <sheet name="JACKSON VILLAMIZAR" sheetId="289" r:id="rId177"/>
    <sheet name="JAVIER TERCERIADO" sheetId="390" r:id="rId178"/>
    <sheet name="JESUS SANTANDER" sheetId="62" r:id="rId179"/>
    <sheet name="JESUS PARRA" sheetId="64" r:id="rId180"/>
    <sheet name="JHON COLMENARES" sheetId="63" r:id="rId181"/>
    <sheet name="JHONDER COLMENARES" sheetId="275" r:id="rId182"/>
    <sheet name="JONATAN ALEXIS BARON QUEZADA" sheetId="392" r:id="rId183"/>
    <sheet name="JOLIVERO LUNA OSTOS" sheetId="321" r:id="rId184"/>
    <sheet name="JOSE CONTRERAS" sheetId="247" r:id="rId185"/>
    <sheet name="JUMBO DOG" sheetId="123" r:id="rId186"/>
    <sheet name="J Y G TOICO" sheetId="353" r:id="rId187"/>
    <sheet name="KACTUS BODEGON" sheetId="69" r:id="rId188"/>
    <sheet name="KAREN PRADO" sheetId="375" r:id="rId189"/>
    <sheet name="KARLA ISAZA" sheetId="291" r:id="rId190"/>
    <sheet name="KARINA B.GOS BODEGON" sheetId="107" r:id="rId191"/>
    <sheet name="KARINA MARQUEZ" sheetId="301" r:id="rId192"/>
    <sheet name="KEVIN MARQUEZ" sheetId="77" r:id="rId193"/>
    <sheet name="KIOSCO AZUL" sheetId="282" r:id="rId194"/>
    <sheet name="KIOSCO BLANCO" sheetId="143" r:id="rId195"/>
    <sheet name="KIOSCO FRAO" sheetId="160" r:id="rId196"/>
    <sheet name="KIOSCO FRANKLIN" sheetId="259" r:id="rId197"/>
    <sheet name="KIOSCO LIAN" sheetId="218" r:id="rId198"/>
    <sheet name="KIOSCO N 5" sheetId="285" r:id="rId199"/>
    <sheet name="KIOSCO ROSA VELAZCO" sheetId="185" r:id="rId200"/>
    <sheet name="KIOSCO QUE PASTELITOS" sheetId="278" r:id="rId201"/>
    <sheet name="KIOSCO VIDA VERDE" sheetId="338" r:id="rId202"/>
    <sheet name="KIOSCO VICTORIA" sheetId="141" r:id="rId203"/>
    <sheet name="KORNER" sheetId="54" r:id="rId204"/>
    <sheet name="LAURA NINO DAVILA" sheetId="352" r:id="rId205"/>
    <sheet name="LA ANDINA NARVAEZ" sheetId="138" r:id="rId206"/>
    <sheet name="LA CASA DEL CHOCHECO" sheetId="364" r:id="rId207"/>
    <sheet name="LA ESPERANZA" sheetId="135" r:id="rId208"/>
    <sheet name="LA TIENDITA" sheetId="134" r:id="rId209"/>
    <sheet name="LA VAQUERITA" sheetId="109" r:id="rId210"/>
    <sheet name="LEIDY GARCIA" sheetId="369" r:id="rId211"/>
    <sheet name="LIAM SOFI" sheetId="172" r:id="rId212"/>
    <sheet name="LICORERIA GRISYUDAY" sheetId="91" r:id="rId213"/>
    <sheet name="LICORERIA KOOP" sheetId="89" r:id="rId214"/>
    <sheet name="LICORERIA LA VILLA" sheetId="188" r:id="rId215"/>
    <sheet name="LICORERIA LA TURENA" sheetId="312" r:id="rId216"/>
    <sheet name="LICORERIA MIS ANGELES" sheetId="233" r:id="rId217"/>
    <sheet name="LICORERIA TOICO JYG" sheetId="349" r:id="rId218"/>
    <sheet name="LOS SARTENES DE AMITA" sheetId="348" r:id="rId219"/>
    <sheet name="LUBRICFILTROS" sheetId="329" r:id="rId220"/>
    <sheet name="LUDY CARRILLO" sheetId="336" r:id="rId221"/>
    <sheet name="LUNCHERIA LOLITA" sheetId="394" r:id="rId222"/>
    <sheet name="LLUVIA BENDICIONES" sheetId="58" r:id="rId223"/>
    <sheet name="LULU" sheetId="200" r:id="rId224"/>
    <sheet name="LUMA EXPRESS" sheetId="61" r:id="rId225"/>
    <sheet name="MADEROS BODEGON" sheetId="182" r:id="rId226"/>
    <sheet name="MAGIAS SPA" sheetId="307" r:id="rId227"/>
    <sheet name="MANGO'S HOT DOG" sheetId="169" r:id="rId228"/>
    <sheet name="MAIRA CHACON" sheetId="243" r:id="rId229"/>
    <sheet name="MARIA CARRERO" sheetId="93" r:id="rId230"/>
    <sheet name="MARIA JAIMES" sheetId="370" r:id="rId231"/>
    <sheet name="MARIA RICO" sheetId="92" r:id="rId232"/>
    <sheet name="MARICARMEN TERRAZA" sheetId="389" r:id="rId233"/>
    <sheet name="MARIEXTER CACHAPAS" sheetId="115" r:id="rId234"/>
    <sheet name="MARTA MOLINA" sheetId="249" r:id="rId235"/>
    <sheet name="MEGA MARKET" sheetId="139" r:id="rId236"/>
    <sheet name="MARLENE CARRERO" sheetId="350" r:id="rId237"/>
    <sheet name="MERLI CAFE" sheetId="318" r:id="rId238"/>
    <sheet name="MERCA MAX" sheetId="59" r:id="rId239"/>
    <sheet name="MI ABASTO YELITZA" sheetId="101" r:id="rId240"/>
    <sheet name="MI RANCHITO" sheetId="261" r:id="rId241"/>
    <sheet name="MINIMARKET BUENA VENTURA" sheetId="357" r:id="rId242"/>
    <sheet name="MINIMARKET DETODITO" sheetId="100" r:id="rId243"/>
    <sheet name="MINIMARKET TONY LAS CUADRAS" sheetId="313" r:id="rId244"/>
    <sheet name="MINI ABASTO EL SOL" sheetId="79" r:id="rId245"/>
    <sheet name="MIREYA MERCHAN" sheetId="215" r:id="rId246"/>
    <sheet name="MORCILLAS WENDY" sheetId="334" r:id="rId247"/>
    <sheet name="NELSON RAMIREZ" sheetId="263" r:id="rId248"/>
    <sheet name="NEW YORK FITBOXING" sheetId="208" r:id="rId249"/>
    <sheet name="NOREIMA LA MORDIDA" sheetId="106" r:id="rId250"/>
    <sheet name="OSITO EXPRESS" sheetId="114" r:id="rId251"/>
    <sheet name="ORIANA CARRILLO" sheetId="229" r:id="rId252"/>
    <sheet name="PADEL X4 BTB" sheetId="55" r:id="rId253"/>
    <sheet name="PADEL BUNKER" sheetId="234" r:id="rId254"/>
    <sheet name="PANADERIA 3 ESQUINAS" sheetId="164" r:id="rId255"/>
    <sheet name="PANADERIA CASCARITA" sheetId="248" r:id="rId256"/>
    <sheet name="PANADERIA EL CONDOR" sheetId="286" r:id="rId257"/>
    <sheet name="PANADERIA EL MANJAR" sheetId="175" r:id="rId258"/>
    <sheet name="PANADERIA FLORES TRIGO" sheetId="203" r:id="rId259"/>
    <sheet name="PANADERIA GLENDIZ" sheetId="251" r:id="rId260"/>
    <sheet name="PANADERIA LA CREMITA" sheetId="159" r:id="rId261"/>
    <sheet name="PANADERIA LA ESPIGA" sheetId="201" r:id="rId262"/>
    <sheet name="PANDERIA LA PURISIMA" sheetId="146" r:id="rId263"/>
    <sheet name="PANADERIA MUNDO SABOR" sheetId="71" r:id="rId264"/>
    <sheet name="PANADERIA PANINI" sheetId="153" r:id="rId265"/>
    <sheet name="PANADERIA SMOKED" sheetId="144" r:id="rId266"/>
    <sheet name="PANADERIA VENETIA" sheetId="225" r:id="rId267"/>
    <sheet name="PIEDRA PAPEL O CERVEZA" sheetId="232" r:id="rId268"/>
    <sheet name="PIZZERIA ARADO" sheetId="245" r:id="rId269"/>
    <sheet name="PIZZAS FRATELLO" sheetId="272" r:id="rId270"/>
    <sheet name="PLASTICO CONSOLACION" sheetId="217" r:id="rId271"/>
    <sheet name="PLASTICO YENNIFER PEREZ" sheetId="393" r:id="rId272"/>
    <sheet name="PRESTO MARKET" sheetId="57" r:id="rId273"/>
    <sheet name="POLLO EXPRESS JYB" sheetId="176" r:id="rId274"/>
    <sheet name="POLLO BRASAS BUSTAMANTE" sheetId="342" r:id="rId275"/>
    <sheet name="QUESERA DOBLE A" sheetId="230" r:id="rId276"/>
    <sheet name="QUINCALLA JESUS DE NAZARENO" sheetId="82" r:id="rId277"/>
    <sheet name="REINA ALARCON" sheetId="171" r:id="rId278"/>
    <sheet name="RESTAURANT ALAS BRASAS" sheetId="284" r:id="rId279"/>
    <sheet name="RESTAURANT AROMAS" sheetId="351" r:id="rId280"/>
    <sheet name="RESTAURANT DONDE GRETA" sheetId="290" r:id="rId281"/>
    <sheet name="RESTAURANT EL CHAVALO" sheetId="237" r:id="rId282"/>
    <sheet name="RESTAURANT DONDE SANTOS" sheetId="119" r:id="rId283"/>
    <sheet name="RESTAURANT HERMANO DUQUE" sheetId="210" r:id="rId284"/>
    <sheet name="RESTAURANT Y PASTELERIA LA TENT" sheetId="340" r:id="rId285"/>
    <sheet name="RICHARD MONSARI" sheetId="271" r:id="rId286"/>
    <sheet name="ROBERTO FIGUEREDO" sheetId="66" r:id="rId287"/>
    <sheet name="ROCIO HERRERA" sheetId="238" r:id="rId288"/>
    <sheet name="ROSA AURA MOLINA OLIVEROS" sheetId="283" r:id="rId289"/>
    <sheet name="SANDRA ORTIZ" sheetId="297" r:id="rId290"/>
    <sheet name="SAUL Q FRUVER" sheetId="170" r:id="rId291"/>
    <sheet name="SNAK'S 31" sheetId="142" r:id="rId292"/>
    <sheet name="SOLANDE APARICIO" sheetId="163" r:id="rId293"/>
    <sheet name="SONIA GRANADA" sheetId="204" r:id="rId294"/>
    <sheet name="SARAY MOJIKA" sheetId="223" r:id="rId295"/>
    <sheet name="SUMINISTRO DE LIMPIEZA PARAMI" sheetId="191" r:id="rId296"/>
    <sheet name="SUPERMERCADO MERCAFRUVER" sheetId="337" r:id="rId297"/>
    <sheet name="SUPERMERCADO MIRCAR" sheetId="158" r:id="rId298"/>
    <sheet name="TENGO TODO MENESES" sheetId="255" r:id="rId299"/>
    <sheet name="TERRAZA BAR GRILL" sheetId="325" r:id="rId300"/>
    <sheet name="TIBISAY MORALES" sheetId="387" r:id="rId301"/>
    <sheet name="TIENDA D DAYANA" sheetId="206" r:id="rId302"/>
    <sheet name="TIENDA LOS MIOS" sheetId="377" r:id="rId303"/>
    <sheet name="TIENDA SANTO CRISTO" sheetId="157" r:id="rId304"/>
    <sheet name="TRIUNFO BET.COM" sheetId="315" r:id="rId305"/>
    <sheet name="TODOCARNES PEDRO" sheetId="374" r:id="rId306"/>
    <sheet name="TORCOROMA" sheetId="132" r:id="rId307"/>
    <sheet name="VANESA DIAZ" sheetId="88" r:id="rId308"/>
    <sheet name="VARIEDADES ANA" sheetId="265" r:id="rId309"/>
    <sheet name="VARIEDADES DYAN" sheetId="220" r:id="rId310"/>
    <sheet name="VARIEDADES EL CHENTE" sheetId="269" r:id="rId311"/>
    <sheet name="VARIEDADES JHOSTEPH" sheetId="355" r:id="rId312"/>
    <sheet name="VARIEDADES JOSE GREGORIO HERNAN" sheetId="366" r:id="rId313"/>
    <sheet name="VARIEDADES GAVI" sheetId="395" r:id="rId314"/>
    <sheet name="VARIEDADES LA TURENA" sheetId="327" r:id="rId315"/>
    <sheet name="VARIEDADES LUCY" sheetId="118" r:id="rId316"/>
    <sheet name="VERIHUZKA ARELLANO" sheetId="298" r:id="rId317"/>
    <sheet name="VILLA ROSSI" sheetId="80" r:id="rId318"/>
    <sheet name="VIVERES BR" sheetId="346" r:id="rId319"/>
    <sheet name="VIVERES CASTELLANA" sheetId="281" r:id="rId320"/>
    <sheet name="WAPUBLICIDAD" sheetId="324" r:id="rId321"/>
    <sheet name="WILFREDO BAYONA" sheetId="67" r:id="rId322"/>
    <sheet name="YARITZA PEREZ" sheetId="102" r:id="rId323"/>
    <sheet name="FRUTERIA YASMIN" sheetId="56" r:id="rId324"/>
    <sheet name="YEAH EXPRESS" sheetId="323" r:id="rId325"/>
    <sheet name="YEIMO CHARCUTERIA" sheetId="108" r:id="rId326"/>
    <sheet name="YIMY POLAR" sheetId="343" r:id="rId327"/>
    <sheet name="YONATAN NINO" sheetId="65" r:id="rId328"/>
    <sheet name="YORLEY GELVES" sheetId="226" r:id="rId329"/>
    <sheet name="YURAIMA MORENO" sheetId="105" r:id="rId330"/>
    <sheet name="ZONA CAFE" sheetId="209" r:id="rId331"/>
    <sheet name="ZONA FRESS" sheetId="241" r:id="rId332"/>
    <sheet name="ZONA MARKET" sheetId="262" r:id="rId333"/>
  </sheets>
  <definedNames>
    <definedName name="_xlnm._FilterDatabase" localSheetId="0" hidden="1">RESUMEN!$A$9:$P$340</definedName>
    <definedName name="_xlnm.Print_Area" localSheetId="1">'ABASTO ANTONY'!$A$1:$H$138</definedName>
    <definedName name="_xlnm.Print_Area" localSheetId="2">'ABASTO DON MARCOS'!$A$1:$H$57</definedName>
    <definedName name="_xlnm.Print_Area" localSheetId="3">'ABASTO GLORIMAR'!$A$1:$H$120</definedName>
    <definedName name="_xlnm.Print_Area" localSheetId="4">'ABASTO JAVER'!$A$1:$H$49</definedName>
    <definedName name="_xlnm.Print_Area" localSheetId="5">'ABASTO KLEIDI'!$A$1:$H$33</definedName>
    <definedName name="_xlnm.Print_Area" localSheetId="7">'ABASTO LAS CUADRAS'!$A$1:$H$83</definedName>
    <definedName name="_xlnm.Print_Area" localSheetId="8">'ABASTO LAS MORENAS'!$A$1:$H$114</definedName>
    <definedName name="_xlnm.Print_Area" localSheetId="9">'ABASTO LAS PILAS'!$A$1:$H$64</definedName>
    <definedName name="_xlnm.Print_Area" localSheetId="6">'ABASTO LAUDA'!$A$1:$H$85</definedName>
    <definedName name="_xlnm.Print_Area" localSheetId="10">'ABASTO LUZ VALERO'!$A$1:$H$39</definedName>
    <definedName name="_xlnm.Print_Area" localSheetId="11">'ABASTO LUZMAR'!$A$1:$H$32</definedName>
    <definedName name="_xlnm.Print_Area" localSheetId="12">'ABASTO MIS ANGELES'!$A$1:$H$33</definedName>
    <definedName name="_xlnm.Print_Area" localSheetId="13">'ABASTO VANESA'!$A$1:$H$104</definedName>
    <definedName name="_xlnm.Print_Area" localSheetId="14">'ABASTO Y CHARCUTERIA WILMARY'!$A$1:$H$45</definedName>
    <definedName name="_xlnm.Print_Area" localSheetId="15">'ABASTO YUDERLI'!$A$1:$H$52</definedName>
    <definedName name="_xlnm.Print_Area" localSheetId="16">'ABASTO ZORANNY'!$A$1:$H$77</definedName>
    <definedName name="_xlnm.Print_Area" localSheetId="17">'ALAS COMPAS'!$A$1:$H$71</definedName>
    <definedName name="_xlnm.Print_Area" localSheetId="19">'ALEJANDRA NIETO'!$A$1:$H$42</definedName>
    <definedName name="_xlnm.Print_Area" localSheetId="18">'ALVARO RINCON'!$A$1:$H$32</definedName>
    <definedName name="_xlnm.Print_Area" localSheetId="20">AMALUBE!$A$1:$H$72</definedName>
    <definedName name="_xlnm.Print_Area" localSheetId="21">'AMEZQUITA BODEGON'!$A$1:$H$69</definedName>
    <definedName name="_xlnm.Print_Area" localSheetId="22">'ANDERZON POLAR'!$A$1:$H$57</definedName>
    <definedName name="_xlnm.Print_Area" localSheetId="23">'ANDERZON RODRIGUEZ'!$A$1:$H$140</definedName>
    <definedName name="_xlnm.Print_Area" localSheetId="24">'ANDREA URDANETA'!$A$1:$H$112</definedName>
    <definedName name="_xlnm.Print_Area" localSheetId="25">APRICOT!$A$1:$H$40</definedName>
    <definedName name="_xlnm.Print_Area" localSheetId="26">'AURA VIVAS'!$A$1:$H$32</definedName>
    <definedName name="_xlnm.Print_Area" localSheetId="27">'AVENTURA INFLABLE'!$A$1:$H$32</definedName>
    <definedName name="_xlnm.Print_Area" localSheetId="29">'BAKAI MACHIRI'!$A$1:$H$95</definedName>
    <definedName name="_xlnm.Print_Area" localSheetId="28">'BARBERIA SPARTA'!$A$1:$H$74</definedName>
    <definedName name="_xlnm.Print_Area" localSheetId="30">'BELKIS MONSALVE'!$A$1:$H$32</definedName>
    <definedName name="_xlnm.Print_Area" localSheetId="31">'BOD ALTOS PARAMILLO'!$A$1:$H$32</definedName>
    <definedName name="_xlnm.Print_Area" localSheetId="32">'BOD MARBELYS ROA'!$A$1:$H$33</definedName>
    <definedName name="_xlnm.Print_Area" localSheetId="33">'BOD SOLMAR PINTO'!$A$1:$H$94</definedName>
    <definedName name="_xlnm.Print_Area" localSheetId="34">'BOD TOICO CLEIBER'!$A$1:$H$112</definedName>
    <definedName name="_xlnm.Print_Area" localSheetId="35">'BOD TOICO OSMAR'!$A$1:$H$75</definedName>
    <definedName name="_xlnm.Print_Area" localSheetId="37">'BODEGA DE CECI'!$A$1:$H$32</definedName>
    <definedName name="_xlnm.Print_Area" localSheetId="36">'BODEGA DE ORO'!$A$1:$H$124</definedName>
    <definedName name="_xlnm.Print_Area" localSheetId="43">'BODEGA DONITA'!$A$1:$H$60</definedName>
    <definedName name="_xlnm.Print_Area" localSheetId="38">'BODEGA EL ARBOLITO'!$A$1:$H$46</definedName>
    <definedName name="_xlnm.Print_Area" localSheetId="39">'BODEGA EL GATO'!$A$1:$H$33</definedName>
    <definedName name="_xlnm.Print_Area" localSheetId="42">'BODEGA EL GUARO'!$A$1:$H$46</definedName>
    <definedName name="_xlnm.Print_Area" localSheetId="40">'BODEGA EL SOL'!$A$1:$H$33</definedName>
    <definedName name="_xlnm.Print_Area" localSheetId="44">'BODEGA ESCALANTE'!$A$1:$H$32</definedName>
    <definedName name="_xlnm.Print_Area" localSheetId="41">'BODEGA EXPRESS'!$A$1:$H$93</definedName>
    <definedName name="_xlnm.Print_Area" localSheetId="45">'BODEGA LOS CHACAROS'!$A$1:$H$73</definedName>
    <definedName name="_xlnm.Print_Area" localSheetId="46">'BODEGA MARIA'!$A$1:$H$53</definedName>
    <definedName name="_xlnm.Print_Area" localSheetId="47">'BODEGA MARITZA'!$A$1:$H$105</definedName>
    <definedName name="_xlnm.Print_Area" localSheetId="48">'BODEGA MILAGRO'!$A$1:$H$98</definedName>
    <definedName name="_xlnm.Print_Area" localSheetId="49">'BODEGA MILAGROS'!$A$1:$H$48</definedName>
    <definedName name="_xlnm.Print_Area" localSheetId="50">'BODEGA NANCYTA'!$A$1:$H$105</definedName>
    <definedName name="_xlnm.Print_Area" localSheetId="51">'BODEGA NAZARENO'!$A$1:$H$102</definedName>
    <definedName name="_xlnm.Print_Area" localSheetId="52">'BODEGA Y PAPELERIA REY'!$A$1:$H$76</definedName>
    <definedName name="_xlnm.Print_Area" localSheetId="53">'BODEGON AGUA LINDA'!$A$1:$H$56</definedName>
    <definedName name="_xlnm.Print_Area" localSheetId="54">'BODEGON ANDREA''S'!$A$1:$H$67</definedName>
    <definedName name="_xlnm.Print_Area" localSheetId="57">'BODEGON D KSA'!$A$1:$H$49</definedName>
    <definedName name="_xlnm.Print_Area" localSheetId="58">'BODEGON D Y JD'!$A$1:$H$82</definedName>
    <definedName name="_xlnm.Print_Area" localSheetId="55">'BODEGON DE ELIDA'!$A$1:$H$95</definedName>
    <definedName name="_xlnm.Print_Area" localSheetId="56">'BODEGON DE OLGA'!$A$1:$H$122</definedName>
    <definedName name="_xlnm.Print_Area" localSheetId="59">'BODEGON EL COMPADRE'!$A$1:$H$37</definedName>
    <definedName name="_xlnm.Print_Area" localSheetId="60">'BODEGON ENDER GUERRERO'!$A$1:$H$58</definedName>
    <definedName name="_xlnm.Print_Area" localSheetId="61">'BODEGON ENZO'!$A$1:$H$78</definedName>
    <definedName name="_xlnm.Print_Area" localSheetId="66">'BODEGON ESQUINA PARAMILLO'!$A$1:$H$131</definedName>
    <definedName name="_xlnm.Print_Area" localSheetId="62">'BODEGON EXPRESS'!$A$1:$H$44</definedName>
    <definedName name="_xlnm.Print_Area" localSheetId="65">'BODEGON EXPRESS GREGORI'!$A$1:$H$87</definedName>
    <definedName name="_xlnm.Print_Area" localSheetId="63">'BODEGON EXPRESS LA ESMERALDA'!$A$1:$H$44</definedName>
    <definedName name="_xlnm.Print_Area" localSheetId="64">'BODEGON EXPRESS MARI'!$A$1:$H$122</definedName>
    <definedName name="_xlnm.Print_Area" localSheetId="67">'BODEGON GARCIAS'!$A$1:$H$32</definedName>
    <definedName name="_xlnm.Print_Area" localSheetId="68">'BODEGON JUANCHO'!$A$1:$H$36</definedName>
    <definedName name="_xlnm.Print_Area" localSheetId="69">'BODEGON KATERIN'!$A$1:$H$33</definedName>
    <definedName name="_xlnm.Print_Area" localSheetId="70">'BODEGON LA ESQUINA DE LUIS'!$A$1:$H$69</definedName>
    <definedName name="_xlnm.Print_Area" localSheetId="71">'BODEGON LINARES'!$A$1:$H$72</definedName>
    <definedName name="_xlnm.Print_Area" localSheetId="72">'BODEGON LOS NONOS'!$A$1:$H$127</definedName>
    <definedName name="_xlnm.Print_Area" localSheetId="73">'BODEGON MACHIRI'!$A$1:$H$32</definedName>
    <definedName name="_xlnm.Print_Area" localSheetId="74">'BODEGON MKM'!$A$1:$H$32</definedName>
    <definedName name="_xlnm.Print_Area" localSheetId="75">'BODEGON SEVILLANA'!$A$1:$H$126</definedName>
    <definedName name="_xlnm.Print_Area" localSheetId="76">'BODEGON TERESITA'!$A$1:$H$102</definedName>
    <definedName name="_xlnm.Print_Area" localSheetId="77">'BODEGON UNICO'!$A$1:$H$49</definedName>
    <definedName name="_xlnm.Print_Area" localSheetId="78">'CAFE RACER'!$A$1:$H$78</definedName>
    <definedName name="_xlnm.Print_Area" localSheetId="79">'CAMPO MARKET'!$A$1:$H$50</definedName>
    <definedName name="_xlnm.Print_Area" localSheetId="80">'CARNICERIA 2009'!$A$1:$H$69</definedName>
    <definedName name="_xlnm.Print_Area" localSheetId="81">'CARNICERIA KARINA'!$A$1:$H$41</definedName>
    <definedName name="_xlnm.Print_Area" localSheetId="82">'CARNICERIA MARTA'!$A$1:$H$32</definedName>
    <definedName name="_xlnm.Print_Area" localSheetId="83">'CAROL KARDEIGON'!$A$1:$H$156</definedName>
    <definedName name="_xlnm.Print_Area" localSheetId="84">'CASA EXPRESS'!$A$1:$H$44</definedName>
    <definedName name="_xlnm.Print_Area" localSheetId="85">'CCP PARAMILLO'!$A$1:$H$32</definedName>
    <definedName name="_xlnm.Print_Area" localSheetId="86">'CECILIA EMPANADAS'!$A$1:$H$32</definedName>
    <definedName name="_xlnm.Print_Area" localSheetId="87">CEMUCA!$A$1:$H$32</definedName>
    <definedName name="_xlnm.Print_Area" localSheetId="88">'CHARCUTERIA LA TOICA'!$A$1:$H$135</definedName>
    <definedName name="_xlnm.Print_Area" localSheetId="90">'COLEGIO SANTISIMA TRINIDAD'!$A$1:$H$32</definedName>
    <definedName name="_xlnm.Print_Area" localSheetId="91">'COLEGIO SANTO CRISTO'!$A$1:$H$32</definedName>
    <definedName name="_xlnm.Print_Area" localSheetId="92">'COMERCIALIZADORA ALFONSO PEREZ'!$A$1:$H$38</definedName>
    <definedName name="_xlnm.Print_Area" localSheetId="93">'COMERCIALIZADORA FLOREZ'!$A$1:$H$90</definedName>
    <definedName name="_xlnm.Print_Area" localSheetId="94">'COMERCIALIZADORA JEALKA'!$A$1:$H$54</definedName>
    <definedName name="_xlnm.Print_Area" localSheetId="95">'COMERCIALIZADORA MULTIMASS'!$A$1:$H$68</definedName>
    <definedName name="_xlnm.Print_Area" localSheetId="96">'COMERCIALIZADORA ORZY RUZY'!$A$1:$H$32</definedName>
    <definedName name="_xlnm.Print_Area" localSheetId="97">'COMERCIALIZADORA YUDI'!$A$1:$H$152</definedName>
    <definedName name="_xlnm.Print_Area" localSheetId="98">COMPINCHOS!$A$1:$H$47</definedName>
    <definedName name="_xlnm.Print_Area" localSheetId="100">'CONSUELO MENDOZA'!$A$1:$H$44</definedName>
    <definedName name="_xlnm.Print_Area" localSheetId="99">'COPAS DE PACO'!$A$1:$H$37</definedName>
    <definedName name="_xlnm.Print_Area" localSheetId="101">'CREACIONES YAKY'!$A$1:$H$32</definedName>
    <definedName name="_xlnm.Print_Area" localSheetId="102">'DANIEL VERSIONES DURAN'!$A$1:$H$62</definedName>
    <definedName name="_xlnm.Print_Area" localSheetId="103">'DARIANA ESCALANTE'!$A$1:$H$67</definedName>
    <definedName name="_xlnm.Print_Area" localSheetId="104">'DAVID DIAZ'!$A$1:$H$79</definedName>
    <definedName name="_xlnm.Print_Area" localSheetId="105">'DAVID MORALES'!$A$1:$H$119</definedName>
    <definedName name="_xlnm.Print_Area" localSheetId="107">'DE PANA'!$A$1:$H$32</definedName>
    <definedName name="_xlnm.Print_Area" localSheetId="108">'DELMIRA RAMIREZ'!$A$1:$H$59</definedName>
    <definedName name="_xlnm.Print_Area" localSheetId="109">'DISTRIBUIDO DE DOS'!$A$1:$H$32</definedName>
    <definedName name="_xlnm.Print_Area" localSheetId="110">'DISTRIBUIDORA LUCHENI'!$A$1:$H$49</definedName>
    <definedName name="_xlnm.Print_Area" localSheetId="111">'DISTRIPOLLO LOS ANDES'!$A$1:$H$55</definedName>
    <definedName name="_xlnm.Print_Area" localSheetId="112">'DON HECTOR'!$A$1:$H$32</definedName>
    <definedName name="_xlnm.Print_Area" localSheetId="113">'DON LEO'!$A$1:$H$128</definedName>
    <definedName name="_xlnm.Print_Area" localSheetId="115">'DONDE MIGUEL'!$A$1:$H$32</definedName>
    <definedName name="_xlnm.Print_Area" localSheetId="114">'DONDE QUIERA FOOD HOUSE'!$A$1:$H$49</definedName>
    <definedName name="_xlnm.Print_Area" localSheetId="116">'DONDE YENNY'!$A$1:$H$47</definedName>
    <definedName name="_xlnm.Print_Area" localSheetId="117">'DORIS CAICEDO'!$A$1:$H$33</definedName>
    <definedName name="_xlnm.Print_Area" localSheetId="118">'DORIS MOGOLLON'!$A$1:$H$50</definedName>
    <definedName name="_xlnm.Print_Area" localSheetId="119">'EDICSON HERRERA'!$A$1:$H$33</definedName>
    <definedName name="_xlnm.Print_Area" localSheetId="120">'EDUAR GARCIA'!$A$1:$H$33</definedName>
    <definedName name="_xlnm.Print_Area" localSheetId="121">'EL ATAJO CAFE'!$A$1:$H$32</definedName>
    <definedName name="_xlnm.Print_Area" localSheetId="122">'EL GRONE GOMEZ'!$A$1:$H$39</definedName>
    <definedName name="_xlnm.Print_Area" localSheetId="123">'EL REY CACHAPA'!$A$1:$H$32</definedName>
    <definedName name="_xlnm.Print_Area" localSheetId="124">'EL RINCON DEL DULCE'!$A$1:$H$32</definedName>
    <definedName name="_xlnm.Print_Area" localSheetId="128">'EMPANA LAS NONAS'!$A$1:$H$97</definedName>
    <definedName name="_xlnm.Print_Area" localSheetId="129">'EMPANA SANTA TERESA'!$A$1:$H$32</definedName>
    <definedName name="_xlnm.Print_Area" localSheetId="127">'EMPANADA LIAM'!$A$1:$H$23</definedName>
    <definedName name="_xlnm.Print_Area" localSheetId="130">'EMPRENDIMIENTO EDGAR'!$A$1:$H$32</definedName>
    <definedName name="_xlnm.Print_Area" localSheetId="131">'EMPRENDIMIENTO LARRY'!$A$1:$H$135</definedName>
    <definedName name="_xlnm.Print_Area" localSheetId="132">'EMPRENDIMIENTO MAIBEL'!$A$1:$H$106</definedName>
    <definedName name="_xlnm.Print_Area" localSheetId="133">'EMPRENDIMIENTO MANZO'!$A$1:$H$39</definedName>
    <definedName name="_xlnm.Print_Area" localSheetId="134">'EMPRENDIMIENTO MARIA ROMERO'!$A$1:$H$43</definedName>
    <definedName name="_xlnm.Print_Area" localSheetId="135">'EMPRENDIMIENTO MIRLEY'!$A$1:$H$107</definedName>
    <definedName name="_xlnm.Print_Area" localSheetId="136">'EMPRENDIMIENTO RAKEL ROJAS'!$A$1:$H$33</definedName>
    <definedName name="_xlnm.Print_Area" localSheetId="137">'EMPRENDIMIENTO YAHIBE MOLINA'!$A$1:$H$86</definedName>
    <definedName name="_xlnm.Print_Area" localSheetId="138">'EMPRENDIMIENTO YOSMAR GANBOA'!$A$1:$H$28</definedName>
    <definedName name="_xlnm.Print_Area" localSheetId="139">'ERIKA DIAMANTE EXPRESS'!$A$1:$H$33</definedName>
    <definedName name="_xlnm.Print_Area" localSheetId="140">'EVENTO SENIAT'!$A$1:$H$33</definedName>
    <definedName name="_xlnm.Print_Area" localSheetId="141">'EVENTUAL NELSON'!$A$1:$H$33</definedName>
    <definedName name="_xlnm.Print_Area" localSheetId="142">'FARMA BIEN'!$A$1:$H$43</definedName>
    <definedName name="_xlnm.Print_Area" localSheetId="143">FISICO!$A$1:$H$43</definedName>
    <definedName name="_xlnm.Print_Area" localSheetId="144">'FLOR ASOGATA'!$A$1:$H$36</definedName>
    <definedName name="_xlnm.Print_Area" localSheetId="145">'FLORES DEL TRIGO'!$A$1:$H$37</definedName>
    <definedName name="_xlnm.Print_Area" localSheetId="146">'FLORESK &amp; CAFE'!$A$1:$H$43</definedName>
    <definedName name="_xlnm.Print_Area" localSheetId="147">FOCACIA!$A$1:$H$46</definedName>
    <definedName name="_xlnm.Print_Area" localSheetId="148">'FRESCURA DE MI TIERRA'!$A$1:$H$65</definedName>
    <definedName name="_xlnm.Print_Area" localSheetId="149">'FRIGORIFICO GABISCAR'!$A$1:$H$49</definedName>
    <definedName name="_xlnm.Print_Area" localSheetId="150">'FRIGORIFICO OROZCO'!$A$1:$H$49</definedName>
    <definedName name="_xlnm.Print_Area" localSheetId="151">'FRUTAS Y VERDURAS DON OMAR'!$A$1:$H$74</definedName>
    <definedName name="_xlnm.Print_Area" localSheetId="152">'FRUTAS Y VERDURAS PALO GORDO'!$A$1:$H$105</definedName>
    <definedName name="_xlnm.Print_Area" localSheetId="155">'FRUTERIA LA COLINA'!$A$1:$H$32</definedName>
    <definedName name="_xlnm.Print_Area" localSheetId="153">'FRUTERIA MI PEQUENA AURIYASMIN'!$A$1:$H$32</definedName>
    <definedName name="_xlnm.Print_Area" localSheetId="323">'FRUTERIA YASMIN'!$A$1:$H$33</definedName>
    <definedName name="_xlnm.Print_Area" localSheetId="154">FRUTITAS!$A$1:$H$32</definedName>
    <definedName name="_xlnm.Print_Area" localSheetId="156">'FUSION SPORT BAR'!$A$1:$H$32</definedName>
    <definedName name="_xlnm.Print_Area" localSheetId="157">'GABRIELA LANDINEZ'!$A$1:$H$32</definedName>
    <definedName name="_xlnm.Print_Area" localSheetId="158">'GERZON CHACON GUERRERO'!$A$1:$H$72</definedName>
    <definedName name="_xlnm.Print_Area" localSheetId="159">'GLADIS PERNIA'!$A$1:$H$53</definedName>
    <definedName name="_xlnm.Print_Area" localSheetId="160">'GLORIA RAMIREZ'!$A$1:$H$32</definedName>
    <definedName name="_xlnm.Print_Area" localSheetId="161">'GREYSI JAUREGUI'!$A$1:$H$122</definedName>
    <definedName name="_xlnm.Print_Area" localSheetId="162">'HAMBURGUESAS DONDE YERAL'!$A$1:$H$33</definedName>
    <definedName name="_xlnm.Print_Area" localSheetId="163">'HAMBURGUESAS KIKE'!$A$1:$H$32</definedName>
    <definedName name="_xlnm.Print_Area" localSheetId="164">'HELADERIA CRETA'!$A$1:$H$32</definedName>
    <definedName name="_xlnm.Print_Area" localSheetId="165">'HELADERIA HAPPY DAY'!$A$1:$H$32</definedName>
    <definedName name="_xlnm.Print_Area" localSheetId="166">'HENRY PARRA'!$A$1:$H$32</definedName>
    <definedName name="_xlnm.Print_Area" localSheetId="167">'HIPER BODEGON'!$A$1:$H$44</definedName>
    <definedName name="_xlnm.Print_Area" localSheetId="168">'HIPER FRESS'!$A$1:$H$97</definedName>
    <definedName name="_xlnm.Print_Area" localSheetId="169">'HOTEL LA RAMADA'!$A$1:$H$37</definedName>
    <definedName name="_xlnm.Print_Area" localSheetId="175">'INVERFRUVE SANTANDER'!$A$1:$H$44</definedName>
    <definedName name="_xlnm.Print_Area" localSheetId="170">'INVERSIONES DIMARIA'!$A$1:$H$90</definedName>
    <definedName name="_xlnm.Print_Area" localSheetId="171">'INVERSIONES ELY'!$A$1:$H$37</definedName>
    <definedName name="_xlnm.Print_Area" localSheetId="172">'INVERSIONES MEID'!$A$1:$H$43</definedName>
    <definedName name="_xlnm.Print_Area" localSheetId="174">'INVERSIONES VIPLAST'!$A$1:$H$38</definedName>
    <definedName name="_xlnm.Print_Area" localSheetId="173">'INVERSIONES Y VARIEDADES YENIFE'!$A$1:$H$41</definedName>
    <definedName name="_xlnm.Print_Area" localSheetId="186">'J Y G TOICO'!$A$1:$H$46</definedName>
    <definedName name="_xlnm.Print_Area" localSheetId="176">'JACKSON VILLAMIZAR'!$A$1:$H$33</definedName>
    <definedName name="_xlnm.Print_Area" localSheetId="177">'JAVIER TERCERIADO'!$A$1:$H$33</definedName>
    <definedName name="_xlnm.Print_Area" localSheetId="179">'JESUS PARRA'!$A$1:$H$70</definedName>
    <definedName name="_xlnm.Print_Area" localSheetId="178">'JESUS SANTANDER'!$A$1:$H$33</definedName>
    <definedName name="_xlnm.Print_Area" localSheetId="180">'JHON COLMENARES'!$A$1:$H$77</definedName>
    <definedName name="_xlnm.Print_Area" localSheetId="181">'JHONDER COLMENARES'!$A$1:$H$39</definedName>
    <definedName name="_xlnm.Print_Area" localSheetId="183">'JOLIVERO LUNA OSTOS'!$A$1:$H$69</definedName>
    <definedName name="_xlnm.Print_Area" localSheetId="182">'JONATAN ALEXIS BARON QUEZADA'!$A$1:$H$66</definedName>
    <definedName name="_xlnm.Print_Area" localSheetId="184">'JOSE CONTRERAS'!$A$1:$H$43</definedName>
    <definedName name="_xlnm.Print_Area" localSheetId="185">'JUMBO DOG'!$A$1:$H$71</definedName>
    <definedName name="_xlnm.Print_Area" localSheetId="187">'KACTUS BODEGON'!$A$1:$H$129</definedName>
    <definedName name="_xlnm.Print_Area" localSheetId="188">'KAREN PRADO'!$A$1:$H$74</definedName>
    <definedName name="_xlnm.Print_Area" localSheetId="190">'KARINA B.GOS BODEGON'!$A$1:$H$44</definedName>
    <definedName name="_xlnm.Print_Area" localSheetId="191">'KARINA MARQUEZ'!$A$1:$H$42</definedName>
    <definedName name="_xlnm.Print_Area" localSheetId="189">'KARLA ISAZA'!$A$1:$H$53</definedName>
    <definedName name="_xlnm.Print_Area" localSheetId="192">'KEVIN MARQUEZ'!$A$1:$H$144</definedName>
    <definedName name="_xlnm.Print_Area" localSheetId="193">'KIOSCO AZUL'!$A$1:$H$32</definedName>
    <definedName name="_xlnm.Print_Area" localSheetId="194">'KIOSCO BLANCO'!$A$1:$H$32</definedName>
    <definedName name="_xlnm.Print_Area" localSheetId="196">'KIOSCO FRANKLIN'!$A$1:$H$38</definedName>
    <definedName name="_xlnm.Print_Area" localSheetId="195">'KIOSCO FRAO'!$A$1:$H$32</definedName>
    <definedName name="_xlnm.Print_Area" localSheetId="197">'KIOSCO LIAN'!$A$1:$H$32</definedName>
    <definedName name="_xlnm.Print_Area" localSheetId="198">'KIOSCO N 5'!$A$1:$H$32</definedName>
    <definedName name="_xlnm.Print_Area" localSheetId="200">'KIOSCO QUE PASTELITOS'!$A$1:$H$32</definedName>
    <definedName name="_xlnm.Print_Area" localSheetId="199">'KIOSCO ROSA VELAZCO'!$A$1:$H$32</definedName>
    <definedName name="_xlnm.Print_Area" localSheetId="202">'KIOSCO VICTORIA'!$A$1:$H$32</definedName>
    <definedName name="_xlnm.Print_Area" localSheetId="201">'KIOSCO VIDA VERDE'!$A$1:$H$32</definedName>
    <definedName name="_xlnm.Print_Area" localSheetId="203">KORNER!$A$1:$H$62</definedName>
    <definedName name="_xlnm.Print_Area" localSheetId="205">'LA ANDINA NARVAEZ'!$A$1:$H$91</definedName>
    <definedName name="_xlnm.Print_Area" localSheetId="206">'LA CASA DEL CHOCHECO'!$A$1:$H$32</definedName>
    <definedName name="_xlnm.Print_Area" localSheetId="207">'LA ESPERANZA'!$A$1:$H$32</definedName>
    <definedName name="_xlnm.Print_Area" localSheetId="208">'LA TIENDITA'!$A$1:$H$32</definedName>
    <definedName name="_xlnm.Print_Area" localSheetId="209">'LA VAQUERITA'!$A$1:$H$123</definedName>
    <definedName name="_xlnm.Print_Area" localSheetId="204">'LAURA NINO DAVILA'!$A$1:$H$41</definedName>
    <definedName name="_xlnm.Print_Area" localSheetId="210">'LEIDY GARCIA'!$A$1:$H$74</definedName>
    <definedName name="_xlnm.Print_Area" localSheetId="211">'LIAM SOFI'!$A$1:$H$106</definedName>
    <definedName name="_xlnm.Print_Area" localSheetId="212">'LICORERIA GRISYUDAY'!$A$1:$H$166</definedName>
    <definedName name="_xlnm.Print_Area" localSheetId="213">'LICORERIA KOOP'!$A$1:$G$240</definedName>
    <definedName name="_xlnm.Print_Area" localSheetId="215">'LICORERIA LA TURENA'!$A$1:$H$75</definedName>
    <definedName name="_xlnm.Print_Area" localSheetId="214">'LICORERIA LA VILLA'!$A$1:$H$74</definedName>
    <definedName name="_xlnm.Print_Area" localSheetId="216">'LICORERIA MIS ANGELES'!$A$1:$H$32</definedName>
    <definedName name="_xlnm.Print_Area" localSheetId="217">'LICORERIA TOICO JYG'!$A$1:$H$32</definedName>
    <definedName name="_xlnm.Print_Area" localSheetId="222">'LLUVIA BENDICIONES'!$A$1:$H$61</definedName>
    <definedName name="_xlnm.Print_Area" localSheetId="218">'LOS SARTENES DE AMITA'!$A$1:$H$47</definedName>
    <definedName name="_xlnm.Print_Area" localSheetId="219">LUBRICFILTROS!$A$1:$H$50</definedName>
    <definedName name="_xlnm.Print_Area" localSheetId="220">'LUDY CARRILLO'!$A$1:$H$33</definedName>
    <definedName name="_xlnm.Print_Area" localSheetId="223">LULU!$A$1:$H$32</definedName>
    <definedName name="_xlnm.Print_Area" localSheetId="224">'LUMA EXPRESS'!$A$1:$H$57</definedName>
    <definedName name="_xlnm.Print_Area" localSheetId="221">'LUNCHERIA LOLITA'!$A$1:$H$33</definedName>
    <definedName name="_xlnm.Print_Area" localSheetId="225">'MADEROS BODEGON'!$A$1:$H$59</definedName>
    <definedName name="_xlnm.Print_Area" localSheetId="226">'MAGIAS SPA'!$A$1:$H$32</definedName>
    <definedName name="_xlnm.Print_Area" localSheetId="228">'MAIRA CHACON'!$A$1:$H$67</definedName>
    <definedName name="_xlnm.Print_Area" localSheetId="227">'MANGO''S HOT DOG'!$A$1:$H$66</definedName>
    <definedName name="_xlnm.Print_Area" localSheetId="229">'MARIA CARRERO'!$A$1:$H$91</definedName>
    <definedName name="_xlnm.Print_Area" localSheetId="230">'MARIA JAIMES'!$A$1:$H$33</definedName>
    <definedName name="_xlnm.Print_Area" localSheetId="231">'MARIA RICO'!$A$1:$H$33</definedName>
    <definedName name="_xlnm.Print_Area" localSheetId="232">'MARICARMEN TERRAZA'!$A$1:$H$33</definedName>
    <definedName name="_xlnm.Print_Area" localSheetId="233">'MARIEXTER CACHAPAS'!$A$1:$H$74</definedName>
    <definedName name="_xlnm.Print_Area" localSheetId="236">'MARLENE CARRERO'!$A$1:$H$60</definedName>
    <definedName name="_xlnm.Print_Area" localSheetId="234">'MARTA MOLINA'!$A$1:$H$42</definedName>
    <definedName name="_xlnm.Print_Area" localSheetId="235">'MEGA MARKET'!$A$1:$H$42</definedName>
    <definedName name="_xlnm.Print_Area" localSheetId="238">'MERCA MAX'!$A$1:$H$86</definedName>
    <definedName name="_xlnm.Print_Area" localSheetId="237">'MERLI CAFE'!$A$1:$H$32</definedName>
    <definedName name="_xlnm.Print_Area" localSheetId="239">'MI ABASTO YELITZA'!$A$1:$H$39</definedName>
    <definedName name="_xlnm.Print_Area" localSheetId="240">'MI RANCHITO'!$A$1:$H$32</definedName>
    <definedName name="_xlnm.Print_Area" localSheetId="244">'MINI ABASTO EL SOL'!$A$1:$H$76</definedName>
    <definedName name="_xlnm.Print_Area" localSheetId="106">'MINIABASTO SANTO CRISTO'!$A$1:$H$87</definedName>
    <definedName name="_xlnm.Print_Area" localSheetId="241">'MINIMARKET BUENA VENTURA'!$A$1:$H$42</definedName>
    <definedName name="_xlnm.Print_Area" localSheetId="242">'MINIMARKET DETODITO'!$A$1:$H$57</definedName>
    <definedName name="_xlnm.Print_Area" localSheetId="243">'MINIMARKET TONY LAS CUADRAS'!$A$1:$H$85</definedName>
    <definedName name="_xlnm.Print_Area" localSheetId="245">'MIREYA MERCHAN'!$A$1:$H$49</definedName>
    <definedName name="_xlnm.Print_Area" localSheetId="246">'MORCILLAS WENDY'!$A$1:$H$32</definedName>
    <definedName name="_xlnm.Print_Area" localSheetId="247">'NELSON RAMIREZ'!$A$1:$H$77</definedName>
    <definedName name="_xlnm.Print_Area" localSheetId="248">'NEW YORK FITBOXING'!$A$1:$H$33</definedName>
    <definedName name="_xlnm.Print_Area" localSheetId="249">'NOREIMA LA MORDIDA'!$A$1:$H$33</definedName>
    <definedName name="_xlnm.Print_Area" localSheetId="251">'ORIANA CARRILLO'!$A$1:$H$32</definedName>
    <definedName name="_xlnm.Print_Area" localSheetId="250">'OSITO EXPRESS'!$A$1:$H$95</definedName>
    <definedName name="_xlnm.Print_Area" localSheetId="253">'PADEL BUNKER'!$A$1:$H$41</definedName>
    <definedName name="_xlnm.Print_Area" localSheetId="252">'PADEL X4 BTB'!$A$1:$H$64</definedName>
    <definedName name="_xlnm.Print_Area" localSheetId="254">'PANADERIA 3 ESQUINAS'!$A$1:$H$78</definedName>
    <definedName name="_xlnm.Print_Area" localSheetId="255">'PANADERIA CASCARITA'!$A$1:$H$52</definedName>
    <definedName name="_xlnm.Print_Area" localSheetId="256">'PANADERIA EL CONDOR'!$A$1:$H$63</definedName>
    <definedName name="_xlnm.Print_Area" localSheetId="257">'PANADERIA EL MANJAR'!$A$1:$H$32</definedName>
    <definedName name="_xlnm.Print_Area" localSheetId="258">'PANADERIA FLORES TRIGO'!$A$1:$H$38</definedName>
    <definedName name="_xlnm.Print_Area" localSheetId="259">'PANADERIA GLENDIZ'!$A$1:$H$43</definedName>
    <definedName name="_xlnm.Print_Area" localSheetId="260">'PANADERIA LA CREMITA'!$A$1:$H$98</definedName>
    <definedName name="_xlnm.Print_Area" localSheetId="261">'PANADERIA LA ESPIGA'!$A$1:$H$61</definedName>
    <definedName name="_xlnm.Print_Area" localSheetId="263">'PANADERIA MUNDO SABOR'!$A$1:$H$95</definedName>
    <definedName name="_xlnm.Print_Area" localSheetId="264">'PANADERIA PANINI'!$A$1:$H$54</definedName>
    <definedName name="_xlnm.Print_Area" localSheetId="265">'PANADERIA SMOKED'!$A$1:$H$42</definedName>
    <definedName name="_xlnm.Print_Area" localSheetId="266">'PANADERIA VENETIA'!$A$1:$H$57</definedName>
    <definedName name="_xlnm.Print_Area" localSheetId="262">'PANDERIA LA PURISIMA'!$A$1:$H$66</definedName>
    <definedName name="_xlnm.Print_Area" localSheetId="267">'PIEDRA PAPEL O CERVEZA'!$A$1:$H$56</definedName>
    <definedName name="_xlnm.Print_Area" localSheetId="269">'PIZZAS FRATELLO'!$A$1:$H$47</definedName>
    <definedName name="_xlnm.Print_Area" localSheetId="268">'PIZZERIA ARADO'!$A$1:$H$32</definedName>
    <definedName name="_xlnm.Print_Area" localSheetId="270">'PLASTICO CONSOLACION'!$A$1:$H$121</definedName>
    <definedName name="_xlnm.Print_Area" localSheetId="271">'PLASTICO YENNIFER PEREZ'!$A$1:$H$68</definedName>
    <definedName name="_xlnm.Print_Area" localSheetId="274">'POLLO BRASAS BUSTAMANTE'!$A$1:$H$42</definedName>
    <definedName name="_xlnm.Print_Area" localSheetId="273">'POLLO EXPRESS JYB'!$A$1:$H$32</definedName>
    <definedName name="_xlnm.Print_Area" localSheetId="272">'PRESTO MARKET'!$A$1:$H$64</definedName>
    <definedName name="_xlnm.Print_Area" localSheetId="275">'QUESERA DOBLE A'!$A$1:$H$32</definedName>
    <definedName name="_xlnm.Print_Area" localSheetId="276">'QUINCALLA JESUS DE NAZARENO'!$A$1:$H$45</definedName>
    <definedName name="_xlnm.Print_Area" localSheetId="277">'REINA ALARCON'!$A$1:$H$89</definedName>
    <definedName name="_xlnm.Print_Area" localSheetId="278">'RESTAURANT ALAS BRASAS'!$A$1:$H$32</definedName>
    <definedName name="_xlnm.Print_Area" localSheetId="279">'RESTAURANT AROMAS'!$A$1:$H$32</definedName>
    <definedName name="_xlnm.Print_Area" localSheetId="280">'RESTAURANT DONDE GRETA'!$A$1:$H$46</definedName>
    <definedName name="_xlnm.Print_Area" localSheetId="282">'RESTAURANT DONDE SANTOS'!$A$1:$H$136</definedName>
    <definedName name="_xlnm.Print_Area" localSheetId="281">'RESTAURANT EL CHAVALO'!$A$1:$H$61</definedName>
    <definedName name="_xlnm.Print_Area" localSheetId="283">'RESTAURANT HERMANO DUQUE'!$A$1:$H$48</definedName>
    <definedName name="_xlnm.Print_Area" localSheetId="284">'RESTAURANT Y PASTELERIA LA TENT'!$A$1:$H$44</definedName>
    <definedName name="_xlnm.Print_Area" localSheetId="0">RESUMEN!$A$1:$J$357</definedName>
    <definedName name="_xlnm.Print_Area" localSheetId="285">'RICHARD MONSARI'!$A$1:$H$32</definedName>
    <definedName name="_xlnm.Print_Area" localSheetId="286">'ROBERTO FIGUEREDO'!$A$1:$H$132</definedName>
    <definedName name="_xlnm.Print_Area" localSheetId="287">'ROCIO HERRERA'!$A$1:$H$32</definedName>
    <definedName name="_xlnm.Print_Area" localSheetId="288">'ROSA AURA MOLINA OLIVEROS'!$A$1:$H$66</definedName>
    <definedName name="_xlnm.Print_Area" localSheetId="289">'SANDRA ORTIZ'!$A$1:$H$32</definedName>
    <definedName name="_xlnm.Print_Area" localSheetId="294">'SARAY MOJIKA'!$A$1:$H$32</definedName>
    <definedName name="_xlnm.Print_Area" localSheetId="290">'SAUL Q FRUVER'!$A$1:$H$90</definedName>
    <definedName name="_xlnm.Print_Area" localSheetId="291">'SNAK''S 31'!$A$1:$H$93</definedName>
    <definedName name="_xlnm.Print_Area" localSheetId="292">'SOLANDE APARICIO'!$A$1:$H$32</definedName>
    <definedName name="_xlnm.Print_Area" localSheetId="293">'SONIA GRANADA'!$A$1:$H$40</definedName>
    <definedName name="_xlnm.Print_Area" localSheetId="295">'SUMINISTRO DE LIMPIEZA PARAMI'!$A$1:$H$50</definedName>
    <definedName name="_xlnm.Print_Area" localSheetId="296">'SUPERMERCADO MERCAFRUVER'!$A$1:$H$32</definedName>
    <definedName name="_xlnm.Print_Area" localSheetId="297">'SUPERMERCADO MIRCAR'!$A$1:$H$32</definedName>
    <definedName name="_xlnm.Print_Area" localSheetId="298">'TENGO TODO MENESES'!$A$1:$H$73</definedName>
    <definedName name="_xlnm.Print_Area" localSheetId="299">'TERRAZA BAR GRILL'!$A$1:$H$70</definedName>
    <definedName name="_xlnm.Print_Area" localSheetId="300">'TIBISAY MORALES'!$A$1:$H$82</definedName>
    <definedName name="_xlnm.Print_Area" localSheetId="301">'TIENDA D DAYANA'!$A$1:$H$89</definedName>
    <definedName name="_xlnm.Print_Area" localSheetId="302">'TIENDA LOS MIOS'!$A$1:$H$74</definedName>
    <definedName name="_xlnm.Print_Area" localSheetId="303">'TIENDA SANTO CRISTO'!$A$1:$H$53</definedName>
    <definedName name="_xlnm.Print_Area" localSheetId="305">'TODOCARNES PEDRO'!$A$1:$H$74</definedName>
    <definedName name="_xlnm.Print_Area" localSheetId="306">TORCOROMA!$A$1:$H$98</definedName>
    <definedName name="_xlnm.Print_Area" localSheetId="304">'TRIUNFO BET.COM'!$A$1:$H$32</definedName>
    <definedName name="_xlnm.Print_Area" localSheetId="307">'VANESA DIAZ'!$A$1:$H$61</definedName>
    <definedName name="_xlnm.Print_Area" localSheetId="308">'VARIEDADES ANA'!$A$1:$H$43</definedName>
    <definedName name="_xlnm.Print_Area" localSheetId="309">'VARIEDADES DYAN'!$A$1:$H$82</definedName>
    <definedName name="_xlnm.Print_Area" localSheetId="310">'VARIEDADES EL CHENTE'!$A$1:$H$90</definedName>
    <definedName name="_xlnm.Print_Area" localSheetId="311">'VARIEDADES JHOSTEPH'!$A$1:$H$60</definedName>
    <definedName name="_xlnm.Print_Area" localSheetId="312">'VARIEDADES JOSE GREGORIO HERNAN'!$A$1:$H$42</definedName>
    <definedName name="_xlnm.Print_Area" localSheetId="314">'VARIEDADES LA TURENA'!$A$1:$H$42</definedName>
    <definedName name="_xlnm.Print_Area" localSheetId="315">'VARIEDADES LUCY'!$A$1:$H$46</definedName>
    <definedName name="_xlnm.Print_Area" localSheetId="316">'VERIHUZKA ARELLANO'!$A$1:$H$89</definedName>
    <definedName name="_xlnm.Print_Area" localSheetId="317">'VILLA ROSSI'!$A$1:$H$88</definedName>
    <definedName name="_xlnm.Print_Area" localSheetId="318">'VIVERES BR'!$A$1:$H$33</definedName>
    <definedName name="_xlnm.Print_Area" localSheetId="319">'VIVERES CASTELLANA'!$A$1:$H$56</definedName>
    <definedName name="_xlnm.Print_Area" localSheetId="320">WAPUBLICIDAD!$A$1:$H$72</definedName>
    <definedName name="_xlnm.Print_Area" localSheetId="321">'WILFREDO BAYONA'!$A$1:$H$90</definedName>
    <definedName name="_xlnm.Print_Area" localSheetId="322">'YARITZA PEREZ'!$A$1:$H$81</definedName>
    <definedName name="_xlnm.Print_Area" localSheetId="324">'YEAH EXPRESS'!$A$1:$H$61</definedName>
    <definedName name="_xlnm.Print_Area" localSheetId="325">'YEIMO CHARCUTERIA'!$A$1:$H$89</definedName>
    <definedName name="_xlnm.Print_Area" localSheetId="326">'YIMY POLAR'!$A$1:$H$33</definedName>
    <definedName name="_xlnm.Print_Area" localSheetId="327">'YONATAN NINO'!$A$1:$H$71</definedName>
    <definedName name="_xlnm.Print_Area" localSheetId="328">'YORLEY GELVES'!$A$1:$H$36</definedName>
    <definedName name="_xlnm.Print_Area" localSheetId="329">'YURAIMA MORENO'!$A$1:$H$33</definedName>
    <definedName name="_xlnm.Print_Area" localSheetId="330">'ZONA CAFE'!$A$1:$H$49</definedName>
    <definedName name="_xlnm.Print_Area" localSheetId="331">'ZONA FRESS'!$A$1:$H$111</definedName>
    <definedName name="_xlnm.Print_Area" localSheetId="332">'ZONA MARKET'!$A$1:$H$43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C89" i="267"/>
  <c r="I89" i="267" s="1"/>
  <c r="M2" i="1"/>
  <c r="M3" i="1" s="1"/>
  <c r="M5" i="1" s="1"/>
  <c r="N68" i="164" l="1"/>
  <c r="L3" i="1"/>
  <c r="L5" i="1" s="1"/>
  <c r="L7" i="1" s="1"/>
  <c r="L10" i="1" s="1"/>
  <c r="L12" i="1" s="1"/>
  <c r="L18" i="1" s="1"/>
  <c r="L22" i="1" s="1"/>
  <c r="L24" i="1" s="1"/>
  <c r="K86" i="206" l="1"/>
  <c r="H166" i="1"/>
  <c r="F166" i="1"/>
  <c r="E166" i="1"/>
  <c r="C166" i="1"/>
  <c r="B166" i="1"/>
  <c r="G3" i="397"/>
  <c r="F3" i="397"/>
  <c r="G166" i="1" s="1"/>
  <c r="E3" i="397"/>
  <c r="D3" i="397"/>
  <c r="C3" i="397"/>
  <c r="D166" i="1" s="1"/>
  <c r="C85" i="267"/>
  <c r="I85" i="267" s="1"/>
  <c r="B97" i="1"/>
  <c r="C87" i="206"/>
  <c r="C73" i="164"/>
  <c r="H138" i="1" l="1"/>
  <c r="C138" i="1"/>
  <c r="B138" i="1"/>
  <c r="G3" i="396"/>
  <c r="F3" i="396"/>
  <c r="G138" i="1" s="1"/>
  <c r="E3" i="396"/>
  <c r="F138" i="1" s="1"/>
  <c r="D3" i="396"/>
  <c r="E138" i="1" s="1"/>
  <c r="C3" i="396"/>
  <c r="D138" i="1" s="1"/>
  <c r="C92" i="155"/>
  <c r="C321" i="1" l="1"/>
  <c r="B321" i="1"/>
  <c r="G3" i="395"/>
  <c r="H321" i="1" s="1"/>
  <c r="F3" i="395"/>
  <c r="G321" i="1" s="1"/>
  <c r="E3" i="395"/>
  <c r="F321" i="1" s="1"/>
  <c r="D3" i="395"/>
  <c r="E321" i="1" s="1"/>
  <c r="C3" i="395"/>
  <c r="D321" i="1" s="1"/>
  <c r="C84" i="267" l="1"/>
  <c r="I84" i="267" s="1"/>
  <c r="C28" i="228"/>
  <c r="C81" i="267" l="1"/>
  <c r="I81" i="267" s="1"/>
  <c r="C42" i="214"/>
  <c r="B168" i="1" l="1"/>
  <c r="C229" i="1"/>
  <c r="B229" i="1"/>
  <c r="G3" i="394"/>
  <c r="H229" i="1" s="1"/>
  <c r="F3" i="394"/>
  <c r="G229" i="1" s="1"/>
  <c r="E3" i="394"/>
  <c r="F229" i="1" s="1"/>
  <c r="D3" i="394"/>
  <c r="E229" i="1" s="1"/>
  <c r="C3" i="394"/>
  <c r="D229" i="1" s="1"/>
  <c r="J73" i="164"/>
  <c r="L73" i="219" l="1"/>
  <c r="L74" i="219" s="1"/>
  <c r="L68" i="219"/>
  <c r="L69" i="219" s="1"/>
  <c r="L70" i="219" s="1"/>
  <c r="N51" i="136"/>
  <c r="P59" i="225"/>
  <c r="O51" i="225"/>
  <c r="N88" i="155"/>
  <c r="L84" i="159"/>
  <c r="L83" i="159"/>
  <c r="L82" i="159"/>
  <c r="L81" i="159"/>
  <c r="L80" i="159"/>
  <c r="L79" i="159"/>
  <c r="L78" i="159"/>
  <c r="L77" i="159"/>
  <c r="L76" i="159"/>
  <c r="L75" i="159"/>
  <c r="C81" i="206"/>
  <c r="C71" i="164"/>
  <c r="C72" i="115"/>
  <c r="C88" i="159"/>
  <c r="C107" i="241"/>
  <c r="I71" i="115"/>
  <c r="K93" i="155"/>
  <c r="C51" i="136"/>
  <c r="C90" i="155"/>
  <c r="C79" i="267" l="1"/>
  <c r="I79" i="267" s="1"/>
  <c r="H155" i="89" l="1"/>
  <c r="H158" i="89"/>
  <c r="H159" i="89"/>
  <c r="H161" i="89"/>
  <c r="H167" i="89"/>
  <c r="H162" i="89"/>
  <c r="H166" i="89"/>
  <c r="H172" i="89"/>
  <c r="H173" i="89"/>
  <c r="H176" i="89"/>
  <c r="H177" i="89"/>
  <c r="H188" i="89"/>
  <c r="H198" i="89"/>
  <c r="I198" i="89" s="1"/>
  <c r="H200" i="89"/>
  <c r="H204" i="89"/>
  <c r="H205" i="89"/>
  <c r="H215" i="89"/>
  <c r="H216" i="89"/>
  <c r="H221" i="89"/>
  <c r="H222" i="89"/>
  <c r="I222" i="89" s="1"/>
  <c r="M166" i="89"/>
  <c r="M165" i="89"/>
  <c r="H13" i="89"/>
  <c r="H14" i="89"/>
  <c r="H199" i="89"/>
  <c r="H197" i="89"/>
  <c r="H187" i="89"/>
  <c r="H186" i="89"/>
  <c r="H185" i="89"/>
  <c r="I188" i="89"/>
  <c r="I177" i="89"/>
  <c r="I159" i="89"/>
  <c r="H154" i="89"/>
  <c r="H150" i="89"/>
  <c r="H145" i="89"/>
  <c r="H149" i="89"/>
  <c r="I150" i="89" s="1"/>
  <c r="H144" i="89"/>
  <c r="H142" i="89"/>
  <c r="H141" i="89"/>
  <c r="H136" i="89"/>
  <c r="H135" i="89"/>
  <c r="H130" i="89"/>
  <c r="H129" i="89"/>
  <c r="I130" i="89" s="1"/>
  <c r="H118" i="89"/>
  <c r="H117" i="89"/>
  <c r="H109" i="89"/>
  <c r="H110" i="89"/>
  <c r="H103" i="89"/>
  <c r="H102" i="89"/>
  <c r="H94" i="89"/>
  <c r="H95" i="89"/>
  <c r="I95" i="89" s="1"/>
  <c r="H88" i="89"/>
  <c r="H87" i="89"/>
  <c r="H80" i="89"/>
  <c r="H79" i="89"/>
  <c r="H72" i="89"/>
  <c r="H71" i="89"/>
  <c r="H66" i="89"/>
  <c r="H67" i="89"/>
  <c r="H61" i="89"/>
  <c r="H60" i="89"/>
  <c r="H56" i="89"/>
  <c r="H55" i="89"/>
  <c r="H50" i="89"/>
  <c r="H49" i="89"/>
  <c r="H45" i="89"/>
  <c r="H44" i="89"/>
  <c r="H41" i="89"/>
  <c r="H40" i="89"/>
  <c r="H35" i="89"/>
  <c r="H34" i="89"/>
  <c r="H31" i="89"/>
  <c r="H30" i="89"/>
  <c r="H29" i="89"/>
  <c r="H28" i="89"/>
  <c r="H24" i="89"/>
  <c r="H23" i="89"/>
  <c r="H21" i="89"/>
  <c r="H20" i="89"/>
  <c r="I21" i="89" s="1"/>
  <c r="H18" i="89"/>
  <c r="H17" i="89"/>
  <c r="I173" i="89" l="1"/>
  <c r="I167" i="89"/>
  <c r="I162" i="89"/>
  <c r="I18" i="89"/>
  <c r="I31" i="89"/>
  <c r="I136" i="89"/>
  <c r="I205" i="89"/>
  <c r="I35" i="89"/>
  <c r="I56" i="89"/>
  <c r="I142" i="89"/>
  <c r="I216" i="89"/>
  <c r="I155" i="89"/>
  <c r="I200" i="89"/>
  <c r="I186" i="89"/>
  <c r="I110" i="89"/>
  <c r="I29" i="89"/>
  <c r="I24" i="89"/>
  <c r="I118" i="89"/>
  <c r="I145" i="89"/>
  <c r="C279" i="1"/>
  <c r="B279" i="1"/>
  <c r="C191" i="1"/>
  <c r="B191" i="1"/>
  <c r="G3" i="393"/>
  <c r="H279" i="1" s="1"/>
  <c r="F3" i="393"/>
  <c r="G279" i="1" s="1"/>
  <c r="E3" i="393"/>
  <c r="F279" i="1" s="1"/>
  <c r="D3" i="393"/>
  <c r="E279" i="1" s="1"/>
  <c r="C3" i="393"/>
  <c r="D279" i="1" s="1"/>
  <c r="G3" i="392"/>
  <c r="H191" i="1" s="1"/>
  <c r="F3" i="392"/>
  <c r="G191" i="1" s="1"/>
  <c r="E3" i="392"/>
  <c r="F191" i="1" s="1"/>
  <c r="D3" i="392"/>
  <c r="E191" i="1" s="1"/>
  <c r="C3" i="392"/>
  <c r="D191" i="1" s="1"/>
  <c r="K220" i="89" l="1"/>
  <c r="C37" i="1"/>
  <c r="B37" i="1"/>
  <c r="G3" i="391"/>
  <c r="H37" i="1" s="1"/>
  <c r="F3" i="391"/>
  <c r="G37" i="1" s="1"/>
  <c r="E3" i="391"/>
  <c r="F37" i="1" s="1"/>
  <c r="D3" i="391"/>
  <c r="E37" i="1" s="1"/>
  <c r="C69" i="115"/>
  <c r="L69" i="115"/>
  <c r="L70" i="115" s="1"/>
  <c r="L71" i="115" s="1"/>
  <c r="M66" i="115"/>
  <c r="C3" i="391" l="1"/>
  <c r="D37" i="1" s="1"/>
  <c r="G9" i="1"/>
  <c r="F9" i="1"/>
  <c r="E9" i="1"/>
  <c r="C186" i="1" l="1"/>
  <c r="B186" i="1"/>
  <c r="G3" i="390"/>
  <c r="H186" i="1" s="1"/>
  <c r="F3" i="390"/>
  <c r="G186" i="1" s="1"/>
  <c r="E3" i="390"/>
  <c r="F186" i="1" s="1"/>
  <c r="D3" i="390"/>
  <c r="E186" i="1" s="1"/>
  <c r="C3" i="390"/>
  <c r="D186" i="1" s="1"/>
  <c r="C103" i="241"/>
  <c r="I103" i="241" s="1"/>
  <c r="C79" i="206"/>
  <c r="C53" i="54" l="1"/>
  <c r="C86" i="155"/>
  <c r="J72" i="164" l="1"/>
  <c r="C240" i="1" l="1"/>
  <c r="B240" i="1"/>
  <c r="G3" i="389"/>
  <c r="H240" i="1" s="1"/>
  <c r="F3" i="389"/>
  <c r="G240" i="1" s="1"/>
  <c r="E3" i="389"/>
  <c r="F240" i="1" s="1"/>
  <c r="D3" i="389"/>
  <c r="E240" i="1" s="1"/>
  <c r="C3" i="389"/>
  <c r="D240" i="1" s="1"/>
  <c r="C48" i="281" l="1"/>
  <c r="C155" i="1"/>
  <c r="B155" i="1"/>
  <c r="G3" i="388"/>
  <c r="H155" i="1" s="1"/>
  <c r="F3" i="388"/>
  <c r="G155" i="1" s="1"/>
  <c r="E3" i="388"/>
  <c r="F155" i="1" s="1"/>
  <c r="D3" i="388"/>
  <c r="E155" i="1" s="1"/>
  <c r="C3" i="388"/>
  <c r="D155" i="1" s="1"/>
  <c r="C77" i="267"/>
  <c r="I77" i="267" s="1"/>
  <c r="J46" i="136" l="1"/>
  <c r="B308" i="1" l="1"/>
  <c r="B309" i="1"/>
  <c r="C308" i="1"/>
  <c r="K80" i="387"/>
  <c r="C3" i="387"/>
  <c r="D308" i="1" s="1"/>
  <c r="F3" i="387"/>
  <c r="G308" i="1" s="1"/>
  <c r="E3" i="387"/>
  <c r="F308" i="1" s="1"/>
  <c r="D3" i="387"/>
  <c r="E308" i="1" s="1"/>
  <c r="C69" i="164"/>
  <c r="C54" i="225"/>
  <c r="C40" i="214"/>
  <c r="C85" i="159"/>
  <c r="G3" i="387" l="1"/>
  <c r="H308" i="1" s="1"/>
  <c r="C47" i="136" l="1"/>
  <c r="N32" i="136" l="1"/>
  <c r="O96" i="155"/>
  <c r="C174" i="1"/>
  <c r="B174" i="1"/>
  <c r="G3" i="386"/>
  <c r="H174" i="1" s="1"/>
  <c r="F3" i="386"/>
  <c r="G174" i="1" s="1"/>
  <c r="E3" i="386"/>
  <c r="F174" i="1" s="1"/>
  <c r="D3" i="386"/>
  <c r="E174" i="1" s="1"/>
  <c r="C3" i="386"/>
  <c r="D174" i="1" s="1"/>
  <c r="C75" i="267" l="1"/>
  <c r="I75" i="267" s="1"/>
  <c r="C110" i="183" l="1"/>
  <c r="C73" i="267"/>
  <c r="I73" i="267" s="1"/>
  <c r="C84" i="155"/>
  <c r="K80" i="206"/>
  <c r="O63" i="164"/>
  <c r="L55" i="225" l="1"/>
  <c r="M73" i="164"/>
  <c r="K36" i="214"/>
  <c r="C67" i="164" l="1"/>
  <c r="J66" i="164" l="1"/>
  <c r="C123" i="1" l="1"/>
  <c r="B123" i="1"/>
  <c r="G3" i="384"/>
  <c r="H123" i="1" s="1"/>
  <c r="F3" i="384"/>
  <c r="G123" i="1" s="1"/>
  <c r="E3" i="384"/>
  <c r="F123" i="1" s="1"/>
  <c r="D3" i="384"/>
  <c r="E123" i="1" s="1"/>
  <c r="C3" i="384"/>
  <c r="D123" i="1" s="1"/>
  <c r="C53" i="225" l="1"/>
  <c r="C36" i="1"/>
  <c r="B36" i="1"/>
  <c r="G3" i="383"/>
  <c r="H36" i="1" s="1"/>
  <c r="F3" i="383"/>
  <c r="G36" i="1" s="1"/>
  <c r="E3" i="383"/>
  <c r="F36" i="1" s="1"/>
  <c r="D3" i="383"/>
  <c r="E36" i="1" s="1"/>
  <c r="C3" i="383"/>
  <c r="D36" i="1" s="1"/>
  <c r="C69" i="267" l="1"/>
  <c r="I69" i="267" s="1"/>
  <c r="C68" i="267" l="1"/>
  <c r="I68" i="267" s="1"/>
  <c r="D197" i="89"/>
  <c r="C165" i="1"/>
  <c r="B165" i="1"/>
  <c r="G3" i="382"/>
  <c r="F3" i="382"/>
  <c r="E3" i="382"/>
  <c r="D3" i="382"/>
  <c r="C3" i="382"/>
  <c r="E165" i="1" l="1"/>
  <c r="H165" i="1"/>
  <c r="G165" i="1"/>
  <c r="F165" i="1"/>
  <c r="D165" i="1"/>
  <c r="C93" i="183"/>
  <c r="C82" i="183"/>
  <c r="C67" i="183"/>
  <c r="C62" i="183"/>
  <c r="C87" i="183"/>
  <c r="C136" i="1" l="1"/>
  <c r="B136" i="1"/>
  <c r="G3" i="381"/>
  <c r="H136" i="1" s="1"/>
  <c r="F3" i="381"/>
  <c r="G136" i="1" s="1"/>
  <c r="E3" i="381"/>
  <c r="F136" i="1" s="1"/>
  <c r="D3" i="381"/>
  <c r="E136" i="1" s="1"/>
  <c r="C3" i="381"/>
  <c r="D136" i="1" s="1"/>
  <c r="C50" i="225" l="1"/>
  <c r="C81" i="159"/>
  <c r="C147" i="1"/>
  <c r="B147" i="1"/>
  <c r="G3" i="380"/>
  <c r="H147" i="1" s="1"/>
  <c r="F3" i="380"/>
  <c r="G147" i="1" s="1"/>
  <c r="E3" i="380"/>
  <c r="F147" i="1" s="1"/>
  <c r="D3" i="380"/>
  <c r="E147" i="1" s="1"/>
  <c r="C3" i="380"/>
  <c r="D147" i="1" s="1"/>
  <c r="C92" i="241"/>
  <c r="C63" i="164" l="1"/>
  <c r="C51" i="54"/>
  <c r="C173" i="1"/>
  <c r="B173" i="1"/>
  <c r="G3" i="379"/>
  <c r="F3" i="379"/>
  <c r="E3" i="379"/>
  <c r="D3" i="379"/>
  <c r="C3" i="379"/>
  <c r="C80" i="155"/>
  <c r="D78" i="132"/>
  <c r="E173" i="1" l="1"/>
  <c r="F173" i="1"/>
  <c r="G173" i="1"/>
  <c r="H173" i="1"/>
  <c r="D173" i="1"/>
  <c r="I67" i="115"/>
  <c r="C64" i="115"/>
  <c r="I64" i="115"/>
  <c r="I65" i="115" s="1"/>
  <c r="I66" i="115" s="1"/>
  <c r="J45" i="225"/>
  <c r="I23" i="228"/>
  <c r="J69" i="164"/>
  <c r="C38" i="227"/>
  <c r="I39" i="227" s="1"/>
  <c r="I40" i="227" s="1"/>
  <c r="I41" i="227" s="1"/>
  <c r="K44" i="227"/>
  <c r="J52" i="54"/>
  <c r="C67" i="267"/>
  <c r="I67" i="267" s="1"/>
  <c r="C90" i="137" l="1"/>
  <c r="C75" i="206"/>
  <c r="C64" i="1"/>
  <c r="B64" i="1"/>
  <c r="C3" i="378"/>
  <c r="D64" i="1" s="1"/>
  <c r="G3" i="378"/>
  <c r="H64" i="1" s="1"/>
  <c r="F3" i="378"/>
  <c r="G64" i="1" s="1"/>
  <c r="E3" i="378"/>
  <c r="F64" i="1" s="1"/>
  <c r="D3" i="378"/>
  <c r="E64" i="1" s="1"/>
  <c r="C81" i="241"/>
  <c r="I81" i="241" s="1"/>
  <c r="C61" i="164" l="1"/>
  <c r="C78" i="155"/>
  <c r="C310" i="1"/>
  <c r="B310" i="1"/>
  <c r="C3" i="377"/>
  <c r="D310" i="1" s="1"/>
  <c r="F3" i="377"/>
  <c r="G310" i="1" s="1"/>
  <c r="E3" i="377"/>
  <c r="F310" i="1" s="1"/>
  <c r="D3" i="377"/>
  <c r="E310" i="1" s="1"/>
  <c r="G3" i="377" l="1"/>
  <c r="H310" i="1" s="1"/>
  <c r="C65" i="267" l="1"/>
  <c r="I65" i="267" s="1"/>
  <c r="C79" i="241" l="1"/>
  <c r="I79" i="241" s="1"/>
  <c r="C48" i="54"/>
  <c r="C36" i="214"/>
  <c r="C78" i="159"/>
  <c r="D120" i="91"/>
  <c r="D172" i="89"/>
  <c r="C78" i="241" l="1"/>
  <c r="C30" i="1"/>
  <c r="B30" i="1"/>
  <c r="G3" i="376"/>
  <c r="H30" i="1" s="1"/>
  <c r="F3" i="376"/>
  <c r="G30" i="1" s="1"/>
  <c r="E3" i="376"/>
  <c r="F30" i="1" s="1"/>
  <c r="D3" i="376"/>
  <c r="E30" i="1" s="1"/>
  <c r="C3" i="376"/>
  <c r="D30" i="1" s="1"/>
  <c r="C59" i="164" l="1"/>
  <c r="C76" i="155"/>
  <c r="J320" i="1" l="1"/>
  <c r="J319" i="1"/>
  <c r="J249" i="1"/>
  <c r="J239" i="1"/>
  <c r="J226" i="1"/>
  <c r="J218" i="1"/>
  <c r="J214" i="1"/>
  <c r="J162" i="1"/>
  <c r="J163" i="1"/>
  <c r="J159" i="1"/>
  <c r="J158" i="1"/>
  <c r="J113" i="1"/>
  <c r="J96" i="1"/>
  <c r="J52" i="1"/>
  <c r="J287" i="1"/>
  <c r="J225" i="1"/>
  <c r="J175" i="1"/>
  <c r="J153" i="1"/>
  <c r="J149" i="1"/>
  <c r="J148" i="1"/>
  <c r="B148" i="1"/>
  <c r="I109" i="124"/>
  <c r="I82" i="124"/>
  <c r="I77" i="124"/>
  <c r="I114" i="124"/>
  <c r="I111" i="124"/>
  <c r="I102" i="124"/>
  <c r="I99" i="124"/>
  <c r="I94" i="124"/>
  <c r="I88" i="124"/>
  <c r="C47" i="225"/>
  <c r="C196" i="1"/>
  <c r="B196" i="1"/>
  <c r="G3" i="375"/>
  <c r="H196" i="1" s="1"/>
  <c r="F3" i="375"/>
  <c r="G196" i="1" s="1"/>
  <c r="E3" i="375"/>
  <c r="F196" i="1" s="1"/>
  <c r="D3" i="375"/>
  <c r="E196" i="1" s="1"/>
  <c r="C3" i="375"/>
  <c r="D196" i="1" s="1"/>
  <c r="C313" i="1"/>
  <c r="B313" i="1"/>
  <c r="D3" i="374"/>
  <c r="E313" i="1" s="1"/>
  <c r="G3" i="374"/>
  <c r="H313" i="1" s="1"/>
  <c r="F3" i="374"/>
  <c r="G313" i="1" s="1"/>
  <c r="E3" i="374"/>
  <c r="F313" i="1" s="1"/>
  <c r="C3" i="374"/>
  <c r="D313" i="1" s="1"/>
  <c r="D30" i="132"/>
  <c r="D38" i="132"/>
  <c r="D68" i="132"/>
  <c r="D114" i="91"/>
  <c r="C63" i="267"/>
  <c r="I63" i="267" s="1"/>
  <c r="C24" i="228"/>
  <c r="J114" i="124" l="1"/>
  <c r="J111" i="124"/>
  <c r="J116" i="124"/>
  <c r="K63" i="164"/>
  <c r="C23" i="245" l="1"/>
  <c r="C69" i="241"/>
  <c r="C158" i="1"/>
  <c r="B158" i="1"/>
  <c r="G3" i="373"/>
  <c r="H158" i="1" s="1"/>
  <c r="F3" i="373"/>
  <c r="G158" i="1" s="1"/>
  <c r="E3" i="373"/>
  <c r="F158" i="1" s="1"/>
  <c r="D3" i="373"/>
  <c r="E158" i="1" s="1"/>
  <c r="C3" i="373"/>
  <c r="D158" i="1" s="1"/>
  <c r="C73" i="159"/>
  <c r="C72" i="159"/>
  <c r="B98" i="1"/>
  <c r="C98" i="1"/>
  <c r="G3" i="372"/>
  <c r="H98" i="1" s="1"/>
  <c r="F3" i="372"/>
  <c r="G98" i="1" s="1"/>
  <c r="E3" i="372"/>
  <c r="F98" i="1" s="1"/>
  <c r="D3" i="372"/>
  <c r="E98" i="1" s="1"/>
  <c r="C3" i="372"/>
  <c r="D98" i="1" s="1"/>
  <c r="C56" i="164" l="1"/>
  <c r="C44" i="136"/>
  <c r="C73" i="155"/>
  <c r="C175" i="1"/>
  <c r="B175" i="1"/>
  <c r="G3" i="371"/>
  <c r="F3" i="371"/>
  <c r="E3" i="371"/>
  <c r="D3" i="371"/>
  <c r="C3" i="371"/>
  <c r="D175" i="1" l="1"/>
  <c r="H175" i="1"/>
  <c r="G175" i="1"/>
  <c r="E175" i="1"/>
  <c r="F175" i="1"/>
  <c r="K58" i="164"/>
  <c r="J42" i="136"/>
  <c r="C239" i="1"/>
  <c r="B239" i="1"/>
  <c r="G3" i="370"/>
  <c r="F3" i="370"/>
  <c r="E3" i="370"/>
  <c r="D3" i="370"/>
  <c r="C3" i="370"/>
  <c r="C60" i="267"/>
  <c r="I60" i="267" s="1"/>
  <c r="C120" i="104"/>
  <c r="D239" i="1" l="1"/>
  <c r="G239" i="1"/>
  <c r="E239" i="1"/>
  <c r="H239" i="1"/>
  <c r="F239" i="1"/>
  <c r="C60" i="241"/>
  <c r="I60" i="241" s="1"/>
  <c r="C59" i="241"/>
  <c r="I59" i="241" s="1"/>
  <c r="C65" i="241"/>
  <c r="C218" i="1" l="1"/>
  <c r="B218" i="1"/>
  <c r="G3" i="369"/>
  <c r="H218" i="1" s="1"/>
  <c r="F3" i="369"/>
  <c r="G218" i="1" s="1"/>
  <c r="E3" i="369"/>
  <c r="F218" i="1" s="1"/>
  <c r="D3" i="369"/>
  <c r="E218" i="1" s="1"/>
  <c r="C3" i="369"/>
  <c r="D218" i="1" s="1"/>
  <c r="C159" i="1"/>
  <c r="B159" i="1"/>
  <c r="G3" i="368"/>
  <c r="F3" i="368"/>
  <c r="E3" i="368"/>
  <c r="D3" i="368"/>
  <c r="C3" i="368"/>
  <c r="B160" i="1"/>
  <c r="C160" i="1"/>
  <c r="C73" i="206"/>
  <c r="C34" i="214"/>
  <c r="C71" i="159"/>
  <c r="C54" i="164"/>
  <c r="C70" i="155"/>
  <c r="F159" i="1" l="1"/>
  <c r="G159" i="1"/>
  <c r="H159" i="1"/>
  <c r="D159" i="1"/>
  <c r="E159" i="1"/>
  <c r="C148" i="1"/>
  <c r="G3" i="367"/>
  <c r="H148" i="1" s="1"/>
  <c r="F3" i="367"/>
  <c r="G148" i="1" s="1"/>
  <c r="E3" i="367"/>
  <c r="F148" i="1" s="1"/>
  <c r="D3" i="367"/>
  <c r="E148" i="1" s="1"/>
  <c r="C3" i="367"/>
  <c r="D148" i="1" s="1"/>
  <c r="C58" i="267" l="1"/>
  <c r="I58" i="267" s="1"/>
  <c r="C55" i="241" l="1"/>
  <c r="I55" i="241" s="1"/>
  <c r="C69" i="206"/>
  <c r="C43" i="225"/>
  <c r="C46" i="54" l="1"/>
  <c r="C53" i="164"/>
  <c r="I56" i="164"/>
  <c r="C320" i="1" l="1"/>
  <c r="B320" i="1"/>
  <c r="G3" i="366"/>
  <c r="H320" i="1" s="1"/>
  <c r="F3" i="366"/>
  <c r="G320" i="1" s="1"/>
  <c r="E3" i="366"/>
  <c r="F320" i="1" s="1"/>
  <c r="D3" i="366"/>
  <c r="E320" i="1" s="1"/>
  <c r="C3" i="366"/>
  <c r="D320" i="1" s="1"/>
  <c r="C54" i="267"/>
  <c r="I54" i="267" s="1"/>
  <c r="B150" i="1" l="1"/>
  <c r="C68" i="206"/>
  <c r="C67" i="206"/>
  <c r="C68" i="159"/>
  <c r="C66" i="206"/>
  <c r="C150" i="1"/>
  <c r="C3" i="365"/>
  <c r="D150" i="1" s="1"/>
  <c r="G3" i="365"/>
  <c r="H150" i="1" s="1"/>
  <c r="F3" i="365"/>
  <c r="G150" i="1" s="1"/>
  <c r="E3" i="365"/>
  <c r="F150" i="1" s="1"/>
  <c r="D3" i="365"/>
  <c r="E150" i="1" s="1"/>
  <c r="C67" i="159"/>
  <c r="I67" i="159"/>
  <c r="I68" i="159" s="1"/>
  <c r="I69" i="159" s="1"/>
  <c r="I70" i="159" s="1"/>
  <c r="C66" i="155" l="1"/>
  <c r="C65" i="155"/>
  <c r="C51" i="164"/>
  <c r="K51" i="164"/>
  <c r="K52" i="164" s="1"/>
  <c r="K53" i="164" s="1"/>
  <c r="C214" i="1"/>
  <c r="B214" i="1"/>
  <c r="G3" i="364"/>
  <c r="H214" i="1" s="1"/>
  <c r="F3" i="364"/>
  <c r="G214" i="1" s="1"/>
  <c r="E3" i="364"/>
  <c r="F214" i="1" s="1"/>
  <c r="D3" i="364"/>
  <c r="E214" i="1" s="1"/>
  <c r="C3" i="364"/>
  <c r="D214" i="1" s="1"/>
  <c r="D135" i="89"/>
  <c r="K45" i="164" l="1"/>
  <c r="K61" i="159"/>
  <c r="K60" i="159"/>
  <c r="K59" i="159"/>
  <c r="K58" i="159"/>
  <c r="C34" i="267"/>
  <c r="C52" i="267"/>
  <c r="C49" i="267"/>
  <c r="C47" i="267"/>
  <c r="C43" i="267"/>
  <c r="C41" i="267"/>
  <c r="C37" i="267"/>
  <c r="C51" i="267"/>
  <c r="I51" i="267" s="1"/>
  <c r="J66" i="115" l="1"/>
  <c r="L45" i="54"/>
  <c r="I29" i="214" l="1"/>
  <c r="C62" i="206" l="1"/>
  <c r="C40" i="225"/>
  <c r="C60" i="159"/>
  <c r="C61" i="206"/>
  <c r="C100" i="1"/>
  <c r="B100" i="1"/>
  <c r="G3" i="363"/>
  <c r="H100" i="1" s="1"/>
  <c r="F3" i="363"/>
  <c r="G100" i="1" s="1"/>
  <c r="E3" i="363"/>
  <c r="F100" i="1" s="1"/>
  <c r="D3" i="363"/>
  <c r="E100" i="1" s="1"/>
  <c r="C3" i="363"/>
  <c r="D100" i="1" s="1"/>
  <c r="C39" i="225"/>
  <c r="C59" i="159"/>
  <c r="C153" i="1"/>
  <c r="B153" i="1"/>
  <c r="L40" i="362"/>
  <c r="L39" i="362"/>
  <c r="C3" i="362"/>
  <c r="D153" i="1" s="1"/>
  <c r="G3" i="362"/>
  <c r="H153" i="1" s="1"/>
  <c r="F3" i="362"/>
  <c r="G153" i="1" s="1"/>
  <c r="E3" i="362"/>
  <c r="F153" i="1" s="1"/>
  <c r="D3" i="362"/>
  <c r="E153" i="1" s="1"/>
  <c r="C3" i="131" l="1"/>
  <c r="C163" i="1"/>
  <c r="B163" i="1"/>
  <c r="G3" i="361"/>
  <c r="H163" i="1" s="1"/>
  <c r="F3" i="361"/>
  <c r="G163" i="1" s="1"/>
  <c r="E3" i="361"/>
  <c r="F163" i="1" s="1"/>
  <c r="D3" i="361"/>
  <c r="E163" i="1" s="1"/>
  <c r="C3" i="361"/>
  <c r="D163" i="1" s="1"/>
  <c r="C62" i="155" l="1"/>
  <c r="C61" i="155"/>
  <c r="C48" i="164"/>
  <c r="C52" i="1"/>
  <c r="B52" i="1"/>
  <c r="G3" i="360"/>
  <c r="H52" i="1" s="1"/>
  <c r="F3" i="360"/>
  <c r="G52" i="1" s="1"/>
  <c r="E3" i="360"/>
  <c r="F52" i="1" s="1"/>
  <c r="D3" i="360"/>
  <c r="E52" i="1" s="1"/>
  <c r="C3" i="360"/>
  <c r="D52" i="1" s="1"/>
  <c r="B151" i="1"/>
  <c r="C149" i="1"/>
  <c r="B149" i="1"/>
  <c r="C3" i="359"/>
  <c r="G3" i="359"/>
  <c r="F3" i="359"/>
  <c r="E3" i="359"/>
  <c r="D3" i="359"/>
  <c r="D149" i="1" l="1"/>
  <c r="E149" i="1"/>
  <c r="F149" i="1"/>
  <c r="H149" i="1"/>
  <c r="G149" i="1"/>
  <c r="C113" i="1"/>
  <c r="B113" i="1"/>
  <c r="G3" i="358"/>
  <c r="H113" i="1" s="1"/>
  <c r="F3" i="358"/>
  <c r="G113" i="1" s="1"/>
  <c r="E3" i="358"/>
  <c r="F113" i="1" s="1"/>
  <c r="D3" i="358"/>
  <c r="E113" i="1" s="1"/>
  <c r="C3" i="358"/>
  <c r="D113" i="1" s="1"/>
  <c r="L40" i="227" l="1"/>
  <c r="L39" i="227"/>
  <c r="C32" i="214"/>
  <c r="C31" i="214"/>
  <c r="C48" i="267"/>
  <c r="C249" i="1"/>
  <c r="B249" i="1"/>
  <c r="G3" i="357"/>
  <c r="H249" i="1" s="1"/>
  <c r="F3" i="357"/>
  <c r="G249" i="1" s="1"/>
  <c r="E3" i="357"/>
  <c r="F249" i="1" s="1"/>
  <c r="D3" i="357"/>
  <c r="E249" i="1" s="1"/>
  <c r="C3" i="357"/>
  <c r="D249" i="1" s="1"/>
  <c r="C56" i="206" l="1"/>
  <c r="C61" i="115"/>
  <c r="C55" i="206"/>
  <c r="C58" i="155" l="1"/>
  <c r="C56" i="159" l="1"/>
  <c r="C33" i="227"/>
  <c r="C43" i="54"/>
  <c r="C57" i="155"/>
  <c r="C46" i="164"/>
  <c r="C55" i="159"/>
  <c r="C45" i="267" l="1"/>
  <c r="C42" i="267" l="1"/>
  <c r="L15" i="271" l="1"/>
  <c r="L14" i="271"/>
  <c r="G3" i="356" l="1"/>
  <c r="H160" i="1" s="1"/>
  <c r="F3" i="356"/>
  <c r="G160" i="1" s="1"/>
  <c r="E3" i="356"/>
  <c r="F160" i="1" s="1"/>
  <c r="D3" i="356"/>
  <c r="E160" i="1" s="1"/>
  <c r="C3" i="356"/>
  <c r="D160" i="1" s="1"/>
  <c r="C319" i="1" l="1"/>
  <c r="B319" i="1"/>
  <c r="G3" i="355"/>
  <c r="H319" i="1" s="1"/>
  <c r="F3" i="355"/>
  <c r="G319" i="1" s="1"/>
  <c r="E3" i="355"/>
  <c r="F319" i="1" s="1"/>
  <c r="D3" i="355"/>
  <c r="E319" i="1" s="1"/>
  <c r="C3" i="355"/>
  <c r="D319" i="1" s="1"/>
  <c r="C37" i="225"/>
  <c r="C54" i="155"/>
  <c r="C36" i="225"/>
  <c r="C53" i="155"/>
  <c r="C30" i="227"/>
  <c r="C44" i="164"/>
  <c r="C52" i="159"/>
  <c r="C3" i="325"/>
  <c r="C38" i="267" l="1"/>
  <c r="J38" i="267" s="1"/>
  <c r="C35" i="267"/>
  <c r="J35" i="267" s="1"/>
  <c r="C30" i="267"/>
  <c r="C162" i="1"/>
  <c r="B162" i="1"/>
  <c r="G3" i="354"/>
  <c r="H162" i="1" s="1"/>
  <c r="F3" i="354"/>
  <c r="G162" i="1" s="1"/>
  <c r="E3" i="354"/>
  <c r="F162" i="1" s="1"/>
  <c r="D3" i="354"/>
  <c r="E162" i="1" s="1"/>
  <c r="C3" i="354"/>
  <c r="D162" i="1" s="1"/>
  <c r="C36" i="95"/>
  <c r="G3" i="353" l="1"/>
  <c r="F3" i="353"/>
  <c r="E3" i="353"/>
  <c r="D3" i="353"/>
  <c r="C3" i="353"/>
  <c r="C29" i="214" l="1"/>
  <c r="C28" i="214"/>
  <c r="C22" i="228"/>
  <c r="C21" i="228"/>
  <c r="C17" i="228"/>
  <c r="C49" i="206" l="1"/>
  <c r="C50" i="155"/>
  <c r="C48" i="206"/>
  <c r="C49" i="155"/>
  <c r="C48" i="159" l="1"/>
  <c r="C39" i="136"/>
  <c r="C41" i="54"/>
  <c r="C41" i="164"/>
  <c r="C47" i="159"/>
  <c r="C212" i="1"/>
  <c r="B212" i="1"/>
  <c r="C3" i="352"/>
  <c r="D212" i="1" s="1"/>
  <c r="G3" i="352"/>
  <c r="H212" i="1" s="1"/>
  <c r="F3" i="352"/>
  <c r="G212" i="1" s="1"/>
  <c r="E3" i="352"/>
  <c r="F212" i="1" s="1"/>
  <c r="D3" i="352"/>
  <c r="E212" i="1" s="1"/>
  <c r="C38" i="136" l="1"/>
  <c r="C31" i="225"/>
  <c r="C287" i="1"/>
  <c r="B287" i="1"/>
  <c r="G3" i="351"/>
  <c r="H287" i="1" s="1"/>
  <c r="F3" i="351"/>
  <c r="G287" i="1" s="1"/>
  <c r="E3" i="351"/>
  <c r="F287" i="1" s="1"/>
  <c r="D3" i="351"/>
  <c r="E287" i="1" s="1"/>
  <c r="C3" i="351"/>
  <c r="D287" i="1" s="1"/>
  <c r="C242" i="1" l="1"/>
  <c r="B242" i="1"/>
  <c r="C3" i="350"/>
  <c r="D242" i="1" s="1"/>
  <c r="G3" i="350"/>
  <c r="H242" i="1" s="1"/>
  <c r="F3" i="350"/>
  <c r="G242" i="1" s="1"/>
  <c r="E3" i="350"/>
  <c r="F242" i="1" s="1"/>
  <c r="D3" i="350"/>
  <c r="E242" i="1" s="1"/>
  <c r="C225" i="1" l="1"/>
  <c r="B225" i="1"/>
  <c r="G3" i="349"/>
  <c r="H225" i="1" s="1"/>
  <c r="F3" i="349"/>
  <c r="G225" i="1" s="1"/>
  <c r="E3" i="349"/>
  <c r="F225" i="1" s="1"/>
  <c r="D3" i="349"/>
  <c r="E225" i="1" s="1"/>
  <c r="C3" i="349"/>
  <c r="D225" i="1" s="1"/>
  <c r="C226" i="1"/>
  <c r="B226" i="1"/>
  <c r="G3" i="348"/>
  <c r="H226" i="1" s="1"/>
  <c r="F3" i="348"/>
  <c r="G226" i="1" s="1"/>
  <c r="E3" i="348"/>
  <c r="F226" i="1" s="1"/>
  <c r="D3" i="348"/>
  <c r="E226" i="1" s="1"/>
  <c r="C3" i="348"/>
  <c r="D226" i="1" s="1"/>
  <c r="C96" i="1"/>
  <c r="B96" i="1"/>
  <c r="G3" i="347"/>
  <c r="H96" i="1" s="1"/>
  <c r="F3" i="347"/>
  <c r="G96" i="1" s="1"/>
  <c r="E3" i="347"/>
  <c r="F96" i="1" s="1"/>
  <c r="D3" i="347"/>
  <c r="E96" i="1" s="1"/>
  <c r="C3" i="347"/>
  <c r="D96" i="1" s="1"/>
  <c r="J332" i="1" l="1"/>
  <c r="J326" i="1"/>
  <c r="J282" i="1"/>
  <c r="J180" i="1"/>
  <c r="J23" i="1"/>
  <c r="C47" i="206"/>
  <c r="C46" i="206"/>
  <c r="C326" i="1"/>
  <c r="B326" i="1"/>
  <c r="G3" i="346"/>
  <c r="H326" i="1" s="1"/>
  <c r="F3" i="346"/>
  <c r="G326" i="1" s="1"/>
  <c r="E3" i="346"/>
  <c r="F326" i="1" s="1"/>
  <c r="D3" i="346"/>
  <c r="E326" i="1" s="1"/>
  <c r="C3" i="346"/>
  <c r="D326" i="1" s="1"/>
  <c r="D22" i="325"/>
  <c r="C44" i="155"/>
  <c r="C43" i="155"/>
  <c r="C28" i="227"/>
  <c r="C42" i="159"/>
  <c r="J43" i="159"/>
  <c r="J44" i="159" s="1"/>
  <c r="J45" i="159" s="1"/>
  <c r="C39" i="164"/>
  <c r="C23" i="1"/>
  <c r="B23" i="1"/>
  <c r="G3" i="345"/>
  <c r="H23" i="1" s="1"/>
  <c r="F3" i="345"/>
  <c r="G23" i="1" s="1"/>
  <c r="E3" i="345"/>
  <c r="F23" i="1" s="1"/>
  <c r="D3" i="345"/>
  <c r="E23" i="1" s="1"/>
  <c r="C3" i="345"/>
  <c r="D23" i="1" s="1"/>
  <c r="C180" i="1"/>
  <c r="B180" i="1"/>
  <c r="C3" i="344"/>
  <c r="D180" i="1" s="1"/>
  <c r="G3" i="344"/>
  <c r="H180" i="1" s="1"/>
  <c r="F3" i="344"/>
  <c r="G180" i="1" s="1"/>
  <c r="E3" i="344"/>
  <c r="F180" i="1" s="1"/>
  <c r="D3" i="344"/>
  <c r="E180" i="1" s="1"/>
  <c r="C32" i="95"/>
  <c r="C30" i="95"/>
  <c r="C332" i="1"/>
  <c r="B332" i="1"/>
  <c r="G3" i="343"/>
  <c r="H332" i="1" s="1"/>
  <c r="F3" i="343"/>
  <c r="G332" i="1" s="1"/>
  <c r="E3" i="343"/>
  <c r="F332" i="1" s="1"/>
  <c r="D3" i="343"/>
  <c r="E332" i="1" s="1"/>
  <c r="C3" i="343"/>
  <c r="D332" i="1" s="1"/>
  <c r="D87" i="89" l="1"/>
  <c r="J31" i="267"/>
  <c r="J32" i="267" s="1"/>
  <c r="C282" i="1"/>
  <c r="B282" i="1"/>
  <c r="G3" i="342"/>
  <c r="H282" i="1" s="1"/>
  <c r="F3" i="342"/>
  <c r="G282" i="1" s="1"/>
  <c r="E3" i="342"/>
  <c r="F282" i="1" s="1"/>
  <c r="D3" i="342"/>
  <c r="E282" i="1" s="1"/>
  <c r="C3" i="342"/>
  <c r="D282" i="1" s="1"/>
  <c r="C47" i="86"/>
  <c r="C72" i="154"/>
  <c r="J292" i="1" l="1"/>
  <c r="J209" i="1"/>
  <c r="J118" i="1"/>
  <c r="J19" i="1"/>
  <c r="C44" i="206"/>
  <c r="C43" i="206"/>
  <c r="C42" i="206"/>
  <c r="C19" i="1"/>
  <c r="B19" i="1"/>
  <c r="G3" i="341"/>
  <c r="H19" i="1" s="1"/>
  <c r="F3" i="341"/>
  <c r="G19" i="1" s="1"/>
  <c r="E3" i="341"/>
  <c r="F19" i="1" s="1"/>
  <c r="D3" i="341"/>
  <c r="E19" i="1" s="1"/>
  <c r="C3" i="341"/>
  <c r="D19" i="1" s="1"/>
  <c r="C53" i="115"/>
  <c r="C40" i="206" l="1"/>
  <c r="C292" i="1" l="1"/>
  <c r="B292" i="1"/>
  <c r="G3" i="340"/>
  <c r="H292" i="1" s="1"/>
  <c r="F3" i="340"/>
  <c r="G292" i="1" s="1"/>
  <c r="E3" i="340"/>
  <c r="F292" i="1" s="1"/>
  <c r="D3" i="340"/>
  <c r="E292" i="1" s="1"/>
  <c r="C3" i="340"/>
  <c r="D292" i="1" s="1"/>
  <c r="C37" i="155" l="1"/>
  <c r="C36" i="54"/>
  <c r="C36" i="155"/>
  <c r="C37" i="164"/>
  <c r="C118" i="1"/>
  <c r="B118" i="1"/>
  <c r="G3" i="339"/>
  <c r="H118" i="1" s="1"/>
  <c r="F3" i="339"/>
  <c r="G118" i="1" s="1"/>
  <c r="E3" i="339"/>
  <c r="F118" i="1" s="1"/>
  <c r="D3" i="339"/>
  <c r="E118" i="1" s="1"/>
  <c r="C3" i="339"/>
  <c r="D118" i="1" s="1"/>
  <c r="C38" i="159"/>
  <c r="C17" i="245" l="1"/>
  <c r="C67" i="154" l="1"/>
  <c r="C26" i="214" l="1"/>
  <c r="C24" i="214"/>
  <c r="C209" i="1" l="1"/>
  <c r="B209" i="1"/>
  <c r="G3" i="338"/>
  <c r="H209" i="1" s="1"/>
  <c r="F3" i="338"/>
  <c r="G209" i="1" s="1"/>
  <c r="E3" i="338"/>
  <c r="F209" i="1" s="1"/>
  <c r="D3" i="338"/>
  <c r="E209" i="1" s="1"/>
  <c r="C3" i="338"/>
  <c r="D209" i="1" s="1"/>
  <c r="C13" i="245"/>
  <c r="J304" i="1"/>
  <c r="J254" i="1"/>
  <c r="J228" i="1"/>
  <c r="J135" i="1"/>
  <c r="J55" i="1"/>
  <c r="C304" i="1" l="1"/>
  <c r="B304" i="1"/>
  <c r="G3" i="337"/>
  <c r="H304" i="1" s="1"/>
  <c r="F3" i="337"/>
  <c r="G304" i="1" s="1"/>
  <c r="E3" i="337"/>
  <c r="F304" i="1" s="1"/>
  <c r="D3" i="337"/>
  <c r="E304" i="1" s="1"/>
  <c r="C3" i="337"/>
  <c r="D304" i="1" s="1"/>
  <c r="C228" i="1"/>
  <c r="B228" i="1"/>
  <c r="G3" i="336"/>
  <c r="F3" i="336"/>
  <c r="E3" i="336"/>
  <c r="D3" i="336"/>
  <c r="C3" i="336"/>
  <c r="D63" i="91"/>
  <c r="D228" i="1" l="1"/>
  <c r="E228" i="1"/>
  <c r="F228" i="1"/>
  <c r="G228" i="1"/>
  <c r="H228" i="1"/>
  <c r="C34" i="155"/>
  <c r="C35" i="159"/>
  <c r="C33" i="136"/>
  <c r="C33" i="155"/>
  <c r="C135" i="1"/>
  <c r="B135" i="1"/>
  <c r="G3" i="335"/>
  <c r="F3" i="335"/>
  <c r="E3" i="335"/>
  <c r="D3" i="335"/>
  <c r="C3" i="335"/>
  <c r="C34" i="159"/>
  <c r="C35" i="164"/>
  <c r="H135" i="1" l="1"/>
  <c r="D135" i="1"/>
  <c r="E135" i="1"/>
  <c r="G135" i="1"/>
  <c r="F135" i="1"/>
  <c r="C32" i="136"/>
  <c r="B121" i="1" l="1"/>
  <c r="C254" i="1"/>
  <c r="B254" i="1"/>
  <c r="G3" i="334"/>
  <c r="H254" i="1" s="1"/>
  <c r="F3" i="334"/>
  <c r="G254" i="1" s="1"/>
  <c r="E3" i="334"/>
  <c r="F254" i="1" s="1"/>
  <c r="D3" i="334"/>
  <c r="E254" i="1" s="1"/>
  <c r="C3" i="334"/>
  <c r="D254" i="1" s="1"/>
  <c r="C31" i="95"/>
  <c r="B32" i="1"/>
  <c r="C55" i="1" l="1"/>
  <c r="B55" i="1"/>
  <c r="G3" i="333"/>
  <c r="H55" i="1" s="1"/>
  <c r="F3" i="333"/>
  <c r="G55" i="1" s="1"/>
  <c r="E3" i="333"/>
  <c r="F55" i="1" s="1"/>
  <c r="D3" i="333"/>
  <c r="E55" i="1" s="1"/>
  <c r="C3" i="333"/>
  <c r="D55" i="1" s="1"/>
  <c r="C18" i="228" l="1"/>
  <c r="D72" i="89"/>
  <c r="D11" i="325"/>
  <c r="C58" i="90" l="1"/>
  <c r="J333" i="1" l="1"/>
  <c r="J328" i="1"/>
  <c r="J312" i="1"/>
  <c r="J145" i="1"/>
  <c r="J143" i="1"/>
  <c r="J120" i="1"/>
  <c r="J111" i="1"/>
  <c r="J69" i="1"/>
  <c r="J35" i="1"/>
  <c r="J322" i="1"/>
  <c r="J307" i="1"/>
  <c r="J243" i="1"/>
  <c r="J227" i="1"/>
  <c r="J223" i="1"/>
  <c r="J192" i="1"/>
  <c r="J172" i="1"/>
  <c r="J128" i="1"/>
  <c r="J117" i="1"/>
  <c r="J47" i="1"/>
  <c r="J31" i="1"/>
  <c r="C31" i="1"/>
  <c r="B31" i="1"/>
  <c r="G3" i="332"/>
  <c r="H31" i="1" s="1"/>
  <c r="F3" i="332"/>
  <c r="G31" i="1" s="1"/>
  <c r="E3" i="332"/>
  <c r="F31" i="1" s="1"/>
  <c r="D3" i="332"/>
  <c r="E31" i="1" s="1"/>
  <c r="C3" i="332"/>
  <c r="D31" i="1" s="1"/>
  <c r="M2" i="332"/>
  <c r="C39" i="206"/>
  <c r="C49" i="115"/>
  <c r="C27" i="225"/>
  <c r="C48" i="115"/>
  <c r="C38" i="206"/>
  <c r="D27" i="232"/>
  <c r="D17" i="235"/>
  <c r="C35" i="1"/>
  <c r="B35" i="1"/>
  <c r="G3" i="331"/>
  <c r="F3" i="331"/>
  <c r="E3" i="331"/>
  <c r="D3" i="331"/>
  <c r="C3" i="331"/>
  <c r="C69" i="1"/>
  <c r="B69" i="1"/>
  <c r="G3" i="330"/>
  <c r="H69" i="1" s="1"/>
  <c r="F3" i="330"/>
  <c r="G69" i="1" s="1"/>
  <c r="E3" i="330"/>
  <c r="F69" i="1" s="1"/>
  <c r="D3" i="330"/>
  <c r="E69" i="1" s="1"/>
  <c r="C3" i="330"/>
  <c r="D69" i="1" s="1"/>
  <c r="G35" i="1" l="1"/>
  <c r="H35" i="1"/>
  <c r="D35" i="1"/>
  <c r="E35" i="1"/>
  <c r="F35" i="1"/>
  <c r="C35" i="206"/>
  <c r="C31" i="136"/>
  <c r="C32" i="159"/>
  <c r="C25" i="227"/>
  <c r="C33" i="54"/>
  <c r="C33" i="164"/>
  <c r="C227" i="1"/>
  <c r="B227" i="1"/>
  <c r="G3" i="329" l="1"/>
  <c r="F3" i="329"/>
  <c r="E3" i="329"/>
  <c r="D3" i="329"/>
  <c r="C3" i="329"/>
  <c r="E227" i="1" l="1"/>
  <c r="D227" i="1"/>
  <c r="F227" i="1"/>
  <c r="G227" i="1"/>
  <c r="H227" i="1"/>
  <c r="C47" i="1"/>
  <c r="B47" i="1"/>
  <c r="G3" i="328"/>
  <c r="H47" i="1" s="1"/>
  <c r="F3" i="328"/>
  <c r="G47" i="1" s="1"/>
  <c r="E3" i="328"/>
  <c r="F47" i="1" s="1"/>
  <c r="D3" i="328"/>
  <c r="E47" i="1" s="1"/>
  <c r="C3" i="328"/>
  <c r="D47" i="1" s="1"/>
  <c r="C322" i="1"/>
  <c r="B322" i="1"/>
  <c r="G3" i="327"/>
  <c r="F3" i="327"/>
  <c r="E3" i="327"/>
  <c r="D3" i="327"/>
  <c r="C3" i="327"/>
  <c r="C143" i="1"/>
  <c r="B143" i="1"/>
  <c r="G3" i="326"/>
  <c r="H143" i="1" s="1"/>
  <c r="F3" i="326"/>
  <c r="G143" i="1" s="1"/>
  <c r="E3" i="326"/>
  <c r="F143" i="1" s="1"/>
  <c r="D3" i="326"/>
  <c r="E143" i="1" s="1"/>
  <c r="C3" i="326"/>
  <c r="D143" i="1" s="1"/>
  <c r="D68" i="89"/>
  <c r="G322" i="1" l="1"/>
  <c r="H322" i="1"/>
  <c r="D322" i="1"/>
  <c r="E322" i="1"/>
  <c r="F322" i="1"/>
  <c r="C307" i="1"/>
  <c r="B307" i="1"/>
  <c r="D307" i="1"/>
  <c r="G3" i="325"/>
  <c r="H307" i="1" s="1"/>
  <c r="F3" i="325"/>
  <c r="G307" i="1" s="1"/>
  <c r="E3" i="325"/>
  <c r="F307" i="1" s="1"/>
  <c r="D3" i="325"/>
  <c r="E307" i="1" s="1"/>
  <c r="C30" i="155" l="1"/>
  <c r="C26" i="225"/>
  <c r="C29" i="155"/>
  <c r="C328" i="1"/>
  <c r="B328" i="1"/>
  <c r="G3" i="324"/>
  <c r="H328" i="1" s="1"/>
  <c r="F3" i="324"/>
  <c r="G328" i="1" s="1"/>
  <c r="E3" i="324"/>
  <c r="F328" i="1" s="1"/>
  <c r="D3" i="324"/>
  <c r="E328" i="1" s="1"/>
  <c r="C3" i="324"/>
  <c r="D328" i="1" s="1"/>
  <c r="C25" i="225"/>
  <c r="C30" i="164"/>
  <c r="C30" i="291"/>
  <c r="D60" i="89"/>
  <c r="D53" i="91"/>
  <c r="C46" i="183"/>
  <c r="C333" i="1"/>
  <c r="B333" i="1"/>
  <c r="G3" i="323"/>
  <c r="F3" i="323"/>
  <c r="E3" i="323"/>
  <c r="D3" i="323"/>
  <c r="C3" i="323"/>
  <c r="D333" i="1" l="1"/>
  <c r="G333" i="1"/>
  <c r="E333" i="1"/>
  <c r="F333" i="1"/>
  <c r="H333" i="1"/>
  <c r="C45" i="115"/>
  <c r="C111" i="1" l="1"/>
  <c r="B111" i="1"/>
  <c r="G3" i="322"/>
  <c r="H111" i="1" s="1"/>
  <c r="F3" i="322"/>
  <c r="G111" i="1" s="1"/>
  <c r="E3" i="322"/>
  <c r="F111" i="1" s="1"/>
  <c r="D3" i="322"/>
  <c r="E111" i="1" s="1"/>
  <c r="C3" i="322"/>
  <c r="D111" i="1" s="1"/>
  <c r="C14" i="313" l="1"/>
  <c r="C21" i="214" l="1"/>
  <c r="C192" i="1"/>
  <c r="B192" i="1"/>
  <c r="G3" i="321"/>
  <c r="F3" i="321"/>
  <c r="E3" i="321"/>
  <c r="D3" i="321"/>
  <c r="C3" i="321"/>
  <c r="D192" i="1" s="1"/>
  <c r="H192" i="1" l="1"/>
  <c r="E192" i="1"/>
  <c r="F192" i="1"/>
  <c r="G192" i="1"/>
  <c r="D23" i="276"/>
  <c r="D52" i="90"/>
  <c r="D7" i="318"/>
  <c r="C117" i="1" l="1"/>
  <c r="B117" i="1"/>
  <c r="G3" i="320"/>
  <c r="H117" i="1" s="1"/>
  <c r="F3" i="320"/>
  <c r="G117" i="1" s="1"/>
  <c r="E3" i="320"/>
  <c r="F117" i="1" s="1"/>
  <c r="D3" i="320"/>
  <c r="E117" i="1" s="1"/>
  <c r="C3" i="320"/>
  <c r="D117" i="1" s="1"/>
  <c r="C27" i="136"/>
  <c r="C30" i="159"/>
  <c r="C29" i="159"/>
  <c r="C26" i="136"/>
  <c r="C28" i="54" l="1"/>
  <c r="C25" i="155"/>
  <c r="C26" i="155"/>
  <c r="C120" i="1"/>
  <c r="B120" i="1"/>
  <c r="G3" i="319"/>
  <c r="H120" i="1" s="1"/>
  <c r="F3" i="319"/>
  <c r="G120" i="1" s="1"/>
  <c r="E3" i="319"/>
  <c r="F120" i="1" s="1"/>
  <c r="D3" i="319"/>
  <c r="E120" i="1" s="1"/>
  <c r="C3" i="319"/>
  <c r="D120" i="1" s="1"/>
  <c r="C28" i="164"/>
  <c r="L9" i="268" l="1"/>
  <c r="L8" i="268"/>
  <c r="D48" i="91"/>
  <c r="C243" i="1"/>
  <c r="B243" i="1"/>
  <c r="G3" i="318"/>
  <c r="H243" i="1" s="1"/>
  <c r="F3" i="318"/>
  <c r="G243" i="1" s="1"/>
  <c r="E3" i="318"/>
  <c r="F243" i="1" s="1"/>
  <c r="D3" i="318"/>
  <c r="E243" i="1" s="1"/>
  <c r="C3" i="318"/>
  <c r="D243" i="1" s="1"/>
  <c r="L10" i="268" l="1"/>
  <c r="C39" i="90"/>
  <c r="C128" i="1" l="1"/>
  <c r="B128" i="1"/>
  <c r="G3" i="317"/>
  <c r="H128" i="1" s="1"/>
  <c r="F3" i="317"/>
  <c r="G128" i="1" s="1"/>
  <c r="E3" i="317"/>
  <c r="F128" i="1" s="1"/>
  <c r="D3" i="317"/>
  <c r="E128" i="1" s="1"/>
  <c r="C3" i="317"/>
  <c r="D128" i="1" s="1"/>
  <c r="C172" i="1" l="1"/>
  <c r="B172" i="1"/>
  <c r="G3" i="316"/>
  <c r="F3" i="316"/>
  <c r="E3" i="316"/>
  <c r="D3" i="316"/>
  <c r="C3" i="316"/>
  <c r="D172" i="1" l="1"/>
  <c r="E172" i="1"/>
  <c r="F172" i="1"/>
  <c r="H172" i="1"/>
  <c r="G172" i="1"/>
  <c r="C14" i="228"/>
  <c r="C13" i="228"/>
  <c r="J251" i="1" l="1"/>
  <c r="J234" i="1"/>
  <c r="J72" i="1"/>
  <c r="J133" i="1"/>
  <c r="C27" i="159"/>
  <c r="C26" i="159"/>
  <c r="C33" i="206"/>
  <c r="C32" i="206"/>
  <c r="C26" i="95"/>
  <c r="C25" i="95"/>
  <c r="C24" i="95"/>
  <c r="C24" i="164" l="1"/>
  <c r="C21" i="227" l="1"/>
  <c r="C20" i="225"/>
  <c r="C21" i="225"/>
  <c r="C22" i="225"/>
  <c r="C40" i="183" l="1"/>
  <c r="C312" i="1" l="1"/>
  <c r="B312" i="1"/>
  <c r="G3" i="315"/>
  <c r="H312" i="1" s="1"/>
  <c r="F3" i="315"/>
  <c r="G312" i="1" s="1"/>
  <c r="E3" i="315"/>
  <c r="F312" i="1" s="1"/>
  <c r="D3" i="315"/>
  <c r="E312" i="1" s="1"/>
  <c r="C3" i="315"/>
  <c r="D312" i="1" s="1"/>
  <c r="C41" i="115" l="1"/>
  <c r="C40" i="115"/>
  <c r="C18" i="214"/>
  <c r="C11" i="158" l="1"/>
  <c r="C37" i="183" l="1"/>
  <c r="C23" i="136"/>
  <c r="C17" i="225"/>
  <c r="C22" i="136"/>
  <c r="C16" i="225"/>
  <c r="C21" i="136" l="1"/>
  <c r="C23" i="164"/>
  <c r="C133" i="1"/>
  <c r="B133" i="1"/>
  <c r="G3" i="314"/>
  <c r="H133" i="1" s="1"/>
  <c r="F3" i="314"/>
  <c r="G133" i="1" s="1"/>
  <c r="E3" i="314"/>
  <c r="F133" i="1" s="1"/>
  <c r="D3" i="314"/>
  <c r="E133" i="1" s="1"/>
  <c r="C3" i="314"/>
  <c r="D133" i="1" s="1"/>
  <c r="C251" i="1"/>
  <c r="B251" i="1"/>
  <c r="G3" i="313"/>
  <c r="H251" i="1" s="1"/>
  <c r="F3" i="313"/>
  <c r="G251" i="1" s="1"/>
  <c r="E3" i="313"/>
  <c r="F251" i="1" s="1"/>
  <c r="D3" i="313"/>
  <c r="E251" i="1" s="1"/>
  <c r="C3" i="313"/>
  <c r="D251" i="1" s="1"/>
  <c r="C223" i="1" l="1"/>
  <c r="B223" i="1"/>
  <c r="G3" i="312"/>
  <c r="H223" i="1" s="1"/>
  <c r="F3" i="312"/>
  <c r="G223" i="1" s="1"/>
  <c r="E3" i="312"/>
  <c r="F223" i="1" s="1"/>
  <c r="D3" i="312"/>
  <c r="E223" i="1" s="1"/>
  <c r="C3" i="312"/>
  <c r="D223" i="1" s="1"/>
  <c r="C21" i="54" l="1"/>
  <c r="C22" i="155" l="1"/>
  <c r="C21" i="155"/>
  <c r="C145" i="1"/>
  <c r="B145" i="1"/>
  <c r="G3" i="311"/>
  <c r="H145" i="1" s="1"/>
  <c r="F3" i="311"/>
  <c r="G145" i="1" s="1"/>
  <c r="E3" i="311"/>
  <c r="F145" i="1" s="1"/>
  <c r="D3" i="311"/>
  <c r="E145" i="1" s="1"/>
  <c r="C3" i="311"/>
  <c r="D145" i="1" s="1"/>
  <c r="G29" i="206" l="1"/>
  <c r="C29" i="206" s="1"/>
  <c r="C30" i="206"/>
  <c r="C37" i="115"/>
  <c r="C28" i="206"/>
  <c r="C72" i="1"/>
  <c r="B72" i="1"/>
  <c r="G3" i="308"/>
  <c r="H72" i="1" s="1"/>
  <c r="F3" i="308"/>
  <c r="G72" i="1" s="1"/>
  <c r="E3" i="308"/>
  <c r="F72" i="1" s="1"/>
  <c r="D3" i="308"/>
  <c r="E72" i="1" s="1"/>
  <c r="C3" i="308"/>
  <c r="D72" i="1" s="1"/>
  <c r="C234" i="1"/>
  <c r="B234" i="1"/>
  <c r="G3" i="307"/>
  <c r="H234" i="1" s="1"/>
  <c r="F3" i="307"/>
  <c r="G234" i="1" s="1"/>
  <c r="E3" i="307"/>
  <c r="F234" i="1" s="1"/>
  <c r="D3" i="307"/>
  <c r="E234" i="1" s="1"/>
  <c r="C3" i="307"/>
  <c r="D234" i="1" s="1"/>
  <c r="C3" i="206" l="1"/>
  <c r="J324" i="1"/>
  <c r="J297" i="1"/>
  <c r="J199" i="1"/>
  <c r="J197" i="1"/>
  <c r="J183" i="1"/>
  <c r="J178" i="1"/>
  <c r="J139" i="1"/>
  <c r="J129" i="1"/>
  <c r="J126" i="1"/>
  <c r="J107" i="1"/>
  <c r="J101" i="1"/>
  <c r="J83" i="1"/>
  <c r="J46" i="1"/>
  <c r="J33" i="1"/>
  <c r="J21" i="1"/>
  <c r="C22" i="54"/>
  <c r="C17" i="227"/>
  <c r="C22" i="164"/>
  <c r="M2" i="122"/>
  <c r="C33" i="1"/>
  <c r="B33" i="1"/>
  <c r="G3" i="306"/>
  <c r="H33" i="1" s="1"/>
  <c r="F3" i="306"/>
  <c r="G33" i="1" s="1"/>
  <c r="E3" i="306"/>
  <c r="F33" i="1" s="1"/>
  <c r="D3" i="306"/>
  <c r="E33" i="1" s="1"/>
  <c r="C3" i="306"/>
  <c r="D33" i="1" s="1"/>
  <c r="C21" i="95"/>
  <c r="C20" i="95"/>
  <c r="C19" i="95"/>
  <c r="C183" i="1" l="1"/>
  <c r="B183" i="1"/>
  <c r="G3" i="305"/>
  <c r="H183" i="1" s="1"/>
  <c r="F3" i="305"/>
  <c r="G183" i="1" s="1"/>
  <c r="E3" i="305"/>
  <c r="F183" i="1" s="1"/>
  <c r="D3" i="305"/>
  <c r="E183" i="1" s="1"/>
  <c r="C3" i="305"/>
  <c r="D183" i="1" s="1"/>
  <c r="C16" i="214"/>
  <c r="C15" i="214"/>
  <c r="C14" i="214"/>
  <c r="C21" i="1" l="1"/>
  <c r="B21" i="1"/>
  <c r="G3" i="304"/>
  <c r="H21" i="1" s="1"/>
  <c r="F3" i="304"/>
  <c r="G21" i="1" s="1"/>
  <c r="E3" i="304"/>
  <c r="F21" i="1" s="1"/>
  <c r="D3" i="304"/>
  <c r="E21" i="1" s="1"/>
  <c r="C3" i="304"/>
  <c r="D21" i="1" s="1"/>
  <c r="C126" i="1"/>
  <c r="B126" i="1"/>
  <c r="G3" i="303"/>
  <c r="H126" i="1" s="1"/>
  <c r="F3" i="303"/>
  <c r="G126" i="1" s="1"/>
  <c r="E3" i="303"/>
  <c r="F126" i="1" s="1"/>
  <c r="D3" i="303"/>
  <c r="E126" i="1" s="1"/>
  <c r="C3" i="303"/>
  <c r="D126" i="1" s="1"/>
  <c r="C83" i="1"/>
  <c r="B83" i="1"/>
  <c r="G3" i="302"/>
  <c r="H83" i="1" s="1"/>
  <c r="F3" i="302"/>
  <c r="G83" i="1" s="1"/>
  <c r="E3" i="302"/>
  <c r="F83" i="1" s="1"/>
  <c r="D3" i="302"/>
  <c r="E83" i="1" s="1"/>
  <c r="C3" i="302"/>
  <c r="D83" i="1" s="1"/>
  <c r="C199" i="1"/>
  <c r="B199" i="1"/>
  <c r="G3" i="301"/>
  <c r="H199" i="1" s="1"/>
  <c r="F3" i="301"/>
  <c r="G199" i="1" s="1"/>
  <c r="E3" i="301"/>
  <c r="F199" i="1" s="1"/>
  <c r="D3" i="301"/>
  <c r="E199" i="1" s="1"/>
  <c r="C3" i="301"/>
  <c r="D199" i="1" s="1"/>
  <c r="C46" i="1"/>
  <c r="B46" i="1"/>
  <c r="G3" i="300"/>
  <c r="H46" i="1" s="1"/>
  <c r="F3" i="300"/>
  <c r="G46" i="1" s="1"/>
  <c r="E3" i="300"/>
  <c r="F46" i="1" s="1"/>
  <c r="D3" i="300"/>
  <c r="E46" i="1" s="1"/>
  <c r="C3" i="300"/>
  <c r="D46" i="1" s="1"/>
  <c r="C18" i="155"/>
  <c r="C20" i="164"/>
  <c r="C129" i="1" l="1"/>
  <c r="B129" i="1"/>
  <c r="G3" i="299"/>
  <c r="F3" i="299"/>
  <c r="E3" i="299"/>
  <c r="D3" i="299"/>
  <c r="C3" i="299"/>
  <c r="D129" i="1" s="1"/>
  <c r="C324" i="1"/>
  <c r="B324" i="1"/>
  <c r="G3" i="298"/>
  <c r="H324" i="1" s="1"/>
  <c r="F3" i="298"/>
  <c r="G324" i="1" s="1"/>
  <c r="E3" i="298"/>
  <c r="F324" i="1" s="1"/>
  <c r="D3" i="298"/>
  <c r="E324" i="1" s="1"/>
  <c r="C3" i="298"/>
  <c r="D324" i="1" s="1"/>
  <c r="E129" i="1" l="1"/>
  <c r="G129" i="1"/>
  <c r="H129" i="1"/>
  <c r="F129" i="1"/>
  <c r="D3" i="159"/>
  <c r="C21" i="159"/>
  <c r="C20" i="159"/>
  <c r="C297" i="1"/>
  <c r="B297" i="1"/>
  <c r="G3" i="297"/>
  <c r="H297" i="1" s="1"/>
  <c r="F3" i="297"/>
  <c r="G297" i="1" s="1"/>
  <c r="E3" i="297"/>
  <c r="F297" i="1" s="1"/>
  <c r="D3" i="297"/>
  <c r="E297" i="1" s="1"/>
  <c r="C3" i="297"/>
  <c r="D297" i="1" s="1"/>
  <c r="C29" i="90"/>
  <c r="C139" i="1" l="1"/>
  <c r="B139" i="1"/>
  <c r="G3" i="296"/>
  <c r="H139" i="1" s="1"/>
  <c r="F3" i="296"/>
  <c r="G139" i="1" s="1"/>
  <c r="E3" i="296"/>
  <c r="F139" i="1" s="1"/>
  <c r="D3" i="296"/>
  <c r="E139" i="1" s="1"/>
  <c r="C3" i="296"/>
  <c r="D139" i="1" s="1"/>
  <c r="C178" i="1" l="1"/>
  <c r="B178" i="1"/>
  <c r="G3" i="295"/>
  <c r="H178" i="1" s="1"/>
  <c r="F3" i="295"/>
  <c r="G178" i="1" s="1"/>
  <c r="E3" i="295"/>
  <c r="F178" i="1" s="1"/>
  <c r="D3" i="295"/>
  <c r="E178" i="1" s="1"/>
  <c r="C3" i="295"/>
  <c r="D178" i="1" s="1"/>
  <c r="C101" i="1" l="1"/>
  <c r="B101" i="1"/>
  <c r="G3" i="293" l="1"/>
  <c r="H101" i="1" s="1"/>
  <c r="F3" i="293"/>
  <c r="G101" i="1" s="1"/>
  <c r="E3" i="293"/>
  <c r="F101" i="1" s="1"/>
  <c r="D3" i="293"/>
  <c r="E101" i="1" s="1"/>
  <c r="C3" i="293"/>
  <c r="D101" i="1" s="1"/>
  <c r="C12" i="225" l="1"/>
  <c r="C107" i="1"/>
  <c r="B107" i="1"/>
  <c r="G3" i="292"/>
  <c r="H107" i="1" s="1"/>
  <c r="F3" i="292"/>
  <c r="G107" i="1" s="1"/>
  <c r="E3" i="292"/>
  <c r="F107" i="1" s="1"/>
  <c r="D3" i="292"/>
  <c r="E107" i="1" s="1"/>
  <c r="C3" i="292"/>
  <c r="D107" i="1" s="1"/>
  <c r="C11" i="225"/>
  <c r="C15" i="227"/>
  <c r="C197" i="1"/>
  <c r="B197" i="1"/>
  <c r="G3" i="291"/>
  <c r="H197" i="1" s="1"/>
  <c r="F3" i="291"/>
  <c r="G197" i="1" s="1"/>
  <c r="E3" i="291"/>
  <c r="F197" i="1" s="1"/>
  <c r="D3" i="291"/>
  <c r="E197" i="1" s="1"/>
  <c r="C3" i="291"/>
  <c r="D197" i="1" s="1"/>
  <c r="C17" i="164"/>
  <c r="C8" i="228" l="1"/>
  <c r="C16" i="95" l="1"/>
  <c r="J288" i="1"/>
  <c r="C288" i="1"/>
  <c r="B288" i="1"/>
  <c r="G3" i="290"/>
  <c r="H288" i="1" s="1"/>
  <c r="F3" i="290"/>
  <c r="G288" i="1" s="1"/>
  <c r="E3" i="290"/>
  <c r="F288" i="1" s="1"/>
  <c r="D3" i="290"/>
  <c r="E288" i="1" s="1"/>
  <c r="C3" i="290"/>
  <c r="D288" i="1" s="1"/>
  <c r="C15" i="95"/>
  <c r="C20" i="54"/>
  <c r="J327" i="1" l="1"/>
  <c r="J318" i="1"/>
  <c r="J296" i="1"/>
  <c r="J293" i="1"/>
  <c r="J286" i="1"/>
  <c r="J277" i="1"/>
  <c r="J264" i="1"/>
  <c r="J208" i="1"/>
  <c r="J206" i="1"/>
  <c r="J201" i="1"/>
  <c r="J190" i="1"/>
  <c r="J185" i="1"/>
  <c r="J182" i="1"/>
  <c r="J167" i="1"/>
  <c r="J130" i="1"/>
  <c r="J119" i="1"/>
  <c r="J112" i="1"/>
  <c r="J106" i="1"/>
  <c r="J105" i="1"/>
  <c r="J87" i="1"/>
  <c r="J50" i="1"/>
  <c r="J48" i="1"/>
  <c r="J11" i="1"/>
  <c r="C185" i="1" l="1"/>
  <c r="B185" i="1"/>
  <c r="G3" i="289"/>
  <c r="H185" i="1" s="1"/>
  <c r="F3" i="289"/>
  <c r="G185" i="1" s="1"/>
  <c r="E3" i="289"/>
  <c r="F185" i="1" s="1"/>
  <c r="D3" i="289"/>
  <c r="E185" i="1" s="1"/>
  <c r="C3" i="289"/>
  <c r="D185" i="1" s="1"/>
  <c r="C11" i="214"/>
  <c r="C182" i="1"/>
  <c r="B182" i="1"/>
  <c r="G3" i="288"/>
  <c r="H182" i="1" s="1"/>
  <c r="F3" i="288"/>
  <c r="G182" i="1" s="1"/>
  <c r="E3" i="288"/>
  <c r="F182" i="1" s="1"/>
  <c r="D3" i="288"/>
  <c r="E182" i="1" s="1"/>
  <c r="C3" i="288"/>
  <c r="D182" i="1" s="1"/>
  <c r="C11" i="205" l="1"/>
  <c r="C19" i="239"/>
  <c r="C11" i="204"/>
  <c r="C28" i="126"/>
  <c r="C112" i="1" l="1"/>
  <c r="B112" i="1"/>
  <c r="G3" i="287"/>
  <c r="F3" i="287"/>
  <c r="E3" i="287"/>
  <c r="D3" i="287"/>
  <c r="C3" i="287"/>
  <c r="D112" i="1" s="1"/>
  <c r="G112" i="1" l="1"/>
  <c r="E112" i="1"/>
  <c r="F112" i="1"/>
  <c r="H112" i="1"/>
  <c r="C264" i="1"/>
  <c r="B264" i="1"/>
  <c r="G3" i="286"/>
  <c r="H264" i="1" s="1"/>
  <c r="F3" i="286"/>
  <c r="G264" i="1" s="1"/>
  <c r="E3" i="286"/>
  <c r="F264" i="1" s="1"/>
  <c r="D3" i="286"/>
  <c r="E264" i="1" s="1"/>
  <c r="C3" i="286"/>
  <c r="D264" i="1" s="1"/>
  <c r="C14" i="164"/>
  <c r="C206" i="1"/>
  <c r="B206" i="1"/>
  <c r="G3" i="285"/>
  <c r="H206" i="1" s="1"/>
  <c r="F3" i="285"/>
  <c r="G206" i="1" s="1"/>
  <c r="E3" i="285"/>
  <c r="F206" i="1" s="1"/>
  <c r="D3" i="285"/>
  <c r="E206" i="1" s="1"/>
  <c r="C3" i="285"/>
  <c r="D206" i="1" s="1"/>
  <c r="C286" i="1"/>
  <c r="B286" i="1"/>
  <c r="G3" i="284"/>
  <c r="F3" i="284"/>
  <c r="E3" i="284"/>
  <c r="D3" i="284"/>
  <c r="C3" i="284"/>
  <c r="C6" i="136"/>
  <c r="D286" i="1" l="1"/>
  <c r="F286" i="1"/>
  <c r="H286" i="1"/>
  <c r="E286" i="1"/>
  <c r="G286" i="1"/>
  <c r="C10" i="136" l="1"/>
  <c r="C13" i="155"/>
  <c r="C296" i="1" l="1"/>
  <c r="B296" i="1"/>
  <c r="G3" i="283"/>
  <c r="H296" i="1" s="1"/>
  <c r="F3" i="283"/>
  <c r="G296" i="1" s="1"/>
  <c r="E3" i="283"/>
  <c r="F296" i="1" s="1"/>
  <c r="D3" i="283"/>
  <c r="E296" i="1" s="1"/>
  <c r="C3" i="283"/>
  <c r="D296" i="1" s="1"/>
  <c r="C201" i="1" l="1"/>
  <c r="B201" i="1"/>
  <c r="G3" i="282"/>
  <c r="H201" i="1" s="1"/>
  <c r="F3" i="282"/>
  <c r="G201" i="1" s="1"/>
  <c r="E3" i="282"/>
  <c r="F201" i="1" s="1"/>
  <c r="D3" i="282"/>
  <c r="E201" i="1" s="1"/>
  <c r="C3" i="282"/>
  <c r="D201" i="1" s="1"/>
  <c r="C327" i="1"/>
  <c r="B327" i="1"/>
  <c r="G3" i="281"/>
  <c r="F3" i="281"/>
  <c r="E3" i="281"/>
  <c r="D3" i="281"/>
  <c r="C3" i="281"/>
  <c r="D327" i="1" l="1"/>
  <c r="F327" i="1"/>
  <c r="E327" i="1"/>
  <c r="G327" i="1"/>
  <c r="H327" i="1"/>
  <c r="C167" i="1"/>
  <c r="B167" i="1"/>
  <c r="G3" i="280"/>
  <c r="H167" i="1" s="1"/>
  <c r="F3" i="280"/>
  <c r="G167" i="1" s="1"/>
  <c r="E3" i="280"/>
  <c r="F167" i="1" s="1"/>
  <c r="D3" i="280"/>
  <c r="E167" i="1" s="1"/>
  <c r="C3" i="280"/>
  <c r="D167" i="1" s="1"/>
  <c r="C48" i="1"/>
  <c r="B48" i="1"/>
  <c r="G3" i="279"/>
  <c r="F3" i="279"/>
  <c r="E3" i="279"/>
  <c r="D3" i="279"/>
  <c r="C3" i="279"/>
  <c r="C208" i="1"/>
  <c r="B208" i="1"/>
  <c r="G3" i="278"/>
  <c r="H208" i="1" s="1"/>
  <c r="F3" i="278"/>
  <c r="G208" i="1" s="1"/>
  <c r="E3" i="278"/>
  <c r="F208" i="1" s="1"/>
  <c r="D3" i="278"/>
  <c r="E208" i="1" s="1"/>
  <c r="C3" i="278"/>
  <c r="D208" i="1" s="1"/>
  <c r="C119" i="1"/>
  <c r="B119" i="1"/>
  <c r="G3" i="277"/>
  <c r="F3" i="277"/>
  <c r="E3" i="277"/>
  <c r="D3" i="277"/>
  <c r="C3" i="277"/>
  <c r="C87" i="1"/>
  <c r="B87" i="1"/>
  <c r="G3" i="276"/>
  <c r="H87" i="1" s="1"/>
  <c r="F3" i="276"/>
  <c r="G87" i="1" s="1"/>
  <c r="E3" i="276"/>
  <c r="F87" i="1" s="1"/>
  <c r="D3" i="276"/>
  <c r="E87" i="1" s="1"/>
  <c r="C3" i="276"/>
  <c r="D87" i="1" s="1"/>
  <c r="D119" i="1" l="1"/>
  <c r="F119" i="1"/>
  <c r="E119" i="1"/>
  <c r="G119" i="1"/>
  <c r="H119" i="1"/>
  <c r="F48" i="1"/>
  <c r="G48" i="1"/>
  <c r="H48" i="1"/>
  <c r="D48" i="1"/>
  <c r="E48" i="1"/>
  <c r="C12" i="227"/>
  <c r="C190" i="1"/>
  <c r="B190" i="1"/>
  <c r="G3" i="275"/>
  <c r="H190" i="1" s="1"/>
  <c r="F3" i="275"/>
  <c r="G190" i="1" s="1"/>
  <c r="E3" i="275"/>
  <c r="F190" i="1" s="1"/>
  <c r="D3" i="275"/>
  <c r="E190" i="1" s="1"/>
  <c r="C3" i="275"/>
  <c r="D190" i="1" s="1"/>
  <c r="C105" i="1" l="1"/>
  <c r="B105" i="1"/>
  <c r="G3" i="274"/>
  <c r="F3" i="274"/>
  <c r="G105" i="1" s="1"/>
  <c r="E3" i="274"/>
  <c r="F105" i="1" s="1"/>
  <c r="D3" i="274"/>
  <c r="E105" i="1" s="1"/>
  <c r="C3" i="274"/>
  <c r="D105" i="1" s="1"/>
  <c r="C15" i="54" l="1"/>
  <c r="C50" i="1"/>
  <c r="B50" i="1"/>
  <c r="G3" i="273"/>
  <c r="H50" i="1" s="1"/>
  <c r="F3" i="273"/>
  <c r="G50" i="1" s="1"/>
  <c r="E3" i="273"/>
  <c r="F50" i="1" s="1"/>
  <c r="D3" i="273"/>
  <c r="E50" i="1" s="1"/>
  <c r="C3" i="273"/>
  <c r="D50" i="1" s="1"/>
  <c r="C277" i="1"/>
  <c r="B277" i="1"/>
  <c r="G3" i="272"/>
  <c r="H277" i="1" s="1"/>
  <c r="F3" i="272"/>
  <c r="G277" i="1" s="1"/>
  <c r="E3" i="272"/>
  <c r="F277" i="1" s="1"/>
  <c r="D3" i="272"/>
  <c r="E277" i="1" s="1"/>
  <c r="C3" i="272"/>
  <c r="D277" i="1" s="1"/>
  <c r="C293" i="1"/>
  <c r="B293" i="1"/>
  <c r="G3" i="271"/>
  <c r="H293" i="1" s="1"/>
  <c r="F3" i="271"/>
  <c r="G293" i="1" s="1"/>
  <c r="E3" i="271"/>
  <c r="F293" i="1" s="1"/>
  <c r="D3" i="271"/>
  <c r="E293" i="1" s="1"/>
  <c r="C3" i="271"/>
  <c r="D293" i="1" s="1"/>
  <c r="C11" i="1"/>
  <c r="B11" i="1"/>
  <c r="G3" i="270"/>
  <c r="H11" i="1" s="1"/>
  <c r="F3" i="270"/>
  <c r="G11" i="1" s="1"/>
  <c r="E3" i="270"/>
  <c r="F11" i="1" s="1"/>
  <c r="D3" i="270"/>
  <c r="E11" i="1" s="1"/>
  <c r="C3" i="270"/>
  <c r="D11" i="1" s="1"/>
  <c r="C318" i="1"/>
  <c r="B318" i="1"/>
  <c r="G3" i="269"/>
  <c r="F3" i="269"/>
  <c r="E3" i="269"/>
  <c r="D3" i="269"/>
  <c r="C3" i="269"/>
  <c r="C130" i="1"/>
  <c r="B130" i="1"/>
  <c r="G3" i="268"/>
  <c r="H130" i="1" s="1"/>
  <c r="F3" i="268"/>
  <c r="G130" i="1" s="1"/>
  <c r="E3" i="268"/>
  <c r="F130" i="1" s="1"/>
  <c r="D3" i="268"/>
  <c r="E130" i="1" s="1"/>
  <c r="C3" i="268"/>
  <c r="D130" i="1" s="1"/>
  <c r="H318" i="1" l="1"/>
  <c r="D318" i="1"/>
  <c r="E318" i="1"/>
  <c r="F318" i="1"/>
  <c r="G318" i="1"/>
  <c r="J340" i="1"/>
  <c r="J102" i="1"/>
  <c r="J91" i="1"/>
  <c r="C14" i="159"/>
  <c r="C12" i="164"/>
  <c r="C102" i="1" l="1"/>
  <c r="B102" i="1"/>
  <c r="G3" i="267"/>
  <c r="F3" i="267"/>
  <c r="E3" i="267"/>
  <c r="D3" i="267"/>
  <c r="C3" i="267"/>
  <c r="D102" i="1" s="1"/>
  <c r="F102" i="1" l="1"/>
  <c r="E102" i="1"/>
  <c r="G102" i="1"/>
  <c r="H102" i="1"/>
  <c r="C10" i="159"/>
  <c r="C91" i="1"/>
  <c r="B91" i="1"/>
  <c r="G3" i="266"/>
  <c r="H91" i="1" s="1"/>
  <c r="F3" i="266"/>
  <c r="G91" i="1" s="1"/>
  <c r="E3" i="266"/>
  <c r="F91" i="1" s="1"/>
  <c r="D3" i="266"/>
  <c r="E91" i="1" s="1"/>
  <c r="C3" i="266"/>
  <c r="D91" i="1" s="1"/>
  <c r="C8" i="214"/>
  <c r="J315" i="1" l="1"/>
  <c r="J314" i="1"/>
  <c r="C315" i="1"/>
  <c r="B315" i="1"/>
  <c r="G3" i="265"/>
  <c r="H315" i="1" s="1"/>
  <c r="F3" i="265"/>
  <c r="G315" i="1" s="1"/>
  <c r="E3" i="265"/>
  <c r="F315" i="1" s="1"/>
  <c r="D3" i="265"/>
  <c r="E315" i="1" s="1"/>
  <c r="C3" i="265"/>
  <c r="D315" i="1" s="1"/>
  <c r="C10" i="95" l="1"/>
  <c r="C9" i="95"/>
  <c r="C8" i="95"/>
  <c r="J67" i="1"/>
  <c r="C67" i="1"/>
  <c r="B67" i="1"/>
  <c r="G3" i="264"/>
  <c r="H67" i="1" s="1"/>
  <c r="F3" i="264"/>
  <c r="G67" i="1" s="1"/>
  <c r="E3" i="264"/>
  <c r="F67" i="1" s="1"/>
  <c r="D3" i="264"/>
  <c r="E67" i="1" s="1"/>
  <c r="C3" i="264"/>
  <c r="D67" i="1" s="1"/>
  <c r="C8" i="227" l="1"/>
  <c r="C11" i="54"/>
  <c r="C10" i="164"/>
  <c r="J255" i="1" l="1"/>
  <c r="C255" i="1"/>
  <c r="B255" i="1"/>
  <c r="G3" i="263"/>
  <c r="F3" i="263"/>
  <c r="E3" i="263"/>
  <c r="D3" i="263"/>
  <c r="C3" i="263"/>
  <c r="E255" i="1" l="1"/>
  <c r="D255" i="1"/>
  <c r="G255" i="1"/>
  <c r="F255" i="1"/>
  <c r="H255" i="1"/>
  <c r="B340" i="1"/>
  <c r="C340" i="1"/>
  <c r="G3" i="262"/>
  <c r="H340" i="1" s="1"/>
  <c r="F3" i="262"/>
  <c r="G340" i="1" s="1"/>
  <c r="E3" i="262"/>
  <c r="F340" i="1" s="1"/>
  <c r="D3" i="262"/>
  <c r="E340" i="1" s="1"/>
  <c r="C3" i="262"/>
  <c r="D340" i="1" s="1"/>
  <c r="C6" i="95" l="1"/>
  <c r="C5" i="95"/>
  <c r="J248" i="1" l="1"/>
  <c r="C248" i="1"/>
  <c r="B248" i="1"/>
  <c r="G3" i="261"/>
  <c r="H248" i="1" s="1"/>
  <c r="F3" i="261"/>
  <c r="G248" i="1" s="1"/>
  <c r="E3" i="261"/>
  <c r="F248" i="1" s="1"/>
  <c r="D3" i="261"/>
  <c r="E248" i="1" s="1"/>
  <c r="C3" i="261"/>
  <c r="D248" i="1" s="1"/>
  <c r="C6" i="228" l="1"/>
  <c r="C5" i="54"/>
  <c r="I1" i="1"/>
  <c r="J339" i="1"/>
  <c r="J338" i="1"/>
  <c r="J337" i="1"/>
  <c r="J336" i="1"/>
  <c r="J335" i="1"/>
  <c r="J334" i="1"/>
  <c r="J331" i="1"/>
  <c r="J330" i="1"/>
  <c r="B330" i="1"/>
  <c r="J329" i="1"/>
  <c r="J325" i="1"/>
  <c r="J323" i="1"/>
  <c r="J317" i="1"/>
  <c r="J316" i="1"/>
  <c r="J311" i="1"/>
  <c r="J309" i="1"/>
  <c r="J306" i="1"/>
  <c r="J305" i="1"/>
  <c r="J303" i="1"/>
  <c r="J302" i="1"/>
  <c r="J301" i="1"/>
  <c r="J300" i="1"/>
  <c r="J299" i="1"/>
  <c r="J298" i="1"/>
  <c r="J295" i="1"/>
  <c r="J294" i="1"/>
  <c r="J291" i="1"/>
  <c r="J290" i="1"/>
  <c r="J289" i="1"/>
  <c r="J285" i="1"/>
  <c r="J284" i="1"/>
  <c r="J283" i="1"/>
  <c r="J281" i="1"/>
  <c r="J280" i="1"/>
  <c r="J278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3" i="1"/>
  <c r="J262" i="1"/>
  <c r="J261" i="1"/>
  <c r="J260" i="1"/>
  <c r="J259" i="1"/>
  <c r="J258" i="1"/>
  <c r="J257" i="1"/>
  <c r="J256" i="1"/>
  <c r="J253" i="1"/>
  <c r="J252" i="1"/>
  <c r="J250" i="1"/>
  <c r="J247" i="1"/>
  <c r="J246" i="1"/>
  <c r="J245" i="1"/>
  <c r="J244" i="1"/>
  <c r="J241" i="1"/>
  <c r="J238" i="1"/>
  <c r="J237" i="1"/>
  <c r="J236" i="1"/>
  <c r="J235" i="1"/>
  <c r="J233" i="1"/>
  <c r="J232" i="1"/>
  <c r="J231" i="1"/>
  <c r="J230" i="1"/>
  <c r="J224" i="1"/>
  <c r="J222" i="1"/>
  <c r="J221" i="1"/>
  <c r="J220" i="1"/>
  <c r="J219" i="1"/>
  <c r="J217" i="1"/>
  <c r="J216" i="1"/>
  <c r="J215" i="1"/>
  <c r="J213" i="1"/>
  <c r="J211" i="1"/>
  <c r="J210" i="1"/>
  <c r="J207" i="1"/>
  <c r="J205" i="1"/>
  <c r="J204" i="1"/>
  <c r="J203" i="1"/>
  <c r="J202" i="1"/>
  <c r="J200" i="1"/>
  <c r="J198" i="1"/>
  <c r="J195" i="1"/>
  <c r="J194" i="1"/>
  <c r="J193" i="1"/>
  <c r="J189" i="1"/>
  <c r="J188" i="1"/>
  <c r="J187" i="1"/>
  <c r="J184" i="1"/>
  <c r="J181" i="1"/>
  <c r="J179" i="1"/>
  <c r="J177" i="1"/>
  <c r="J176" i="1"/>
  <c r="J171" i="1"/>
  <c r="J170" i="1"/>
  <c r="B170" i="1"/>
  <c r="J169" i="1"/>
  <c r="J168" i="1"/>
  <c r="J164" i="1"/>
  <c r="J161" i="1"/>
  <c r="J157" i="1"/>
  <c r="J156" i="1"/>
  <c r="J154" i="1"/>
  <c r="J152" i="1"/>
  <c r="J151" i="1"/>
  <c r="J146" i="1"/>
  <c r="J144" i="1"/>
  <c r="J142" i="1"/>
  <c r="J141" i="1"/>
  <c r="J140" i="1"/>
  <c r="J137" i="1"/>
  <c r="J134" i="1"/>
  <c r="J132" i="1"/>
  <c r="J131" i="1"/>
  <c r="J127" i="1"/>
  <c r="J125" i="1"/>
  <c r="J124" i="1"/>
  <c r="J122" i="1"/>
  <c r="J121" i="1"/>
  <c r="J116" i="1"/>
  <c r="J115" i="1"/>
  <c r="J114" i="1"/>
  <c r="J110" i="1"/>
  <c r="J109" i="1"/>
  <c r="J108" i="1"/>
  <c r="J104" i="1"/>
  <c r="J103" i="1"/>
  <c r="J99" i="1"/>
  <c r="J97" i="1"/>
  <c r="J95" i="1"/>
  <c r="J94" i="1"/>
  <c r="J93" i="1"/>
  <c r="J92" i="1"/>
  <c r="J90" i="1"/>
  <c r="J89" i="1"/>
  <c r="J88" i="1"/>
  <c r="B88" i="1"/>
  <c r="J86" i="1"/>
  <c r="J85" i="1"/>
  <c r="J84" i="1"/>
  <c r="J82" i="1"/>
  <c r="J81" i="1"/>
  <c r="J80" i="1"/>
  <c r="J79" i="1"/>
  <c r="J78" i="1"/>
  <c r="J77" i="1"/>
  <c r="J76" i="1"/>
  <c r="J75" i="1"/>
  <c r="J74" i="1"/>
  <c r="J73" i="1"/>
  <c r="J71" i="1"/>
  <c r="J70" i="1"/>
  <c r="J68" i="1"/>
  <c r="J66" i="1"/>
  <c r="J65" i="1"/>
  <c r="J63" i="1"/>
  <c r="J62" i="1"/>
  <c r="J61" i="1"/>
  <c r="J53" i="1"/>
  <c r="C99" i="1" l="1"/>
  <c r="B99" i="1"/>
  <c r="G3" i="260"/>
  <c r="F3" i="260"/>
  <c r="E3" i="260"/>
  <c r="D3" i="260"/>
  <c r="C3" i="260"/>
  <c r="B204" i="1"/>
  <c r="C204" i="1"/>
  <c r="G3" i="259"/>
  <c r="H204" i="1" s="1"/>
  <c r="F3" i="259"/>
  <c r="G204" i="1" s="1"/>
  <c r="E3" i="259"/>
  <c r="F204" i="1" s="1"/>
  <c r="D3" i="259"/>
  <c r="E204" i="1" s="1"/>
  <c r="C3" i="259"/>
  <c r="D204" i="1" s="1"/>
  <c r="C116" i="1"/>
  <c r="B116" i="1"/>
  <c r="G3" i="257"/>
  <c r="F3" i="257"/>
  <c r="E3" i="257"/>
  <c r="D3" i="257"/>
  <c r="C3" i="257"/>
  <c r="D116" i="1" s="1"/>
  <c r="C53" i="1"/>
  <c r="B53" i="1"/>
  <c r="G3" i="256"/>
  <c r="H53" i="1" s="1"/>
  <c r="F3" i="256"/>
  <c r="G53" i="1" s="1"/>
  <c r="E3" i="256"/>
  <c r="F53" i="1" s="1"/>
  <c r="D3" i="256"/>
  <c r="E53" i="1" s="1"/>
  <c r="C3" i="256"/>
  <c r="D53" i="1" s="1"/>
  <c r="C306" i="1"/>
  <c r="B306" i="1"/>
  <c r="G3" i="255"/>
  <c r="H306" i="1" s="1"/>
  <c r="F3" i="255"/>
  <c r="G306" i="1" s="1"/>
  <c r="E3" i="255"/>
  <c r="F306" i="1" s="1"/>
  <c r="D3" i="255"/>
  <c r="E306" i="1" s="1"/>
  <c r="C3" i="255"/>
  <c r="D306" i="1" s="1"/>
  <c r="B10" i="1"/>
  <c r="C76" i="1"/>
  <c r="B76" i="1"/>
  <c r="G3" i="254"/>
  <c r="H76" i="1" s="1"/>
  <c r="F3" i="254"/>
  <c r="G76" i="1" s="1"/>
  <c r="E3" i="254"/>
  <c r="F76" i="1" s="1"/>
  <c r="D3" i="254"/>
  <c r="E76" i="1" s="1"/>
  <c r="C3" i="254"/>
  <c r="D76" i="1" s="1"/>
  <c r="D99" i="1" l="1"/>
  <c r="E99" i="1"/>
  <c r="F99" i="1"/>
  <c r="G99" i="1"/>
  <c r="H99" i="1"/>
  <c r="E116" i="1"/>
  <c r="F116" i="1"/>
  <c r="G116" i="1"/>
  <c r="H116" i="1"/>
  <c r="B15" i="1"/>
  <c r="C15" i="1"/>
  <c r="C125" i="1"/>
  <c r="B125" i="1"/>
  <c r="G3" i="253"/>
  <c r="H125" i="1" s="1"/>
  <c r="F3" i="253"/>
  <c r="G125" i="1" s="1"/>
  <c r="E3" i="253"/>
  <c r="F125" i="1" s="1"/>
  <c r="D3" i="253"/>
  <c r="E125" i="1" s="1"/>
  <c r="C3" i="253"/>
  <c r="D125" i="1" s="1"/>
  <c r="C68" i="1"/>
  <c r="B68" i="1"/>
  <c r="G3" i="252"/>
  <c r="H68" i="1" s="1"/>
  <c r="F3" i="252"/>
  <c r="G68" i="1" s="1"/>
  <c r="E3" i="252"/>
  <c r="F68" i="1" s="1"/>
  <c r="D3" i="252"/>
  <c r="E68" i="1" s="1"/>
  <c r="C3" i="252"/>
  <c r="D68" i="1" s="1"/>
  <c r="C9" i="136"/>
  <c r="C267" i="1"/>
  <c r="B267" i="1"/>
  <c r="G3" i="251"/>
  <c r="H267" i="1" s="1"/>
  <c r="F3" i="251"/>
  <c r="G267" i="1" s="1"/>
  <c r="E3" i="251"/>
  <c r="F267" i="1" s="1"/>
  <c r="D3" i="251"/>
  <c r="E267" i="1" s="1"/>
  <c r="C3" i="251"/>
  <c r="D267" i="1" s="1"/>
  <c r="C141" i="1" l="1"/>
  <c r="B141" i="1"/>
  <c r="G3" i="250"/>
  <c r="H141" i="1" s="1"/>
  <c r="F3" i="250"/>
  <c r="G141" i="1" s="1"/>
  <c r="E3" i="250"/>
  <c r="F141" i="1" s="1"/>
  <c r="D3" i="250"/>
  <c r="E141" i="1" s="1"/>
  <c r="C3" i="250"/>
  <c r="D141" i="1" s="1"/>
  <c r="J60" i="1"/>
  <c r="J59" i="1"/>
  <c r="J58" i="1"/>
  <c r="J57" i="1"/>
  <c r="J56" i="1"/>
  <c r="J54" i="1"/>
  <c r="J51" i="1"/>
  <c r="J49" i="1"/>
  <c r="J45" i="1"/>
  <c r="J44" i="1"/>
  <c r="J43" i="1"/>
  <c r="J42" i="1"/>
  <c r="J41" i="1"/>
  <c r="J40" i="1"/>
  <c r="J39" i="1"/>
  <c r="J38" i="1"/>
  <c r="J34" i="1"/>
  <c r="J32" i="1"/>
  <c r="J29" i="1"/>
  <c r="J28" i="1"/>
  <c r="J27" i="1"/>
  <c r="J26" i="1"/>
  <c r="J25" i="1"/>
  <c r="J24" i="1"/>
  <c r="J22" i="1"/>
  <c r="J20" i="1"/>
  <c r="J18" i="1"/>
  <c r="J17" i="1"/>
  <c r="J16" i="1"/>
  <c r="J15" i="1"/>
  <c r="J13" i="1"/>
  <c r="J12" i="1"/>
  <c r="B17" i="1"/>
  <c r="J14" i="1" l="1"/>
  <c r="J10" i="1"/>
  <c r="B115" i="1"/>
  <c r="C244" i="1"/>
  <c r="B244" i="1"/>
  <c r="G3" i="249"/>
  <c r="F3" i="249"/>
  <c r="E3" i="249"/>
  <c r="D3" i="249"/>
  <c r="C3" i="249"/>
  <c r="D244" i="1" s="1"/>
  <c r="C263" i="1"/>
  <c r="B263" i="1"/>
  <c r="G3" i="248"/>
  <c r="F3" i="248"/>
  <c r="E3" i="248"/>
  <c r="D3" i="248"/>
  <c r="C3" i="248"/>
  <c r="D263" i="1" s="1"/>
  <c r="C193" i="1"/>
  <c r="B193" i="1"/>
  <c r="G3" i="247"/>
  <c r="F3" i="247"/>
  <c r="E3" i="247"/>
  <c r="D3" i="247"/>
  <c r="C3" i="247"/>
  <c r="D193" i="1" s="1"/>
  <c r="C56" i="1"/>
  <c r="B56" i="1"/>
  <c r="G3" i="246"/>
  <c r="F3" i="246"/>
  <c r="E3" i="246"/>
  <c r="D3" i="246"/>
  <c r="C3" i="246"/>
  <c r="D56" i="1" s="1"/>
  <c r="C7" i="164"/>
  <c r="E56" i="1" l="1"/>
  <c r="F56" i="1"/>
  <c r="H56" i="1"/>
  <c r="G56" i="1"/>
  <c r="E193" i="1"/>
  <c r="F193" i="1"/>
  <c r="G193" i="1"/>
  <c r="H193" i="1"/>
  <c r="F244" i="1"/>
  <c r="G244" i="1"/>
  <c r="H244" i="1"/>
  <c r="E244" i="1"/>
  <c r="H263" i="1"/>
  <c r="E263" i="1"/>
  <c r="G263" i="1"/>
  <c r="F263" i="1"/>
  <c r="C276" i="1"/>
  <c r="B276" i="1"/>
  <c r="G3" i="245"/>
  <c r="H276" i="1" s="1"/>
  <c r="F3" i="245"/>
  <c r="G276" i="1" s="1"/>
  <c r="E3" i="245"/>
  <c r="F276" i="1" s="1"/>
  <c r="D3" i="245"/>
  <c r="E276" i="1" s="1"/>
  <c r="C3" i="245"/>
  <c r="D276" i="1" s="1"/>
  <c r="C134" i="1"/>
  <c r="B134" i="1"/>
  <c r="G3" i="244"/>
  <c r="H134" i="1" s="1"/>
  <c r="F3" i="244"/>
  <c r="G134" i="1" s="1"/>
  <c r="E3" i="244"/>
  <c r="F134" i="1" s="1"/>
  <c r="D3" i="244"/>
  <c r="E134" i="1" s="1"/>
  <c r="C3" i="244"/>
  <c r="D134" i="1" s="1"/>
  <c r="C236" i="1"/>
  <c r="B236" i="1"/>
  <c r="G3" i="243"/>
  <c r="H236" i="1" s="1"/>
  <c r="F3" i="243"/>
  <c r="G236" i="1" s="1"/>
  <c r="E3" i="243"/>
  <c r="F236" i="1" s="1"/>
  <c r="D3" i="243"/>
  <c r="E236" i="1" s="1"/>
  <c r="C3" i="243"/>
  <c r="D236" i="1" s="1"/>
  <c r="C8" i="159"/>
  <c r="C13" i="1"/>
  <c r="B13" i="1"/>
  <c r="G3" i="242"/>
  <c r="H13" i="1" s="1"/>
  <c r="F3" i="242"/>
  <c r="G13" i="1" s="1"/>
  <c r="E3" i="242"/>
  <c r="F13" i="1" s="1"/>
  <c r="D3" i="242"/>
  <c r="E13" i="1" s="1"/>
  <c r="C3" i="242"/>
  <c r="D13" i="1" s="1"/>
  <c r="C339" i="1" l="1"/>
  <c r="B339" i="1"/>
  <c r="G3" i="241"/>
  <c r="H339" i="1" s="1"/>
  <c r="F3" i="241"/>
  <c r="G339" i="1" s="1"/>
  <c r="E3" i="241"/>
  <c r="F339" i="1" s="1"/>
  <c r="D3" i="241"/>
  <c r="E339" i="1" s="1"/>
  <c r="C3" i="241"/>
  <c r="D339" i="1" s="1"/>
  <c r="C122" i="1" l="1"/>
  <c r="B122" i="1"/>
  <c r="G3" i="240"/>
  <c r="F3" i="240"/>
  <c r="E3" i="240"/>
  <c r="D3" i="240"/>
  <c r="C3" i="240"/>
  <c r="C115" i="1"/>
  <c r="G3" i="239"/>
  <c r="H115" i="1" s="1"/>
  <c r="F3" i="239"/>
  <c r="G115" i="1" s="1"/>
  <c r="E3" i="239"/>
  <c r="F115" i="1" s="1"/>
  <c r="D3" i="239"/>
  <c r="E115" i="1" s="1"/>
  <c r="C3" i="239"/>
  <c r="D115" i="1" s="1"/>
  <c r="F122" i="1" l="1"/>
  <c r="H122" i="1"/>
  <c r="D122" i="1"/>
  <c r="E122" i="1"/>
  <c r="G122" i="1"/>
  <c r="C295" i="1"/>
  <c r="B295" i="1"/>
  <c r="G3" i="238"/>
  <c r="F3" i="238"/>
  <c r="E3" i="238"/>
  <c r="D3" i="238"/>
  <c r="C3" i="238"/>
  <c r="D295" i="1" s="1"/>
  <c r="B298" i="1"/>
  <c r="C298" i="1"/>
  <c r="F295" i="1" l="1"/>
  <c r="H295" i="1"/>
  <c r="E295" i="1"/>
  <c r="G295" i="1"/>
  <c r="C289" i="1"/>
  <c r="B289" i="1"/>
  <c r="G3" i="237"/>
  <c r="F3" i="237"/>
  <c r="E3" i="237"/>
  <c r="D3" i="237"/>
  <c r="C3" i="237"/>
  <c r="D289" i="1" s="1"/>
  <c r="C110" i="1"/>
  <c r="B110" i="1"/>
  <c r="G3" i="236"/>
  <c r="H110" i="1" s="1"/>
  <c r="F3" i="236"/>
  <c r="G110" i="1" s="1"/>
  <c r="E3" i="236"/>
  <c r="F110" i="1" s="1"/>
  <c r="D3" i="236"/>
  <c r="E110" i="1" s="1"/>
  <c r="C3" i="236"/>
  <c r="D110" i="1" s="1"/>
  <c r="C34" i="1"/>
  <c r="B34" i="1"/>
  <c r="G3" i="235"/>
  <c r="F3" i="235"/>
  <c r="E3" i="235"/>
  <c r="D3" i="235"/>
  <c r="C3" i="235"/>
  <c r="D34" i="1" l="1"/>
  <c r="G34" i="1"/>
  <c r="H34" i="1"/>
  <c r="F34" i="1"/>
  <c r="E34" i="1"/>
  <c r="H289" i="1"/>
  <c r="E289" i="1"/>
  <c r="F289" i="1"/>
  <c r="G289" i="1"/>
  <c r="C261" i="1"/>
  <c r="B261" i="1"/>
  <c r="G3" i="234"/>
  <c r="H261" i="1" s="1"/>
  <c r="F3" i="234"/>
  <c r="G261" i="1" s="1"/>
  <c r="E3" i="234"/>
  <c r="F261" i="1" s="1"/>
  <c r="D3" i="234"/>
  <c r="E261" i="1" s="1"/>
  <c r="C3" i="234"/>
  <c r="D261" i="1" s="1"/>
  <c r="C6" i="227"/>
  <c r="C3" i="227" s="1"/>
  <c r="C7" i="54"/>
  <c r="C224" i="1"/>
  <c r="B224" i="1"/>
  <c r="G3" i="233"/>
  <c r="F3" i="233"/>
  <c r="E3" i="233"/>
  <c r="D3" i="233"/>
  <c r="C3" i="233"/>
  <c r="C275" i="1"/>
  <c r="B275" i="1"/>
  <c r="G3" i="232"/>
  <c r="H275" i="1" s="1"/>
  <c r="F3" i="232"/>
  <c r="G275" i="1" s="1"/>
  <c r="E3" i="232"/>
  <c r="F275" i="1" s="1"/>
  <c r="D3" i="232"/>
  <c r="E275" i="1" s="1"/>
  <c r="C3" i="232"/>
  <c r="D275" i="1" s="1"/>
  <c r="C124" i="1"/>
  <c r="B124" i="1"/>
  <c r="G3" i="231"/>
  <c r="H124" i="1" s="1"/>
  <c r="F3" i="231"/>
  <c r="G124" i="1" s="1"/>
  <c r="E3" i="231"/>
  <c r="F124" i="1" s="1"/>
  <c r="D3" i="231"/>
  <c r="E124" i="1" s="1"/>
  <c r="C3" i="231"/>
  <c r="D124" i="1" s="1"/>
  <c r="C283" i="1"/>
  <c r="B283" i="1"/>
  <c r="G3" i="230"/>
  <c r="H283" i="1" s="1"/>
  <c r="F3" i="230"/>
  <c r="G283" i="1" s="1"/>
  <c r="E3" i="230"/>
  <c r="F283" i="1" s="1"/>
  <c r="D3" i="230"/>
  <c r="E283" i="1" s="1"/>
  <c r="C3" i="230"/>
  <c r="D283" i="1" s="1"/>
  <c r="C259" i="1"/>
  <c r="B259" i="1"/>
  <c r="G3" i="229"/>
  <c r="H259" i="1" s="1"/>
  <c r="F3" i="229"/>
  <c r="G259" i="1" s="1"/>
  <c r="E3" i="229"/>
  <c r="F259" i="1" s="1"/>
  <c r="D3" i="229"/>
  <c r="E259" i="1" s="1"/>
  <c r="C3" i="229"/>
  <c r="D259" i="1" s="1"/>
  <c r="C94" i="1"/>
  <c r="B94" i="1"/>
  <c r="C5" i="228"/>
  <c r="C3" i="228" s="1"/>
  <c r="D94" i="1" s="1"/>
  <c r="G3" i="228"/>
  <c r="F3" i="228"/>
  <c r="G94" i="1" s="1"/>
  <c r="E3" i="228"/>
  <c r="F94" i="1" s="1"/>
  <c r="D3" i="228"/>
  <c r="E94" i="1" s="1"/>
  <c r="C3" i="126"/>
  <c r="D10" i="1" s="1"/>
  <c r="D3" i="126"/>
  <c r="C152" i="1"/>
  <c r="B152" i="1"/>
  <c r="G3" i="227"/>
  <c r="F3" i="227"/>
  <c r="E3" i="227"/>
  <c r="D3" i="227"/>
  <c r="H152" i="1" l="1"/>
  <c r="E152" i="1"/>
  <c r="F152" i="1"/>
  <c r="G152" i="1"/>
  <c r="D152" i="1"/>
  <c r="F224" i="1"/>
  <c r="G224" i="1"/>
  <c r="H224" i="1"/>
  <c r="E224" i="1"/>
  <c r="D224" i="1"/>
  <c r="H94" i="1"/>
  <c r="C6" i="54"/>
  <c r="C336" i="1" l="1"/>
  <c r="B336" i="1"/>
  <c r="G3" i="226"/>
  <c r="H336" i="1" s="1"/>
  <c r="F3" i="226"/>
  <c r="G336" i="1" s="1"/>
  <c r="E3" i="226"/>
  <c r="F336" i="1" s="1"/>
  <c r="D3" i="226"/>
  <c r="E336" i="1" s="1"/>
  <c r="C3" i="226"/>
  <c r="D336" i="1" s="1"/>
  <c r="C274" i="1"/>
  <c r="B274" i="1"/>
  <c r="G3" i="225"/>
  <c r="H274" i="1" s="1"/>
  <c r="F3" i="225"/>
  <c r="G274" i="1" s="1"/>
  <c r="E3" i="225"/>
  <c r="F274" i="1" s="1"/>
  <c r="D3" i="225"/>
  <c r="E274" i="1" s="1"/>
  <c r="C3" i="225"/>
  <c r="D274" i="1" s="1"/>
  <c r="C27" i="1"/>
  <c r="B27" i="1"/>
  <c r="G3" i="224"/>
  <c r="H27" i="1" s="1"/>
  <c r="F3" i="224"/>
  <c r="G27" i="1" s="1"/>
  <c r="E3" i="224"/>
  <c r="F27" i="1" s="1"/>
  <c r="D3" i="224"/>
  <c r="E27" i="1" s="1"/>
  <c r="C3" i="224"/>
  <c r="D27" i="1" s="1"/>
  <c r="C302" i="1"/>
  <c r="B302" i="1"/>
  <c r="G3" i="223"/>
  <c r="H302" i="1" s="1"/>
  <c r="F3" i="223"/>
  <c r="G302" i="1" s="1"/>
  <c r="E3" i="223"/>
  <c r="F302" i="1" s="1"/>
  <c r="D3" i="223"/>
  <c r="E302" i="1" s="1"/>
  <c r="C3" i="223"/>
  <c r="D302" i="1" s="1"/>
  <c r="B156" i="1"/>
  <c r="C156" i="1"/>
  <c r="G3" i="222"/>
  <c r="F3" i="222"/>
  <c r="E3" i="222"/>
  <c r="D3" i="222"/>
  <c r="C3" i="222"/>
  <c r="B140" i="1"/>
  <c r="C140" i="1"/>
  <c r="G3" i="221"/>
  <c r="H140" i="1" s="1"/>
  <c r="F3" i="221"/>
  <c r="G140" i="1" s="1"/>
  <c r="E3" i="221"/>
  <c r="F140" i="1" s="1"/>
  <c r="D3" i="221"/>
  <c r="E140" i="1" s="1"/>
  <c r="C3" i="221"/>
  <c r="D140" i="1" s="1"/>
  <c r="C317" i="1"/>
  <c r="B317" i="1"/>
  <c r="G3" i="220"/>
  <c r="H317" i="1" s="1"/>
  <c r="F3" i="220"/>
  <c r="G317" i="1" s="1"/>
  <c r="E3" i="220"/>
  <c r="F317" i="1" s="1"/>
  <c r="D3" i="220"/>
  <c r="E317" i="1" s="1"/>
  <c r="C3" i="220"/>
  <c r="D317" i="1" s="1"/>
  <c r="B29" i="1"/>
  <c r="C29" i="1"/>
  <c r="G3" i="219"/>
  <c r="F3" i="219"/>
  <c r="E3" i="219"/>
  <c r="D3" i="219"/>
  <c r="C3" i="219"/>
  <c r="C205" i="1"/>
  <c r="B205" i="1"/>
  <c r="G3" i="218"/>
  <c r="F3" i="218"/>
  <c r="E3" i="218"/>
  <c r="D3" i="218"/>
  <c r="C3" i="218"/>
  <c r="D205" i="1" s="1"/>
  <c r="C278" i="1"/>
  <c r="B278" i="1"/>
  <c r="G3" i="217"/>
  <c r="F3" i="217"/>
  <c r="E3" i="217"/>
  <c r="D3" i="217"/>
  <c r="C3" i="217"/>
  <c r="C109" i="1"/>
  <c r="B109" i="1"/>
  <c r="G3" i="216"/>
  <c r="H109" i="1" s="1"/>
  <c r="F3" i="216"/>
  <c r="G109" i="1" s="1"/>
  <c r="E3" i="216"/>
  <c r="F109" i="1" s="1"/>
  <c r="D3" i="216"/>
  <c r="E109" i="1" s="1"/>
  <c r="C3" i="216"/>
  <c r="D109" i="1" s="1"/>
  <c r="C253" i="1"/>
  <c r="B253" i="1"/>
  <c r="G3" i="215"/>
  <c r="H253" i="1" s="1"/>
  <c r="F3" i="215"/>
  <c r="G253" i="1" s="1"/>
  <c r="E3" i="215"/>
  <c r="F253" i="1" s="1"/>
  <c r="D3" i="215"/>
  <c r="E253" i="1" s="1"/>
  <c r="C3" i="215"/>
  <c r="D253" i="1" s="1"/>
  <c r="D278" i="1" l="1"/>
  <c r="E278" i="1"/>
  <c r="F278" i="1"/>
  <c r="G278" i="1"/>
  <c r="H278" i="1"/>
  <c r="G156" i="1"/>
  <c r="H156" i="1"/>
  <c r="D156" i="1"/>
  <c r="E156" i="1"/>
  <c r="F156" i="1"/>
  <c r="D29" i="1"/>
  <c r="F29" i="1"/>
  <c r="E29" i="1"/>
  <c r="G29" i="1"/>
  <c r="H29" i="1"/>
  <c r="F205" i="1"/>
  <c r="G205" i="1"/>
  <c r="H205" i="1"/>
  <c r="E205" i="1"/>
  <c r="C151" i="1"/>
  <c r="C5" i="214"/>
  <c r="C3" i="214" s="1"/>
  <c r="G3" i="214"/>
  <c r="F3" i="214"/>
  <c r="E3" i="214"/>
  <c r="D3" i="214"/>
  <c r="C78" i="1"/>
  <c r="B78" i="1"/>
  <c r="G3" i="213"/>
  <c r="H78" i="1" s="1"/>
  <c r="F3" i="213"/>
  <c r="G78" i="1" s="1"/>
  <c r="E3" i="213"/>
  <c r="F78" i="1" s="1"/>
  <c r="D3" i="213"/>
  <c r="E78" i="1" s="1"/>
  <c r="C3" i="213"/>
  <c r="D78" i="1" s="1"/>
  <c r="C66" i="1"/>
  <c r="B66" i="1"/>
  <c r="G3" i="212"/>
  <c r="H66" i="1" s="1"/>
  <c r="F3" i="212"/>
  <c r="G66" i="1" s="1"/>
  <c r="E3" i="212"/>
  <c r="F66" i="1" s="1"/>
  <c r="D3" i="212"/>
  <c r="E66" i="1" s="1"/>
  <c r="C3" i="212"/>
  <c r="D66" i="1" s="1"/>
  <c r="C291" i="1"/>
  <c r="B291" i="1"/>
  <c r="G3" i="210"/>
  <c r="F3" i="210"/>
  <c r="E3" i="210"/>
  <c r="D3" i="210"/>
  <c r="C3" i="210"/>
  <c r="C338" i="1"/>
  <c r="B338" i="1"/>
  <c r="G3" i="209"/>
  <c r="H338" i="1" s="1"/>
  <c r="F3" i="209"/>
  <c r="G338" i="1" s="1"/>
  <c r="E3" i="209"/>
  <c r="F338" i="1" s="1"/>
  <c r="D3" i="209"/>
  <c r="E338" i="1" s="1"/>
  <c r="C3" i="209"/>
  <c r="D338" i="1" s="1"/>
  <c r="D151" i="1" l="1"/>
  <c r="D291" i="1"/>
  <c r="H291" i="1"/>
  <c r="E291" i="1"/>
  <c r="F291" i="1"/>
  <c r="G291" i="1"/>
  <c r="E151" i="1"/>
  <c r="F151" i="1"/>
  <c r="G151" i="1"/>
  <c r="H151" i="1"/>
  <c r="C256" i="1"/>
  <c r="B256" i="1"/>
  <c r="G3" i="208"/>
  <c r="H256" i="1" s="1"/>
  <c r="F3" i="208"/>
  <c r="G256" i="1" s="1"/>
  <c r="E3" i="208"/>
  <c r="F256" i="1" s="1"/>
  <c r="D3" i="208"/>
  <c r="E256" i="1" s="1"/>
  <c r="C3" i="208"/>
  <c r="D256" i="1" s="1"/>
  <c r="C176" i="1" l="1"/>
  <c r="B176" i="1"/>
  <c r="G3" i="207"/>
  <c r="H176" i="1" s="1"/>
  <c r="F3" i="207"/>
  <c r="G176" i="1" s="1"/>
  <c r="E3" i="207"/>
  <c r="F176" i="1" s="1"/>
  <c r="D3" i="207"/>
  <c r="E176" i="1" s="1"/>
  <c r="C3" i="207"/>
  <c r="D176" i="1" s="1"/>
  <c r="C309" i="1"/>
  <c r="G3" i="206"/>
  <c r="F3" i="206"/>
  <c r="E3" i="206"/>
  <c r="D3" i="206"/>
  <c r="C24" i="1"/>
  <c r="B24" i="1"/>
  <c r="G3" i="205"/>
  <c r="F3" i="205"/>
  <c r="E3" i="205"/>
  <c r="D3" i="205"/>
  <c r="C3" i="205"/>
  <c r="C301" i="1"/>
  <c r="B301" i="1"/>
  <c r="G3" i="204"/>
  <c r="H301" i="1" s="1"/>
  <c r="F3" i="204"/>
  <c r="G301" i="1" s="1"/>
  <c r="E3" i="204"/>
  <c r="F301" i="1" s="1"/>
  <c r="D3" i="204"/>
  <c r="E301" i="1" s="1"/>
  <c r="C3" i="204"/>
  <c r="D301" i="1" s="1"/>
  <c r="C266" i="1"/>
  <c r="B266" i="1"/>
  <c r="G3" i="203"/>
  <c r="H266" i="1" s="1"/>
  <c r="F3" i="203"/>
  <c r="G266" i="1" s="1"/>
  <c r="E3" i="203"/>
  <c r="F266" i="1" s="1"/>
  <c r="D3" i="203"/>
  <c r="E266" i="1" s="1"/>
  <c r="C3" i="203"/>
  <c r="D266" i="1" s="1"/>
  <c r="C137" i="1"/>
  <c r="B137" i="1"/>
  <c r="G3" i="202"/>
  <c r="F3" i="202"/>
  <c r="E3" i="202"/>
  <c r="D3" i="202"/>
  <c r="C3" i="202"/>
  <c r="D24" i="1" l="1"/>
  <c r="F24" i="1"/>
  <c r="G24" i="1"/>
  <c r="E24" i="1"/>
  <c r="H24" i="1"/>
  <c r="D137" i="1"/>
  <c r="D309" i="1"/>
  <c r="E309" i="1"/>
  <c r="F309" i="1"/>
  <c r="G309" i="1"/>
  <c r="H309" i="1"/>
  <c r="H137" i="1"/>
  <c r="G137" i="1"/>
  <c r="F137" i="1"/>
  <c r="E137" i="1"/>
  <c r="C269" i="1"/>
  <c r="B269" i="1"/>
  <c r="G3" i="201"/>
  <c r="H269" i="1" s="1"/>
  <c r="F3" i="201"/>
  <c r="G269" i="1" s="1"/>
  <c r="E3" i="201"/>
  <c r="F269" i="1" s="1"/>
  <c r="D3" i="201"/>
  <c r="E269" i="1" s="1"/>
  <c r="C3" i="201"/>
  <c r="D269" i="1" s="1"/>
  <c r="C231" i="1"/>
  <c r="B231" i="1"/>
  <c r="G3" i="200"/>
  <c r="H231" i="1" s="1"/>
  <c r="F3" i="200"/>
  <c r="G231" i="1" s="1"/>
  <c r="E3" i="200"/>
  <c r="F231" i="1" s="1"/>
  <c r="D3" i="200"/>
  <c r="E231" i="1" s="1"/>
  <c r="C3" i="200"/>
  <c r="D231" i="1" s="1"/>
  <c r="C39" i="1"/>
  <c r="B39" i="1"/>
  <c r="G3" i="199"/>
  <c r="H39" i="1" s="1"/>
  <c r="F3" i="199"/>
  <c r="G39" i="1" s="1"/>
  <c r="E3" i="199"/>
  <c r="F39" i="1" s="1"/>
  <c r="D3" i="199"/>
  <c r="E39" i="1" s="1"/>
  <c r="C3" i="199"/>
  <c r="D39" i="1" s="1"/>
  <c r="C171" i="1"/>
  <c r="B171" i="1"/>
  <c r="G3" i="198"/>
  <c r="F3" i="198"/>
  <c r="E3" i="198"/>
  <c r="D3" i="198"/>
  <c r="C3" i="198"/>
  <c r="D171" i="1" s="1"/>
  <c r="C20" i="1"/>
  <c r="B20" i="1"/>
  <c r="G3" i="197"/>
  <c r="H20" i="1" s="1"/>
  <c r="F3" i="197"/>
  <c r="G20" i="1" s="1"/>
  <c r="E3" i="197"/>
  <c r="F20" i="1" s="1"/>
  <c r="D3" i="197"/>
  <c r="E20" i="1" s="1"/>
  <c r="C3" i="197"/>
  <c r="D20" i="1" s="1"/>
  <c r="C164" i="1"/>
  <c r="B164" i="1"/>
  <c r="G3" i="196"/>
  <c r="F3" i="196"/>
  <c r="E3" i="196"/>
  <c r="D3" i="196"/>
  <c r="C3" i="196"/>
  <c r="C184" i="1"/>
  <c r="B184" i="1"/>
  <c r="G3" i="195"/>
  <c r="F3" i="195"/>
  <c r="E3" i="195"/>
  <c r="D3" i="195"/>
  <c r="C3" i="195"/>
  <c r="D184" i="1" s="1"/>
  <c r="C154" i="1"/>
  <c r="B154" i="1"/>
  <c r="G3" i="194"/>
  <c r="H154" i="1" s="1"/>
  <c r="F3" i="194"/>
  <c r="G154" i="1" s="1"/>
  <c r="E3" i="194"/>
  <c r="F154" i="1" s="1"/>
  <c r="D3" i="194"/>
  <c r="E154" i="1" s="1"/>
  <c r="C3" i="194"/>
  <c r="D154" i="1" s="1"/>
  <c r="C169" i="1"/>
  <c r="B169" i="1"/>
  <c r="G3" i="193"/>
  <c r="H169" i="1" s="1"/>
  <c r="F3" i="193"/>
  <c r="G169" i="1" s="1"/>
  <c r="E3" i="193"/>
  <c r="F169" i="1" s="1"/>
  <c r="D3" i="193"/>
  <c r="E169" i="1" s="1"/>
  <c r="C3" i="193"/>
  <c r="D169" i="1" s="1"/>
  <c r="C51" i="1"/>
  <c r="B51" i="1"/>
  <c r="G3" i="192"/>
  <c r="F3" i="192"/>
  <c r="E3" i="192"/>
  <c r="D3" i="192"/>
  <c r="C3" i="192"/>
  <c r="C303" i="1"/>
  <c r="B303" i="1"/>
  <c r="G3" i="191"/>
  <c r="H303" i="1" s="1"/>
  <c r="F3" i="191"/>
  <c r="G303" i="1" s="1"/>
  <c r="E3" i="191"/>
  <c r="F303" i="1" s="1"/>
  <c r="D3" i="191"/>
  <c r="E303" i="1" s="1"/>
  <c r="C3" i="191"/>
  <c r="D303" i="1" s="1"/>
  <c r="C61" i="1"/>
  <c r="B61" i="1"/>
  <c r="G3" i="190"/>
  <c r="H61" i="1" s="1"/>
  <c r="F3" i="190"/>
  <c r="G61" i="1" s="1"/>
  <c r="E3" i="190"/>
  <c r="F61" i="1" s="1"/>
  <c r="D3" i="190"/>
  <c r="E61" i="1" s="1"/>
  <c r="C3" i="190"/>
  <c r="D61" i="1" s="1"/>
  <c r="C79" i="1"/>
  <c r="B79" i="1"/>
  <c r="G3" i="189"/>
  <c r="H79" i="1" s="1"/>
  <c r="F3" i="189"/>
  <c r="G79" i="1" s="1"/>
  <c r="E3" i="189"/>
  <c r="F79" i="1" s="1"/>
  <c r="D3" i="189"/>
  <c r="E79" i="1" s="1"/>
  <c r="C3" i="189"/>
  <c r="D79" i="1" s="1"/>
  <c r="H51" i="1" l="1"/>
  <c r="D51" i="1"/>
  <c r="E51" i="1"/>
  <c r="F51" i="1"/>
  <c r="G51" i="1"/>
  <c r="D164" i="1"/>
  <c r="F171" i="1"/>
  <c r="E171" i="1"/>
  <c r="G171" i="1"/>
  <c r="H171" i="1"/>
  <c r="F184" i="1"/>
  <c r="E184" i="1"/>
  <c r="G184" i="1"/>
  <c r="H184" i="1"/>
  <c r="G164" i="1"/>
  <c r="E164" i="1"/>
  <c r="H164" i="1"/>
  <c r="F164" i="1"/>
  <c r="C222" i="1"/>
  <c r="B222" i="1"/>
  <c r="G3" i="188"/>
  <c r="F3" i="188"/>
  <c r="E3" i="188"/>
  <c r="D3" i="188"/>
  <c r="C3" i="188"/>
  <c r="D222" i="1" s="1"/>
  <c r="C108" i="1"/>
  <c r="B108" i="1"/>
  <c r="G3" i="187"/>
  <c r="H108" i="1" s="1"/>
  <c r="F3" i="187"/>
  <c r="G108" i="1" s="1"/>
  <c r="E3" i="187"/>
  <c r="F108" i="1" s="1"/>
  <c r="D3" i="187"/>
  <c r="E108" i="1" s="1"/>
  <c r="C3" i="187"/>
  <c r="D108" i="1" s="1"/>
  <c r="G222" i="1" l="1"/>
  <c r="E222" i="1"/>
  <c r="F222" i="1"/>
  <c r="H222" i="1"/>
  <c r="C58" i="1"/>
  <c r="B58" i="1"/>
  <c r="C207" i="1"/>
  <c r="B207" i="1"/>
  <c r="G3" i="186"/>
  <c r="H58" i="1" s="1"/>
  <c r="F3" i="186"/>
  <c r="G58" i="1" s="1"/>
  <c r="E3" i="186"/>
  <c r="F58" i="1" s="1"/>
  <c r="D3" i="186"/>
  <c r="E58" i="1" s="1"/>
  <c r="C3" i="186"/>
  <c r="D58" i="1" s="1"/>
  <c r="G3" i="185"/>
  <c r="H207" i="1" s="1"/>
  <c r="F3" i="185"/>
  <c r="G207" i="1" s="1"/>
  <c r="E3" i="185"/>
  <c r="F207" i="1" s="1"/>
  <c r="D3" i="185"/>
  <c r="E207" i="1" s="1"/>
  <c r="C3" i="185"/>
  <c r="D207" i="1" s="1"/>
  <c r="C157" i="1" l="1"/>
  <c r="B157" i="1"/>
  <c r="G3" i="184"/>
  <c r="F3" i="184"/>
  <c r="E3" i="184"/>
  <c r="D3" i="184"/>
  <c r="C3" i="184"/>
  <c r="F157" i="1" l="1"/>
  <c r="D157" i="1"/>
  <c r="G157" i="1"/>
  <c r="E157" i="1"/>
  <c r="H157" i="1"/>
  <c r="C65" i="1"/>
  <c r="B65" i="1"/>
  <c r="G3" i="183"/>
  <c r="F3" i="183"/>
  <c r="E3" i="183"/>
  <c r="D3" i="183"/>
  <c r="C3" i="183"/>
  <c r="C233" i="1"/>
  <c r="B233" i="1"/>
  <c r="G3" i="182"/>
  <c r="F3" i="182"/>
  <c r="E3" i="182"/>
  <c r="D3" i="182"/>
  <c r="C3" i="182"/>
  <c r="D233" i="1" s="1"/>
  <c r="B235" i="1"/>
  <c r="C235" i="1"/>
  <c r="C85" i="1"/>
  <c r="B85" i="1"/>
  <c r="G3" i="180"/>
  <c r="H85" i="1" s="1"/>
  <c r="F3" i="180"/>
  <c r="G85" i="1" s="1"/>
  <c r="E3" i="180"/>
  <c r="F85" i="1" s="1"/>
  <c r="D3" i="180"/>
  <c r="E85" i="1" s="1"/>
  <c r="C3" i="180"/>
  <c r="D85" i="1" s="1"/>
  <c r="C16" i="1"/>
  <c r="B16" i="1"/>
  <c r="G3" i="179"/>
  <c r="H16" i="1" s="1"/>
  <c r="F3" i="179"/>
  <c r="G16" i="1" s="1"/>
  <c r="E3" i="179"/>
  <c r="F16" i="1" s="1"/>
  <c r="D3" i="179"/>
  <c r="E16" i="1" s="1"/>
  <c r="C3" i="179"/>
  <c r="D16" i="1" s="1"/>
  <c r="C26" i="1"/>
  <c r="B26" i="1"/>
  <c r="G3" i="177"/>
  <c r="H26" i="1" s="1"/>
  <c r="F3" i="177"/>
  <c r="G26" i="1" s="1"/>
  <c r="E3" i="177"/>
  <c r="F26" i="1" s="1"/>
  <c r="D3" i="177"/>
  <c r="E26" i="1" s="1"/>
  <c r="C3" i="177"/>
  <c r="D26" i="1" s="1"/>
  <c r="C281" i="1"/>
  <c r="B281" i="1"/>
  <c r="G3" i="176"/>
  <c r="F3" i="176"/>
  <c r="E3" i="176"/>
  <c r="D3" i="176"/>
  <c r="C3" i="176"/>
  <c r="C265" i="1"/>
  <c r="B265" i="1"/>
  <c r="G3" i="175"/>
  <c r="H265" i="1" s="1"/>
  <c r="F3" i="175"/>
  <c r="G265" i="1" s="1"/>
  <c r="E3" i="175"/>
  <c r="F265" i="1" s="1"/>
  <c r="D3" i="175"/>
  <c r="E265" i="1" s="1"/>
  <c r="C3" i="175"/>
  <c r="D265" i="1" s="1"/>
  <c r="C131" i="1"/>
  <c r="B131" i="1"/>
  <c r="G3" i="174"/>
  <c r="H131" i="1" s="1"/>
  <c r="F3" i="174"/>
  <c r="G131" i="1" s="1"/>
  <c r="E3" i="174"/>
  <c r="F131" i="1" s="1"/>
  <c r="D3" i="174"/>
  <c r="E131" i="1" s="1"/>
  <c r="C3" i="174"/>
  <c r="D131" i="1" s="1"/>
  <c r="C89" i="1"/>
  <c r="B89" i="1"/>
  <c r="G3" i="173"/>
  <c r="H89" i="1" s="1"/>
  <c r="F3" i="173"/>
  <c r="G89" i="1" s="1"/>
  <c r="E3" i="173"/>
  <c r="F89" i="1" s="1"/>
  <c r="D3" i="173"/>
  <c r="E89" i="1" s="1"/>
  <c r="C3" i="173"/>
  <c r="D89" i="1" s="1"/>
  <c r="C219" i="1"/>
  <c r="B219" i="1"/>
  <c r="G3" i="172"/>
  <c r="H219" i="1" s="1"/>
  <c r="F3" i="172"/>
  <c r="G219" i="1" s="1"/>
  <c r="E3" i="172"/>
  <c r="F219" i="1" s="1"/>
  <c r="D3" i="172"/>
  <c r="E219" i="1" s="1"/>
  <c r="C3" i="172"/>
  <c r="D219" i="1" s="1"/>
  <c r="C285" i="1"/>
  <c r="B285" i="1"/>
  <c r="G3" i="171"/>
  <c r="H285" i="1" s="1"/>
  <c r="F3" i="171"/>
  <c r="G285" i="1" s="1"/>
  <c r="E3" i="171"/>
  <c r="F285" i="1" s="1"/>
  <c r="D3" i="171"/>
  <c r="E285" i="1" s="1"/>
  <c r="C3" i="171"/>
  <c r="D285" i="1" s="1"/>
  <c r="G3" i="170"/>
  <c r="F3" i="170"/>
  <c r="E3" i="170"/>
  <c r="D3" i="170"/>
  <c r="C3" i="170"/>
  <c r="D298" i="1" s="1"/>
  <c r="G3" i="169"/>
  <c r="H235" i="1" s="1"/>
  <c r="F3" i="169"/>
  <c r="G235" i="1" s="1"/>
  <c r="E3" i="169"/>
  <c r="F235" i="1" s="1"/>
  <c r="D3" i="169"/>
  <c r="E235" i="1" s="1"/>
  <c r="C3" i="169"/>
  <c r="D235" i="1" s="1"/>
  <c r="C95" i="1"/>
  <c r="B95" i="1"/>
  <c r="G3" i="167"/>
  <c r="F3" i="167"/>
  <c r="E3" i="167"/>
  <c r="D3" i="167"/>
  <c r="C3" i="167"/>
  <c r="C18" i="1"/>
  <c r="B18" i="1"/>
  <c r="G3" i="166"/>
  <c r="F3" i="166"/>
  <c r="E3" i="166"/>
  <c r="D3" i="166"/>
  <c r="C3" i="166"/>
  <c r="G3" i="165"/>
  <c r="H15" i="1" s="1"/>
  <c r="F3" i="165"/>
  <c r="G15" i="1" s="1"/>
  <c r="E3" i="165"/>
  <c r="F15" i="1" s="1"/>
  <c r="D3" i="165"/>
  <c r="E15" i="1" s="1"/>
  <c r="C3" i="165"/>
  <c r="D15" i="1" s="1"/>
  <c r="C262" i="1"/>
  <c r="B262" i="1"/>
  <c r="C5" i="164"/>
  <c r="C3" i="164" s="1"/>
  <c r="D262" i="1" s="1"/>
  <c r="G3" i="164"/>
  <c r="H262" i="1" s="1"/>
  <c r="F3" i="164"/>
  <c r="G262" i="1" s="1"/>
  <c r="E3" i="164"/>
  <c r="F262" i="1" s="1"/>
  <c r="D3" i="164"/>
  <c r="E262" i="1" s="1"/>
  <c r="H65" i="1" l="1"/>
  <c r="D65" i="1"/>
  <c r="E65" i="1"/>
  <c r="F65" i="1"/>
  <c r="G65" i="1"/>
  <c r="E95" i="1"/>
  <c r="F95" i="1"/>
  <c r="G95" i="1"/>
  <c r="H95" i="1"/>
  <c r="D95" i="1"/>
  <c r="H281" i="1"/>
  <c r="D281" i="1"/>
  <c r="E281" i="1"/>
  <c r="F281" i="1"/>
  <c r="G281" i="1"/>
  <c r="F18" i="1"/>
  <c r="D18" i="1"/>
  <c r="G18" i="1"/>
  <c r="H18" i="1"/>
  <c r="E18" i="1"/>
  <c r="E233" i="1"/>
  <c r="F233" i="1"/>
  <c r="G233" i="1"/>
  <c r="H233" i="1"/>
  <c r="H298" i="1"/>
  <c r="E298" i="1"/>
  <c r="F298" i="1"/>
  <c r="G298" i="1"/>
  <c r="C300" i="1"/>
  <c r="B300" i="1"/>
  <c r="G3" i="163"/>
  <c r="H300" i="1" s="1"/>
  <c r="F3" i="163"/>
  <c r="G300" i="1" s="1"/>
  <c r="E3" i="163"/>
  <c r="F300" i="1" s="1"/>
  <c r="D3" i="163"/>
  <c r="E300" i="1" s="1"/>
  <c r="C3" i="163"/>
  <c r="D300" i="1" s="1"/>
  <c r="C45" i="1"/>
  <c r="B45" i="1"/>
  <c r="G3" i="162"/>
  <c r="F3" i="162"/>
  <c r="E3" i="162"/>
  <c r="D3" i="162"/>
  <c r="C3" i="162"/>
  <c r="D45" i="1" s="1"/>
  <c r="C170" i="1"/>
  <c r="G3" i="161"/>
  <c r="H170" i="1" s="1"/>
  <c r="F3" i="161"/>
  <c r="G170" i="1" s="1"/>
  <c r="E3" i="161"/>
  <c r="F170" i="1" s="1"/>
  <c r="D3" i="161"/>
  <c r="E170" i="1" s="1"/>
  <c r="C3" i="161"/>
  <c r="D170" i="1" s="1"/>
  <c r="C203" i="1"/>
  <c r="B203" i="1"/>
  <c r="G3" i="160"/>
  <c r="H203" i="1" s="1"/>
  <c r="F3" i="160"/>
  <c r="G203" i="1" s="1"/>
  <c r="E3" i="160"/>
  <c r="F203" i="1" s="1"/>
  <c r="D3" i="160"/>
  <c r="E203" i="1" s="1"/>
  <c r="C3" i="160"/>
  <c r="D203" i="1" s="1"/>
  <c r="C268" i="1"/>
  <c r="B268" i="1"/>
  <c r="G3" i="159"/>
  <c r="H268" i="1" s="1"/>
  <c r="F3" i="159"/>
  <c r="G268" i="1" s="1"/>
  <c r="E3" i="159"/>
  <c r="F268" i="1" s="1"/>
  <c r="E268" i="1"/>
  <c r="C3" i="159"/>
  <c r="D268" i="1" s="1"/>
  <c r="C305" i="1"/>
  <c r="B305" i="1"/>
  <c r="G3" i="158"/>
  <c r="F3" i="158"/>
  <c r="E3" i="158"/>
  <c r="D3" i="158"/>
  <c r="C3" i="158"/>
  <c r="D305" i="1" s="1"/>
  <c r="C311" i="1"/>
  <c r="B311" i="1"/>
  <c r="G3" i="157"/>
  <c r="H311" i="1" s="1"/>
  <c r="F3" i="157"/>
  <c r="G311" i="1" s="1"/>
  <c r="E3" i="157"/>
  <c r="F311" i="1" s="1"/>
  <c r="D3" i="157"/>
  <c r="E311" i="1" s="1"/>
  <c r="C3" i="157"/>
  <c r="D311" i="1" s="1"/>
  <c r="C63" i="1"/>
  <c r="B63" i="1"/>
  <c r="G3" i="156"/>
  <c r="H63" i="1" s="1"/>
  <c r="F3" i="156"/>
  <c r="G63" i="1" s="1"/>
  <c r="E3" i="156"/>
  <c r="F63" i="1" s="1"/>
  <c r="D3" i="156"/>
  <c r="E63" i="1" s="1"/>
  <c r="C3" i="156"/>
  <c r="D63" i="1" s="1"/>
  <c r="C38" i="1"/>
  <c r="B38" i="1"/>
  <c r="C5" i="155"/>
  <c r="C3" i="155" s="1"/>
  <c r="G3" i="155"/>
  <c r="F3" i="155"/>
  <c r="E3" i="155"/>
  <c r="D3" i="155"/>
  <c r="C81" i="1"/>
  <c r="B81" i="1"/>
  <c r="G3" i="154"/>
  <c r="H81" i="1" s="1"/>
  <c r="F3" i="154"/>
  <c r="G81" i="1" s="1"/>
  <c r="E3" i="154"/>
  <c r="F81" i="1" s="1"/>
  <c r="D3" i="154"/>
  <c r="E81" i="1" s="1"/>
  <c r="C3" i="154"/>
  <c r="D81" i="1" s="1"/>
  <c r="C272" i="1"/>
  <c r="B272" i="1"/>
  <c r="G3" i="153"/>
  <c r="H272" i="1" s="1"/>
  <c r="F3" i="153"/>
  <c r="G272" i="1" s="1"/>
  <c r="E3" i="153"/>
  <c r="F272" i="1" s="1"/>
  <c r="D3" i="153"/>
  <c r="E272" i="1" s="1"/>
  <c r="C3" i="153"/>
  <c r="D272" i="1" s="1"/>
  <c r="C179" i="1"/>
  <c r="B179" i="1"/>
  <c r="G3" i="152"/>
  <c r="H179" i="1" s="1"/>
  <c r="F3" i="152"/>
  <c r="G179" i="1" s="1"/>
  <c r="E3" i="152"/>
  <c r="F179" i="1" s="1"/>
  <c r="D3" i="152"/>
  <c r="E179" i="1" s="1"/>
  <c r="C3" i="152"/>
  <c r="D179" i="1" s="1"/>
  <c r="C80" i="1"/>
  <c r="B80" i="1"/>
  <c r="G3" i="151"/>
  <c r="H80" i="1" s="1"/>
  <c r="F3" i="151"/>
  <c r="G80" i="1" s="1"/>
  <c r="E3" i="151"/>
  <c r="F80" i="1" s="1"/>
  <c r="D3" i="151"/>
  <c r="E80" i="1" s="1"/>
  <c r="C3" i="151"/>
  <c r="D80" i="1" s="1"/>
  <c r="C73" i="1"/>
  <c r="B73" i="1"/>
  <c r="G3" i="150"/>
  <c r="H73" i="1" s="1"/>
  <c r="F3" i="150"/>
  <c r="G73" i="1" s="1"/>
  <c r="E3" i="150"/>
  <c r="F73" i="1" s="1"/>
  <c r="D3" i="150"/>
  <c r="E73" i="1" s="1"/>
  <c r="C3" i="150"/>
  <c r="D73" i="1" s="1"/>
  <c r="C97" i="1"/>
  <c r="G3" i="149"/>
  <c r="H97" i="1" s="1"/>
  <c r="F3" i="149"/>
  <c r="G97" i="1" s="1"/>
  <c r="E3" i="149"/>
  <c r="F97" i="1" s="1"/>
  <c r="D3" i="149"/>
  <c r="E97" i="1" s="1"/>
  <c r="C3" i="149"/>
  <c r="D97" i="1" s="1"/>
  <c r="C57" i="1"/>
  <c r="B57" i="1"/>
  <c r="G3" i="148"/>
  <c r="H57" i="1" s="1"/>
  <c r="F3" i="148"/>
  <c r="G57" i="1" s="1"/>
  <c r="E3" i="148"/>
  <c r="F57" i="1" s="1"/>
  <c r="D3" i="148"/>
  <c r="E57" i="1" s="1"/>
  <c r="C3" i="148"/>
  <c r="D57" i="1" s="1"/>
  <c r="C161" i="1"/>
  <c r="B161" i="1"/>
  <c r="G3" i="147"/>
  <c r="F3" i="147"/>
  <c r="E3" i="147"/>
  <c r="D3" i="147"/>
  <c r="C3" i="147"/>
  <c r="C270" i="1"/>
  <c r="B270" i="1"/>
  <c r="G3" i="146"/>
  <c r="H270" i="1" s="1"/>
  <c r="F3" i="146"/>
  <c r="G270" i="1" s="1"/>
  <c r="E3" i="146"/>
  <c r="F270" i="1" s="1"/>
  <c r="D3" i="146"/>
  <c r="E270" i="1" s="1"/>
  <c r="C3" i="146"/>
  <c r="D270" i="1" s="1"/>
  <c r="C88" i="1"/>
  <c r="G3" i="145"/>
  <c r="F3" i="145"/>
  <c r="E3" i="145"/>
  <c r="D3" i="145"/>
  <c r="C3" i="145"/>
  <c r="D88" i="1" s="1"/>
  <c r="C273" i="1"/>
  <c r="B273" i="1"/>
  <c r="G3" i="144"/>
  <c r="H273" i="1" s="1"/>
  <c r="F3" i="144"/>
  <c r="G273" i="1" s="1"/>
  <c r="E3" i="144"/>
  <c r="F273" i="1" s="1"/>
  <c r="D3" i="144"/>
  <c r="E273" i="1" s="1"/>
  <c r="C3" i="144"/>
  <c r="D273" i="1" s="1"/>
  <c r="C202" i="1"/>
  <c r="B202" i="1"/>
  <c r="G3" i="143"/>
  <c r="F3" i="143"/>
  <c r="E3" i="143"/>
  <c r="D3" i="143"/>
  <c r="C3" i="143"/>
  <c r="D202" i="1" s="1"/>
  <c r="C299" i="1"/>
  <c r="B299" i="1"/>
  <c r="G3" i="142"/>
  <c r="H299" i="1" s="1"/>
  <c r="F3" i="142"/>
  <c r="G299" i="1" s="1"/>
  <c r="E3" i="142"/>
  <c r="F299" i="1" s="1"/>
  <c r="D3" i="142"/>
  <c r="E299" i="1" s="1"/>
  <c r="C3" i="142"/>
  <c r="D299" i="1" s="1"/>
  <c r="C60" i="1"/>
  <c r="B60" i="1"/>
  <c r="H38" i="1" l="1"/>
  <c r="D38" i="1"/>
  <c r="G38" i="1"/>
  <c r="E38" i="1"/>
  <c r="F38" i="1"/>
  <c r="D161" i="1"/>
  <c r="E161" i="1"/>
  <c r="F161" i="1"/>
  <c r="G161" i="1"/>
  <c r="H161" i="1"/>
  <c r="E305" i="1"/>
  <c r="G305" i="1"/>
  <c r="F305" i="1"/>
  <c r="H305" i="1"/>
  <c r="G45" i="1"/>
  <c r="H45" i="1"/>
  <c r="E45" i="1"/>
  <c r="F45" i="1"/>
  <c r="F202" i="1"/>
  <c r="G202" i="1"/>
  <c r="E202" i="1"/>
  <c r="H202" i="1"/>
  <c r="G88" i="1"/>
  <c r="H88" i="1"/>
  <c r="E88" i="1"/>
  <c r="F88" i="1"/>
  <c r="C5" i="136"/>
  <c r="C3" i="136" s="1"/>
  <c r="D62" i="1" s="1"/>
  <c r="C210" i="1"/>
  <c r="B210" i="1"/>
  <c r="G3" i="141"/>
  <c r="F3" i="141"/>
  <c r="E3" i="141"/>
  <c r="D3" i="141"/>
  <c r="C3" i="141"/>
  <c r="C40" i="1"/>
  <c r="B40" i="1"/>
  <c r="G3" i="140"/>
  <c r="H40" i="1" s="1"/>
  <c r="F3" i="140"/>
  <c r="G40" i="1" s="1"/>
  <c r="E3" i="140"/>
  <c r="F40" i="1" s="1"/>
  <c r="D3" i="140"/>
  <c r="E40" i="1" s="1"/>
  <c r="C3" i="140"/>
  <c r="D40" i="1" s="1"/>
  <c r="C245" i="1"/>
  <c r="B245" i="1"/>
  <c r="G3" i="139"/>
  <c r="H245" i="1" s="1"/>
  <c r="F3" i="139"/>
  <c r="G245" i="1" s="1"/>
  <c r="E3" i="139"/>
  <c r="F245" i="1" s="1"/>
  <c r="D3" i="139"/>
  <c r="E245" i="1" s="1"/>
  <c r="C3" i="139"/>
  <c r="D245" i="1" s="1"/>
  <c r="B246" i="1"/>
  <c r="C246" i="1"/>
  <c r="C213" i="1"/>
  <c r="B213" i="1"/>
  <c r="G3" i="138"/>
  <c r="H213" i="1" s="1"/>
  <c r="F3" i="138"/>
  <c r="G213" i="1" s="1"/>
  <c r="E3" i="138"/>
  <c r="F213" i="1" s="1"/>
  <c r="D3" i="138"/>
  <c r="E213" i="1" s="1"/>
  <c r="C3" i="138"/>
  <c r="D213" i="1" s="1"/>
  <c r="C59" i="1"/>
  <c r="B59" i="1"/>
  <c r="G3" i="137"/>
  <c r="H59" i="1" s="1"/>
  <c r="F3" i="137"/>
  <c r="G59" i="1" s="1"/>
  <c r="E3" i="137"/>
  <c r="F59" i="1" s="1"/>
  <c r="D3" i="137"/>
  <c r="E59" i="1" s="1"/>
  <c r="C3" i="137"/>
  <c r="D59" i="1" s="1"/>
  <c r="C62" i="1"/>
  <c r="B62" i="1"/>
  <c r="G3" i="136"/>
  <c r="H62" i="1" s="1"/>
  <c r="F3" i="136"/>
  <c r="G62" i="1" s="1"/>
  <c r="E3" i="136"/>
  <c r="F62" i="1" s="1"/>
  <c r="D3" i="136"/>
  <c r="E62" i="1" s="1"/>
  <c r="C215" i="1"/>
  <c r="B215" i="1"/>
  <c r="G3" i="135"/>
  <c r="F3" i="135"/>
  <c r="E3" i="135"/>
  <c r="D3" i="135"/>
  <c r="C3" i="135"/>
  <c r="C216" i="1"/>
  <c r="B216" i="1"/>
  <c r="G3" i="134"/>
  <c r="H216" i="1" s="1"/>
  <c r="F3" i="134"/>
  <c r="G216" i="1" s="1"/>
  <c r="E3" i="134"/>
  <c r="F216" i="1" s="1"/>
  <c r="D3" i="134"/>
  <c r="E216" i="1" s="1"/>
  <c r="C3" i="134"/>
  <c r="D216" i="1" s="1"/>
  <c r="C93" i="1"/>
  <c r="B93" i="1"/>
  <c r="G3" i="133"/>
  <c r="H93" i="1" s="1"/>
  <c r="F3" i="133"/>
  <c r="G93" i="1" s="1"/>
  <c r="E3" i="133"/>
  <c r="F93" i="1" s="1"/>
  <c r="D3" i="133"/>
  <c r="E93" i="1" s="1"/>
  <c r="C3" i="133"/>
  <c r="D93" i="1" s="1"/>
  <c r="G215" i="1" l="1"/>
  <c r="H215" i="1"/>
  <c r="E215" i="1"/>
  <c r="F215" i="1"/>
  <c r="D215" i="1"/>
  <c r="D210" i="1"/>
  <c r="E210" i="1"/>
  <c r="F210" i="1"/>
  <c r="G210" i="1"/>
  <c r="H210" i="1"/>
  <c r="B314" i="1"/>
  <c r="C314" i="1"/>
  <c r="G3" i="132"/>
  <c r="F3" i="132"/>
  <c r="E3" i="132"/>
  <c r="D3" i="132"/>
  <c r="C3" i="132"/>
  <c r="C177" i="1"/>
  <c r="B177" i="1"/>
  <c r="G3" i="131"/>
  <c r="F3" i="131"/>
  <c r="E3" i="131"/>
  <c r="D3" i="131"/>
  <c r="D177" i="1"/>
  <c r="C82" i="1"/>
  <c r="B82" i="1"/>
  <c r="G3" i="130"/>
  <c r="F3" i="130"/>
  <c r="E3" i="130"/>
  <c r="D3" i="130"/>
  <c r="C3" i="130"/>
  <c r="D82" i="1" s="1"/>
  <c r="C49" i="1"/>
  <c r="B49" i="1"/>
  <c r="G3" i="129"/>
  <c r="F3" i="129"/>
  <c r="E3" i="129"/>
  <c r="D3" i="129"/>
  <c r="C3" i="129"/>
  <c r="D49" i="1" s="1"/>
  <c r="C22" i="1"/>
  <c r="B22" i="1"/>
  <c r="G3" i="128"/>
  <c r="F3" i="128"/>
  <c r="E3" i="128"/>
  <c r="D3" i="128"/>
  <c r="C3" i="128"/>
  <c r="D22" i="1" s="1"/>
  <c r="C90" i="1"/>
  <c r="B90" i="1"/>
  <c r="G3" i="127"/>
  <c r="H90" i="1" s="1"/>
  <c r="F3" i="127"/>
  <c r="G90" i="1" s="1"/>
  <c r="E3" i="127"/>
  <c r="F90" i="1" s="1"/>
  <c r="D3" i="127"/>
  <c r="E90" i="1" s="1"/>
  <c r="C3" i="127"/>
  <c r="D90" i="1" s="1"/>
  <c r="C10" i="1"/>
  <c r="G3" i="126"/>
  <c r="H105" i="1" s="1"/>
  <c r="F3" i="126"/>
  <c r="E3" i="126"/>
  <c r="C132" i="1"/>
  <c r="B132" i="1"/>
  <c r="G3" i="125"/>
  <c r="F3" i="125"/>
  <c r="E3" i="125"/>
  <c r="D3" i="125"/>
  <c r="C3" i="125"/>
  <c r="D132" i="1" s="1"/>
  <c r="C121" i="1"/>
  <c r="G3" i="124"/>
  <c r="F3" i="124"/>
  <c r="E3" i="124"/>
  <c r="D3" i="124"/>
  <c r="C3" i="124"/>
  <c r="D121" i="1" s="1"/>
  <c r="C194" i="1"/>
  <c r="B194" i="1"/>
  <c r="G3" i="123"/>
  <c r="F3" i="123"/>
  <c r="E3" i="123"/>
  <c r="D3" i="123"/>
  <c r="C3" i="123"/>
  <c r="C32" i="1"/>
  <c r="G3" i="122"/>
  <c r="F3" i="122"/>
  <c r="E3" i="122"/>
  <c r="D3" i="122"/>
  <c r="C3" i="122"/>
  <c r="C12" i="1"/>
  <c r="B12" i="1"/>
  <c r="G3" i="121"/>
  <c r="F3" i="121"/>
  <c r="E3" i="121"/>
  <c r="D3" i="121"/>
  <c r="C3" i="121"/>
  <c r="D12" i="1" s="1"/>
  <c r="C7" i="118"/>
  <c r="C3" i="118" s="1"/>
  <c r="C17" i="1"/>
  <c r="G3" i="120"/>
  <c r="H17" i="1" s="1"/>
  <c r="F3" i="120"/>
  <c r="G17" i="1" s="1"/>
  <c r="E3" i="120"/>
  <c r="F17" i="1" s="1"/>
  <c r="D3" i="120"/>
  <c r="E17" i="1" s="1"/>
  <c r="C3" i="120"/>
  <c r="D17" i="1" s="1"/>
  <c r="C290" i="1"/>
  <c r="B290" i="1"/>
  <c r="G3" i="119"/>
  <c r="H290" i="1" s="1"/>
  <c r="F3" i="119"/>
  <c r="G290" i="1" s="1"/>
  <c r="E3" i="119"/>
  <c r="F290" i="1" s="1"/>
  <c r="D3" i="119"/>
  <c r="E290" i="1" s="1"/>
  <c r="C3" i="119"/>
  <c r="D290" i="1" s="1"/>
  <c r="C323" i="1"/>
  <c r="B323" i="1"/>
  <c r="G3" i="118"/>
  <c r="F3" i="118"/>
  <c r="E3" i="118"/>
  <c r="D3" i="118"/>
  <c r="C103" i="1"/>
  <c r="B103" i="1"/>
  <c r="G3" i="117"/>
  <c r="H103" i="1" s="1"/>
  <c r="F3" i="117"/>
  <c r="G103" i="1" s="1"/>
  <c r="E3" i="117"/>
  <c r="F103" i="1" s="1"/>
  <c r="D3" i="117"/>
  <c r="E103" i="1" s="1"/>
  <c r="C3" i="117"/>
  <c r="D103" i="1" s="1"/>
  <c r="C241" i="1"/>
  <c r="B241" i="1"/>
  <c r="G3" i="115"/>
  <c r="F3" i="115"/>
  <c r="E3" i="115"/>
  <c r="D3" i="115"/>
  <c r="C3" i="115"/>
  <c r="C258" i="1"/>
  <c r="B258" i="1"/>
  <c r="G3" i="114"/>
  <c r="H258" i="1" s="1"/>
  <c r="F3" i="114"/>
  <c r="G258" i="1" s="1"/>
  <c r="E3" i="114"/>
  <c r="F258" i="1" s="1"/>
  <c r="D3" i="114"/>
  <c r="E258" i="1" s="1"/>
  <c r="C3" i="114"/>
  <c r="D258" i="1" s="1"/>
  <c r="C77" i="1"/>
  <c r="B77" i="1"/>
  <c r="G3" i="113"/>
  <c r="H77" i="1" s="1"/>
  <c r="F3" i="113"/>
  <c r="G77" i="1" s="1"/>
  <c r="E3" i="113"/>
  <c r="F77" i="1" s="1"/>
  <c r="D3" i="113"/>
  <c r="E77" i="1" s="1"/>
  <c r="C3" i="113"/>
  <c r="D77" i="1" s="1"/>
  <c r="C54" i="1"/>
  <c r="B54" i="1"/>
  <c r="G3" i="112"/>
  <c r="H54" i="1" s="1"/>
  <c r="F3" i="112"/>
  <c r="G54" i="1" s="1"/>
  <c r="E3" i="112"/>
  <c r="F54" i="1" s="1"/>
  <c r="D3" i="112"/>
  <c r="E54" i="1" s="1"/>
  <c r="C3" i="112"/>
  <c r="D54" i="1" s="1"/>
  <c r="D314" i="1" l="1"/>
  <c r="D194" i="1"/>
  <c r="E194" i="1"/>
  <c r="F194" i="1"/>
  <c r="H194" i="1"/>
  <c r="G194" i="1"/>
  <c r="D241" i="1"/>
  <c r="E241" i="1"/>
  <c r="F241" i="1"/>
  <c r="G241" i="1"/>
  <c r="H241" i="1"/>
  <c r="D32" i="1"/>
  <c r="E32" i="1"/>
  <c r="F32" i="1"/>
  <c r="G32" i="1"/>
  <c r="H32" i="1"/>
  <c r="H323" i="1"/>
  <c r="D323" i="1"/>
  <c r="F323" i="1"/>
  <c r="G323" i="1"/>
  <c r="E323" i="1"/>
  <c r="E132" i="1"/>
  <c r="F132" i="1"/>
  <c r="G132" i="1"/>
  <c r="H132" i="1"/>
  <c r="H314" i="1"/>
  <c r="E314" i="1"/>
  <c r="F314" i="1"/>
  <c r="G314" i="1"/>
  <c r="E22" i="1"/>
  <c r="F22" i="1"/>
  <c r="G22" i="1"/>
  <c r="H22" i="1"/>
  <c r="F82" i="1"/>
  <c r="G82" i="1"/>
  <c r="H82" i="1"/>
  <c r="E82" i="1"/>
  <c r="H177" i="1"/>
  <c r="G177" i="1"/>
  <c r="E177" i="1"/>
  <c r="F177" i="1"/>
  <c r="E49" i="1"/>
  <c r="F49" i="1"/>
  <c r="G49" i="1"/>
  <c r="H49" i="1"/>
  <c r="H121" i="1"/>
  <c r="E121" i="1"/>
  <c r="F121" i="1"/>
  <c r="G121" i="1"/>
  <c r="H12" i="1"/>
  <c r="E12" i="1"/>
  <c r="F12" i="1"/>
  <c r="G12" i="1"/>
  <c r="G10" i="1"/>
  <c r="F10" i="1"/>
  <c r="E10" i="1"/>
  <c r="H10" i="1"/>
  <c r="C337" i="1"/>
  <c r="C335" i="1"/>
  <c r="C334" i="1"/>
  <c r="C331" i="1"/>
  <c r="B331" i="1"/>
  <c r="C330" i="1"/>
  <c r="C329" i="1"/>
  <c r="C325" i="1"/>
  <c r="C316" i="1"/>
  <c r="C294" i="1"/>
  <c r="C280" i="1"/>
  <c r="C271" i="1"/>
  <c r="C260" i="1"/>
  <c r="C257" i="1"/>
  <c r="C104" i="1"/>
  <c r="C250" i="1"/>
  <c r="C247" i="1"/>
  <c r="C238" i="1"/>
  <c r="C237" i="1"/>
  <c r="C232" i="1"/>
  <c r="C230" i="1"/>
  <c r="C221" i="1"/>
  <c r="C220" i="1"/>
  <c r="C217" i="1"/>
  <c r="C211" i="1"/>
  <c r="C200" i="1"/>
  <c r="C198" i="1"/>
  <c r="C195" i="1"/>
  <c r="C189" i="1"/>
  <c r="C188" i="1"/>
  <c r="C187" i="1"/>
  <c r="C181" i="1"/>
  <c r="C168" i="1"/>
  <c r="C146" i="1"/>
  <c r="C144" i="1"/>
  <c r="C142" i="1"/>
  <c r="C284" i="1"/>
  <c r="C127" i="1"/>
  <c r="C114" i="1"/>
  <c r="G3" i="9"/>
  <c r="F3" i="9"/>
  <c r="E3" i="9"/>
  <c r="D3" i="9"/>
  <c r="C3" i="9"/>
  <c r="D127" i="1" s="1"/>
  <c r="G3" i="82"/>
  <c r="H284" i="1" s="1"/>
  <c r="F3" i="82"/>
  <c r="G284" i="1" s="1"/>
  <c r="E3" i="82"/>
  <c r="F284" i="1" s="1"/>
  <c r="D3" i="82"/>
  <c r="E284" i="1" s="1"/>
  <c r="C3" i="82"/>
  <c r="D284" i="1" s="1"/>
  <c r="G3" i="87"/>
  <c r="H142" i="1" s="1"/>
  <c r="F3" i="87"/>
  <c r="G142" i="1" s="1"/>
  <c r="E3" i="87"/>
  <c r="F142" i="1" s="1"/>
  <c r="D3" i="87"/>
  <c r="E142" i="1" s="1"/>
  <c r="C3" i="87"/>
  <c r="D142" i="1" s="1"/>
  <c r="G3" i="83"/>
  <c r="F3" i="83"/>
  <c r="E3" i="83"/>
  <c r="D3" i="83"/>
  <c r="C3" i="83"/>
  <c r="G3" i="86"/>
  <c r="F3" i="86"/>
  <c r="E3" i="86"/>
  <c r="D3" i="86"/>
  <c r="C3" i="86"/>
  <c r="D146" i="1" s="1"/>
  <c r="G3" i="70"/>
  <c r="H168" i="1" s="1"/>
  <c r="F3" i="70"/>
  <c r="G168" i="1" s="1"/>
  <c r="E3" i="70"/>
  <c r="F168" i="1" s="1"/>
  <c r="D3" i="70"/>
  <c r="E168" i="1" s="1"/>
  <c r="C3" i="70"/>
  <c r="D168" i="1" s="1"/>
  <c r="G3" i="95"/>
  <c r="F3" i="95"/>
  <c r="E3" i="95"/>
  <c r="D3" i="95"/>
  <c r="C3" i="95"/>
  <c r="G3" i="62"/>
  <c r="F3" i="62"/>
  <c r="E3" i="62"/>
  <c r="D3" i="62"/>
  <c r="C3" i="62"/>
  <c r="G3" i="64"/>
  <c r="H188" i="1" s="1"/>
  <c r="F3" i="64"/>
  <c r="G188" i="1" s="1"/>
  <c r="E3" i="64"/>
  <c r="F188" i="1" s="1"/>
  <c r="D3" i="64"/>
  <c r="E188" i="1" s="1"/>
  <c r="C3" i="64"/>
  <c r="D188" i="1" s="1"/>
  <c r="G3" i="63"/>
  <c r="F3" i="63"/>
  <c r="E3" i="63"/>
  <c r="D3" i="63"/>
  <c r="C3" i="63"/>
  <c r="D189" i="1" s="1"/>
  <c r="G3" i="69"/>
  <c r="F3" i="69"/>
  <c r="E3" i="69"/>
  <c r="D3" i="69"/>
  <c r="C3" i="69"/>
  <c r="D195" i="1" s="1"/>
  <c r="G3" i="107"/>
  <c r="H198" i="1" s="1"/>
  <c r="F3" i="107"/>
  <c r="G198" i="1" s="1"/>
  <c r="E3" i="107"/>
  <c r="F198" i="1" s="1"/>
  <c r="D3" i="107"/>
  <c r="E198" i="1" s="1"/>
  <c r="C3" i="107"/>
  <c r="D198" i="1" s="1"/>
  <c r="G3" i="77"/>
  <c r="F3" i="77"/>
  <c r="E3" i="77"/>
  <c r="D3" i="77"/>
  <c r="C3" i="77"/>
  <c r="D200" i="1" s="1"/>
  <c r="G3" i="54"/>
  <c r="F3" i="54"/>
  <c r="E3" i="54"/>
  <c r="D3" i="54"/>
  <c r="C3" i="54"/>
  <c r="G3" i="109"/>
  <c r="F3" i="109"/>
  <c r="E3" i="109"/>
  <c r="D3" i="109"/>
  <c r="C3" i="109"/>
  <c r="G3" i="91"/>
  <c r="H220" i="1" s="1"/>
  <c r="F3" i="91"/>
  <c r="G220" i="1" s="1"/>
  <c r="E3" i="91"/>
  <c r="F220" i="1" s="1"/>
  <c r="D3" i="91"/>
  <c r="E220" i="1" s="1"/>
  <c r="C3" i="91"/>
  <c r="D220" i="1" s="1"/>
  <c r="G3" i="89"/>
  <c r="H221" i="1" s="1"/>
  <c r="F3" i="89"/>
  <c r="G221" i="1" s="1"/>
  <c r="E3" i="89"/>
  <c r="F221" i="1" s="1"/>
  <c r="D3" i="89"/>
  <c r="E221" i="1" s="1"/>
  <c r="C3" i="89"/>
  <c r="D221" i="1" s="1"/>
  <c r="G3" i="58"/>
  <c r="F3" i="58"/>
  <c r="E3" i="58"/>
  <c r="D3" i="58"/>
  <c r="C3" i="58"/>
  <c r="G3" i="61"/>
  <c r="H232" i="1" s="1"/>
  <c r="F3" i="61"/>
  <c r="G232" i="1" s="1"/>
  <c r="E3" i="61"/>
  <c r="F232" i="1" s="1"/>
  <c r="D3" i="61"/>
  <c r="E232" i="1" s="1"/>
  <c r="C3" i="61"/>
  <c r="D232" i="1" s="1"/>
  <c r="G3" i="93"/>
  <c r="H237" i="1" s="1"/>
  <c r="F3" i="93"/>
  <c r="G237" i="1" s="1"/>
  <c r="E3" i="93"/>
  <c r="F237" i="1" s="1"/>
  <c r="D3" i="93"/>
  <c r="E237" i="1" s="1"/>
  <c r="C3" i="93"/>
  <c r="D237" i="1" s="1"/>
  <c r="G3" i="92"/>
  <c r="F3" i="92"/>
  <c r="E3" i="92"/>
  <c r="D3" i="92"/>
  <c r="C3" i="92"/>
  <c r="G3" i="59"/>
  <c r="H246" i="1" s="1"/>
  <c r="F3" i="59"/>
  <c r="G246" i="1" s="1"/>
  <c r="E3" i="59"/>
  <c r="F246" i="1" s="1"/>
  <c r="D3" i="59"/>
  <c r="E246" i="1" s="1"/>
  <c r="C3" i="59"/>
  <c r="D246" i="1" s="1"/>
  <c r="G3" i="101"/>
  <c r="H247" i="1" s="1"/>
  <c r="F3" i="101"/>
  <c r="G247" i="1" s="1"/>
  <c r="E3" i="101"/>
  <c r="F247" i="1" s="1"/>
  <c r="D3" i="101"/>
  <c r="E247" i="1" s="1"/>
  <c r="C3" i="101"/>
  <c r="D247" i="1" s="1"/>
  <c r="G3" i="100"/>
  <c r="F3" i="100"/>
  <c r="E3" i="100"/>
  <c r="D3" i="100"/>
  <c r="C3" i="100"/>
  <c r="G3" i="74"/>
  <c r="H104" i="1" s="1"/>
  <c r="F3" i="74"/>
  <c r="G104" i="1" s="1"/>
  <c r="E3" i="74"/>
  <c r="F104" i="1" s="1"/>
  <c r="D3" i="74"/>
  <c r="E104" i="1" s="1"/>
  <c r="C3" i="74"/>
  <c r="D104" i="1" s="1"/>
  <c r="G3" i="106"/>
  <c r="H257" i="1" s="1"/>
  <c r="F3" i="106"/>
  <c r="G257" i="1" s="1"/>
  <c r="E3" i="106"/>
  <c r="F257" i="1" s="1"/>
  <c r="D3" i="106"/>
  <c r="E257" i="1" s="1"/>
  <c r="C3" i="106"/>
  <c r="D257" i="1" s="1"/>
  <c r="G3" i="55"/>
  <c r="H260" i="1" s="1"/>
  <c r="F3" i="55"/>
  <c r="G260" i="1" s="1"/>
  <c r="E3" i="55"/>
  <c r="F260" i="1" s="1"/>
  <c r="D3" i="55"/>
  <c r="E260" i="1" s="1"/>
  <c r="C3" i="55"/>
  <c r="D260" i="1" s="1"/>
  <c r="G3" i="71"/>
  <c r="H271" i="1" s="1"/>
  <c r="F3" i="71"/>
  <c r="G271" i="1" s="1"/>
  <c r="E3" i="71"/>
  <c r="F271" i="1" s="1"/>
  <c r="D3" i="71"/>
  <c r="E271" i="1" s="1"/>
  <c r="C3" i="71"/>
  <c r="D271" i="1" s="1"/>
  <c r="G3" i="57"/>
  <c r="H280" i="1" s="1"/>
  <c r="F3" i="57"/>
  <c r="G280" i="1" s="1"/>
  <c r="E3" i="57"/>
  <c r="F280" i="1" s="1"/>
  <c r="D3" i="57"/>
  <c r="E280" i="1" s="1"/>
  <c r="C3" i="57"/>
  <c r="D280" i="1" s="1"/>
  <c r="G3" i="66"/>
  <c r="H294" i="1" s="1"/>
  <c r="F3" i="66"/>
  <c r="G294" i="1" s="1"/>
  <c r="E3" i="66"/>
  <c r="F294" i="1" s="1"/>
  <c r="D3" i="66"/>
  <c r="E294" i="1" s="1"/>
  <c r="C3" i="66"/>
  <c r="D294" i="1" s="1"/>
  <c r="G3" i="88"/>
  <c r="H316" i="1" s="1"/>
  <c r="F3" i="88"/>
  <c r="G316" i="1" s="1"/>
  <c r="E3" i="88"/>
  <c r="F316" i="1" s="1"/>
  <c r="D3" i="88"/>
  <c r="E316" i="1" s="1"/>
  <c r="C3" i="88"/>
  <c r="D316" i="1" s="1"/>
  <c r="G3" i="80"/>
  <c r="F3" i="80"/>
  <c r="E3" i="80"/>
  <c r="D3" i="80"/>
  <c r="C3" i="80"/>
  <c r="D325" i="1" s="1"/>
  <c r="G3" i="67"/>
  <c r="F3" i="67"/>
  <c r="E3" i="67"/>
  <c r="D3" i="67"/>
  <c r="C3" i="67"/>
  <c r="G3" i="102"/>
  <c r="H330" i="1" s="1"/>
  <c r="F3" i="102"/>
  <c r="G330" i="1" s="1"/>
  <c r="E3" i="102"/>
  <c r="F330" i="1" s="1"/>
  <c r="D3" i="102"/>
  <c r="E330" i="1" s="1"/>
  <c r="C3" i="102"/>
  <c r="D330" i="1" s="1"/>
  <c r="G3" i="56"/>
  <c r="H331" i="1" s="1"/>
  <c r="F3" i="56"/>
  <c r="G331" i="1" s="1"/>
  <c r="E3" i="56"/>
  <c r="F331" i="1" s="1"/>
  <c r="D3" i="56"/>
  <c r="E331" i="1" s="1"/>
  <c r="C3" i="56"/>
  <c r="D331" i="1" s="1"/>
  <c r="G3" i="108"/>
  <c r="H334" i="1" s="1"/>
  <c r="F3" i="108"/>
  <c r="G334" i="1" s="1"/>
  <c r="E3" i="108"/>
  <c r="F334" i="1" s="1"/>
  <c r="D3" i="108"/>
  <c r="E334" i="1" s="1"/>
  <c r="C3" i="108"/>
  <c r="D334" i="1" s="1"/>
  <c r="G3" i="65"/>
  <c r="H335" i="1" s="1"/>
  <c r="F3" i="65"/>
  <c r="G335" i="1" s="1"/>
  <c r="E3" i="65"/>
  <c r="F335" i="1" s="1"/>
  <c r="D3" i="65"/>
  <c r="E335" i="1" s="1"/>
  <c r="C3" i="65"/>
  <c r="D335" i="1" s="1"/>
  <c r="G3" i="105"/>
  <c r="H337" i="1" s="1"/>
  <c r="F3" i="105"/>
  <c r="G337" i="1" s="1"/>
  <c r="E3" i="105"/>
  <c r="F337" i="1" s="1"/>
  <c r="D3" i="105"/>
  <c r="E337" i="1" s="1"/>
  <c r="C3" i="105"/>
  <c r="D337" i="1" s="1"/>
  <c r="G3" i="68"/>
  <c r="F3" i="68"/>
  <c r="E3" i="68"/>
  <c r="D3" i="68"/>
  <c r="C3" i="68"/>
  <c r="C106" i="1"/>
  <c r="G3" i="104"/>
  <c r="F3" i="104"/>
  <c r="E3" i="104"/>
  <c r="D3" i="104"/>
  <c r="C3" i="104"/>
  <c r="D106" i="1" s="1"/>
  <c r="G3" i="78"/>
  <c r="H60" i="1" s="1"/>
  <c r="F3" i="78"/>
  <c r="G60" i="1" s="1"/>
  <c r="E3" i="78"/>
  <c r="F60" i="1" s="1"/>
  <c r="D3" i="78"/>
  <c r="E60" i="1" s="1"/>
  <c r="C3" i="78"/>
  <c r="D60" i="1" s="1"/>
  <c r="C92" i="1"/>
  <c r="G3" i="94"/>
  <c r="H92" i="1" s="1"/>
  <c r="F3" i="94"/>
  <c r="G92" i="1" s="1"/>
  <c r="E3" i="94"/>
  <c r="F92" i="1" s="1"/>
  <c r="D3" i="94"/>
  <c r="E92" i="1" s="1"/>
  <c r="C3" i="94"/>
  <c r="D92" i="1" s="1"/>
  <c r="C86" i="1"/>
  <c r="G3" i="85"/>
  <c r="H86" i="1" s="1"/>
  <c r="F3" i="85"/>
  <c r="G86" i="1" s="1"/>
  <c r="E3" i="85"/>
  <c r="F86" i="1" s="1"/>
  <c r="D3" i="85"/>
  <c r="E86" i="1" s="1"/>
  <c r="C3" i="85"/>
  <c r="D86" i="1" s="1"/>
  <c r="C84" i="1"/>
  <c r="G3" i="90"/>
  <c r="H84" i="1" s="1"/>
  <c r="F3" i="90"/>
  <c r="G84" i="1" s="1"/>
  <c r="E3" i="90"/>
  <c r="F84" i="1" s="1"/>
  <c r="D3" i="90"/>
  <c r="E84" i="1" s="1"/>
  <c r="C3" i="90"/>
  <c r="D84" i="1" s="1"/>
  <c r="C75" i="1"/>
  <c r="G3" i="76"/>
  <c r="H75" i="1" s="1"/>
  <c r="F3" i="76"/>
  <c r="G75" i="1" s="1"/>
  <c r="E3" i="76"/>
  <c r="F75" i="1" s="1"/>
  <c r="D3" i="76"/>
  <c r="E75" i="1" s="1"/>
  <c r="C3" i="76"/>
  <c r="D75" i="1" s="1"/>
  <c r="C74" i="1"/>
  <c r="G3" i="98"/>
  <c r="H74" i="1" s="1"/>
  <c r="F3" i="98"/>
  <c r="G74" i="1" s="1"/>
  <c r="E3" i="98"/>
  <c r="F74" i="1" s="1"/>
  <c r="D3" i="98"/>
  <c r="E74" i="1" s="1"/>
  <c r="C3" i="98"/>
  <c r="D74" i="1" s="1"/>
  <c r="C71" i="1"/>
  <c r="G3" i="84"/>
  <c r="H71" i="1" s="1"/>
  <c r="F3" i="84"/>
  <c r="G71" i="1" s="1"/>
  <c r="E3" i="84"/>
  <c r="F71" i="1" s="1"/>
  <c r="D3" i="84"/>
  <c r="E71" i="1" s="1"/>
  <c r="C3" i="84"/>
  <c r="D71" i="1" s="1"/>
  <c r="C70" i="1"/>
  <c r="G3" i="75"/>
  <c r="F3" i="75"/>
  <c r="E3" i="75"/>
  <c r="D3" i="75"/>
  <c r="C3" i="75"/>
  <c r="C3" i="73"/>
  <c r="D44" i="1" s="1"/>
  <c r="C44" i="1"/>
  <c r="G3" i="73"/>
  <c r="H44" i="1" s="1"/>
  <c r="F3" i="73"/>
  <c r="G44" i="1" s="1"/>
  <c r="E3" i="73"/>
  <c r="F44" i="1" s="1"/>
  <c r="D3" i="73"/>
  <c r="E44" i="1" s="1"/>
  <c r="C43" i="1"/>
  <c r="G3" i="72"/>
  <c r="H43" i="1" s="1"/>
  <c r="F3" i="72"/>
  <c r="G43" i="1" s="1"/>
  <c r="E3" i="72"/>
  <c r="F43" i="1" s="1"/>
  <c r="D3" i="72"/>
  <c r="E43" i="1" s="1"/>
  <c r="C3" i="72"/>
  <c r="D43" i="1" s="1"/>
  <c r="C42" i="1"/>
  <c r="G3" i="99"/>
  <c r="H42" i="1" s="1"/>
  <c r="F3" i="99"/>
  <c r="G42" i="1" s="1"/>
  <c r="E3" i="99"/>
  <c r="F42" i="1" s="1"/>
  <c r="D3" i="99"/>
  <c r="E42" i="1" s="1"/>
  <c r="C3" i="99"/>
  <c r="D42" i="1" s="1"/>
  <c r="C41" i="1"/>
  <c r="G3" i="81"/>
  <c r="H41" i="1" s="1"/>
  <c r="F3" i="81"/>
  <c r="G41" i="1" s="1"/>
  <c r="E3" i="81"/>
  <c r="F41" i="1" s="1"/>
  <c r="D3" i="81"/>
  <c r="E41" i="1" s="1"/>
  <c r="C3" i="81"/>
  <c r="D41" i="1" s="1"/>
  <c r="C3" i="110"/>
  <c r="D28" i="1" s="1"/>
  <c r="D3" i="110"/>
  <c r="E28" i="1" s="1"/>
  <c r="E3" i="110"/>
  <c r="F28" i="1" s="1"/>
  <c r="F3" i="110"/>
  <c r="G28" i="1" s="1"/>
  <c r="G3" i="110"/>
  <c r="H28" i="1" s="1"/>
  <c r="C28" i="1"/>
  <c r="C25" i="1"/>
  <c r="B25" i="1"/>
  <c r="G3" i="103"/>
  <c r="H25" i="1" s="1"/>
  <c r="F3" i="103"/>
  <c r="G25" i="1" s="1"/>
  <c r="E3" i="103"/>
  <c r="F25" i="1" s="1"/>
  <c r="D3" i="103"/>
  <c r="E25" i="1" s="1"/>
  <c r="C3" i="103"/>
  <c r="D25" i="1" s="1"/>
  <c r="C14" i="1"/>
  <c r="B14" i="1"/>
  <c r="H9" i="1"/>
  <c r="C252" i="1"/>
  <c r="B252" i="1"/>
  <c r="G3" i="111"/>
  <c r="F3" i="111"/>
  <c r="E3" i="111"/>
  <c r="D3" i="111"/>
  <c r="C3" i="111"/>
  <c r="D14" i="1" s="1"/>
  <c r="D187" i="1" l="1"/>
  <c r="F146" i="1"/>
  <c r="E146" i="1"/>
  <c r="G146" i="1"/>
  <c r="H146" i="1"/>
  <c r="E238" i="1"/>
  <c r="F238" i="1"/>
  <c r="D238" i="1"/>
  <c r="G238" i="1"/>
  <c r="H238" i="1"/>
  <c r="F217" i="1"/>
  <c r="G217" i="1"/>
  <c r="H217" i="1"/>
  <c r="D217" i="1"/>
  <c r="E217" i="1"/>
  <c r="D114" i="1"/>
  <c r="D250" i="1"/>
  <c r="E211" i="1"/>
  <c r="F211" i="1"/>
  <c r="G211" i="1"/>
  <c r="H211" i="1"/>
  <c r="D211" i="1"/>
  <c r="D181" i="1"/>
  <c r="E70" i="1"/>
  <c r="F70" i="1"/>
  <c r="D70" i="1"/>
  <c r="G70" i="1"/>
  <c r="H70" i="1"/>
  <c r="G230" i="1"/>
  <c r="H230" i="1"/>
  <c r="F230" i="1"/>
  <c r="D230" i="1"/>
  <c r="E230" i="1"/>
  <c r="D144" i="1"/>
  <c r="D329" i="1"/>
  <c r="E329" i="1"/>
  <c r="F329" i="1"/>
  <c r="G329" i="1"/>
  <c r="H329" i="1"/>
  <c r="E250" i="1"/>
  <c r="F250" i="1"/>
  <c r="G250" i="1"/>
  <c r="H250" i="1"/>
  <c r="G144" i="1"/>
  <c r="H144" i="1"/>
  <c r="E144" i="1"/>
  <c r="F144" i="1"/>
  <c r="E200" i="1"/>
  <c r="F200" i="1"/>
  <c r="G200" i="1"/>
  <c r="H200" i="1"/>
  <c r="H127" i="1"/>
  <c r="E127" i="1"/>
  <c r="F127" i="1"/>
  <c r="G127" i="1"/>
  <c r="H106" i="1"/>
  <c r="G106" i="1"/>
  <c r="E106" i="1"/>
  <c r="F106" i="1"/>
  <c r="E195" i="1"/>
  <c r="H195" i="1"/>
  <c r="G195" i="1"/>
  <c r="F195" i="1"/>
  <c r="F187" i="1"/>
  <c r="G187" i="1"/>
  <c r="H187" i="1"/>
  <c r="E187" i="1"/>
  <c r="E181" i="1"/>
  <c r="F181" i="1"/>
  <c r="G181" i="1"/>
  <c r="H181" i="1"/>
  <c r="E114" i="1"/>
  <c r="H114" i="1"/>
  <c r="F114" i="1"/>
  <c r="G114" i="1"/>
  <c r="G325" i="1"/>
  <c r="H325" i="1"/>
  <c r="F325" i="1"/>
  <c r="E325" i="1"/>
  <c r="F189" i="1"/>
  <c r="H189" i="1"/>
  <c r="G189" i="1"/>
  <c r="E189" i="1"/>
  <c r="F14" i="1"/>
  <c r="G14" i="1"/>
  <c r="H14" i="1"/>
  <c r="E14" i="1"/>
  <c r="B28" i="1"/>
  <c r="B217" i="1"/>
  <c r="B334" i="1"/>
  <c r="B198" i="1"/>
  <c r="B257" i="1"/>
  <c r="B337" i="1"/>
  <c r="B106" i="1"/>
  <c r="B247" i="1"/>
  <c r="B250" i="1"/>
  <c r="B42" i="1"/>
  <c r="B74" i="1"/>
  <c r="B181" i="1"/>
  <c r="B92" i="1" l="1"/>
  <c r="B237" i="1"/>
  <c r="B238" i="1"/>
  <c r="B220" i="1" l="1"/>
  <c r="B84" i="1"/>
  <c r="B221" i="1"/>
  <c r="B316" i="1"/>
  <c r="B142" i="1"/>
  <c r="B146" i="1"/>
  <c r="B86" i="1"/>
  <c r="B71" i="1"/>
  <c r="B75" i="1"/>
  <c r="B144" i="1"/>
  <c r="B284" i="1"/>
  <c r="B41" i="1"/>
  <c r="B43" i="1"/>
  <c r="B325" i="1"/>
  <c r="G3" i="79"/>
  <c r="H252" i="1" s="1"/>
  <c r="H7" i="1" s="1"/>
  <c r="F3" i="79"/>
  <c r="G252" i="1" s="1"/>
  <c r="G7" i="1" s="1"/>
  <c r="G6" i="1" s="1"/>
  <c r="E3" i="79"/>
  <c r="F252" i="1" s="1"/>
  <c r="F7" i="1" s="1"/>
  <c r="F6" i="1" s="1"/>
  <c r="D3" i="79"/>
  <c r="E252" i="1" s="1"/>
  <c r="E7" i="1" s="1"/>
  <c r="E6" i="1" s="1"/>
  <c r="C3" i="79"/>
  <c r="B200" i="1"/>
  <c r="B70" i="1"/>
  <c r="B104" i="1"/>
  <c r="B44" i="1"/>
  <c r="B271" i="1"/>
  <c r="B195" i="1"/>
  <c r="H6" i="1" l="1"/>
  <c r="D252" i="1"/>
  <c r="D6" i="1" s="1"/>
  <c r="B335" i="1"/>
  <c r="B329" i="1"/>
  <c r="B294" i="1"/>
  <c r="B189" i="1"/>
  <c r="B211" i="1"/>
  <c r="B188" i="1"/>
  <c r="B114" i="1"/>
  <c r="B187" i="1" l="1"/>
  <c r="B232" i="1"/>
  <c r="B230" i="1" l="1"/>
  <c r="B280" i="1"/>
  <c r="B260" i="1"/>
  <c r="B127" i="1" l="1"/>
  <c r="A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Yessika Zambrano</author>
  </authors>
  <commentList>
    <comment ref="A6" authorId="0" shapeId="0" xr:uid="{96439810-B71D-4771-A8E9-0AFC477CE157}">
      <text>
        <r>
          <rPr>
            <b/>
            <sz val="9"/>
            <color indexed="81"/>
            <rFont val="Tahoma"/>
            <family val="2"/>
          </rPr>
          <t xml:space="preserve">Yessika Zambra
EQUIVALENTE A 25 VACIOS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Yessika Zambrano</author>
  </authors>
  <commentList>
    <comment ref="C10" authorId="0" shapeId="0" xr:uid="{C94CF899-0993-4545-9120-110A54BD13A2}">
      <text>
        <r>
          <rPr>
            <b/>
            <sz val="9"/>
            <color indexed="81"/>
            <rFont val="Tahoma"/>
            <family val="2"/>
          </rPr>
          <t>Yessika Zambrano:</t>
        </r>
        <r>
          <rPr>
            <sz val="9"/>
            <color indexed="81"/>
            <rFont val="Tahoma"/>
            <family val="2"/>
          </rPr>
          <t xml:space="preserve">
PAGO CON 33 VACIOS QUE DA 184.14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Yessika Zambrano</author>
  </authors>
  <commentList>
    <comment ref="C30" authorId="0" shapeId="0" xr:uid="{EE2C3058-7096-4195-9274-129665FE8EBF}">
      <text>
        <r>
          <rPr>
            <b/>
            <sz val="9"/>
            <color indexed="81"/>
            <rFont val="Tahoma"/>
            <family val="2"/>
          </rPr>
          <t xml:space="preserve">Yessika Zambra
F 2205.69 DES 1.5% 
</t>
        </r>
      </text>
    </comment>
    <comment ref="C35" authorId="0" shapeId="0" xr:uid="{29A5133E-9A39-4603-8FBE-15E150018FC2}">
      <text>
        <r>
          <rPr>
            <b/>
            <sz val="9"/>
            <color indexed="81"/>
            <rFont val="Tahoma"/>
            <family val="2"/>
          </rPr>
          <t>Yessika Zambrano:</t>
        </r>
        <r>
          <rPr>
            <sz val="9"/>
            <color indexed="81"/>
            <rFont val="Tahoma"/>
            <family val="2"/>
          </rPr>
          <t xml:space="preserve">
1.5%
</t>
        </r>
      </text>
    </comment>
    <comment ref="C38" authorId="0" shapeId="0" xr:uid="{D3BC2EB3-0789-4DD3-BE30-3414F5415EF8}">
      <text>
        <r>
          <rPr>
            <b/>
            <sz val="9"/>
            <color indexed="81"/>
            <rFont val="Tahoma"/>
            <family val="2"/>
          </rPr>
          <t>Yessika Zambrano:</t>
        </r>
        <r>
          <rPr>
            <sz val="9"/>
            <color indexed="81"/>
            <rFont val="Tahoma"/>
            <family val="2"/>
          </rPr>
          <t xml:space="preserve">
1.5%
</t>
        </r>
      </text>
    </comment>
    <comment ref="C42" authorId="0" shapeId="0" xr:uid="{241D7FDE-4854-4AD6-928A-CB13E2466F04}">
      <text>
        <r>
          <rPr>
            <b/>
            <sz val="9"/>
            <color indexed="81"/>
            <rFont val="Tahoma"/>
            <family val="2"/>
          </rPr>
          <t>Yessika Zambrano:</t>
        </r>
        <r>
          <rPr>
            <sz val="9"/>
            <color indexed="81"/>
            <rFont val="Tahoma"/>
            <family val="2"/>
          </rPr>
          <t xml:space="preserve">
1.5%
</t>
        </r>
      </text>
    </comment>
    <comment ref="C45" authorId="0" shapeId="0" xr:uid="{D452157A-2429-4E78-9C88-B0E7324EC23B}">
      <text>
        <r>
          <rPr>
            <b/>
            <sz val="9"/>
            <color indexed="81"/>
            <rFont val="Tahoma"/>
            <family val="2"/>
          </rPr>
          <t>Yessika Zambrano:</t>
        </r>
        <r>
          <rPr>
            <sz val="9"/>
            <color indexed="81"/>
            <rFont val="Tahoma"/>
            <family val="2"/>
          </rPr>
          <t xml:space="preserve">
1.5%
</t>
        </r>
      </text>
    </comment>
    <comment ref="C48" authorId="0" shapeId="0" xr:uid="{353AB788-EE68-4FF0-8C59-7914B6886EFA}">
      <text>
        <r>
          <rPr>
            <b/>
            <sz val="9"/>
            <color indexed="81"/>
            <rFont val="Tahoma"/>
            <family val="2"/>
          </rPr>
          <t>Yessika Zambrano:</t>
        </r>
        <r>
          <rPr>
            <sz val="9"/>
            <color indexed="81"/>
            <rFont val="Tahoma"/>
            <family val="2"/>
          </rPr>
          <t xml:space="preserve">
1.5%
</t>
        </r>
      </text>
    </comment>
    <comment ref="C51" authorId="0" shapeId="0" xr:uid="{AA019174-CF63-4472-9484-AD46FB803E80}">
      <text>
        <r>
          <rPr>
            <b/>
            <sz val="9"/>
            <color indexed="81"/>
            <rFont val="Tahoma"/>
            <family val="2"/>
          </rPr>
          <t>Yessika Zambrano:</t>
        </r>
        <r>
          <rPr>
            <sz val="9"/>
            <color indexed="81"/>
            <rFont val="Tahoma"/>
            <family val="2"/>
          </rPr>
          <t xml:space="preserve">
1.5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Yessika Zambrano</author>
  </authors>
  <commentList>
    <comment ref="C186" authorId="0" shapeId="0" xr:uid="{B2E68D70-C5AF-425D-9E9B-332BE17C1B3A}">
      <text>
        <r>
          <rPr>
            <b/>
            <sz val="9"/>
            <color indexed="81"/>
            <rFont val="Tahoma"/>
            <family val="2"/>
          </rPr>
          <t>Yessika Zambrano:</t>
        </r>
        <r>
          <rPr>
            <sz val="9"/>
            <color indexed="81"/>
            <rFont val="Tahoma"/>
            <family val="2"/>
          </rPr>
          <t xml:space="preserve">
VALLENATO MAS IMPULSADORA
</t>
        </r>
      </text>
    </comment>
    <comment ref="C200" authorId="0" shapeId="0" xr:uid="{CC0D05E7-21FF-4A27-9EB5-A47C3D20928E}">
      <text>
        <r>
          <rPr>
            <b/>
            <sz val="9"/>
            <color indexed="81"/>
            <rFont val="Tahoma"/>
            <family val="2"/>
          </rPr>
          <t>Yessika Zambrano:</t>
        </r>
        <r>
          <rPr>
            <sz val="9"/>
            <color indexed="81"/>
            <rFont val="Tahoma"/>
            <family val="2"/>
          </rPr>
          <t xml:space="preserve">
10 TRANSFERENCIAS DE 200.000 Y 1 DE 185.714,2
</t>
        </r>
      </text>
    </comment>
    <comment ref="C214" authorId="0" shapeId="0" xr:uid="{61E53B4E-3FB9-485D-B395-2D6652EBA91F}">
      <text>
        <r>
          <rPr>
            <b/>
            <sz val="9"/>
            <color indexed="81"/>
            <rFont val="Tahoma"/>
            <family val="2"/>
          </rPr>
          <t>Yessika Zambrano:</t>
        </r>
        <r>
          <rPr>
            <sz val="9"/>
            <color indexed="81"/>
            <rFont val="Tahoma"/>
            <family val="2"/>
          </rPr>
          <t xml:space="preserve">
ANIVERSARIO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Yessika Zambrano</author>
  </authors>
  <commentList>
    <comment ref="C47" authorId="0" shapeId="0" xr:uid="{4B212351-F7A2-49E0-A518-31A5C1A61634}">
      <text>
        <r>
          <rPr>
            <b/>
            <sz val="9"/>
            <color indexed="81"/>
            <rFont val="Tahoma"/>
            <family val="2"/>
          </rPr>
          <t>Yessika Zambrano:</t>
        </r>
        <r>
          <rPr>
            <sz val="9"/>
            <color indexed="81"/>
            <rFont val="Tahoma"/>
            <family val="2"/>
          </rPr>
          <t xml:space="preserve">
DEV 1 MALTA 1.5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Yessika Zambrano</author>
  </authors>
  <commentList>
    <comment ref="D9" authorId="0" shapeId="0" xr:uid="{EB7E26F1-861A-443F-82AC-EEB25F1FE355}">
      <text>
        <r>
          <rPr>
            <b/>
            <sz val="9"/>
            <color indexed="81"/>
            <rFont val="Tahoma"/>
            <family val="2"/>
          </rPr>
          <t>Yessika Zambrano:</t>
        </r>
        <r>
          <rPr>
            <sz val="9"/>
            <color indexed="81"/>
            <rFont val="Tahoma"/>
            <family val="2"/>
          </rPr>
          <t xml:space="preserve">
ESPOSA DE ROBERTO</t>
        </r>
      </text>
    </comment>
    <comment ref="C10" authorId="0" shapeId="0" xr:uid="{84AF52F9-03A9-4F64-9A59-320DB2A92D96}">
      <text>
        <r>
          <rPr>
            <b/>
            <sz val="9"/>
            <color indexed="81"/>
            <rFont val="Tahoma"/>
            <family val="2"/>
          </rPr>
          <t>Yessika Zambrano:</t>
        </r>
        <r>
          <rPr>
            <sz val="9"/>
            <color indexed="81"/>
            <rFont val="Tahoma"/>
            <family val="2"/>
          </rPr>
          <t xml:space="preserve">
DEUDA MARKETON 24 DEL MES 7
</t>
        </r>
      </text>
    </comment>
    <comment ref="C88" authorId="0" shapeId="0" xr:uid="{58CC82F0-FED1-4B19-91AA-C11543459FEC}">
      <text>
        <r>
          <rPr>
            <b/>
            <sz val="9"/>
            <color indexed="81"/>
            <rFont val="Tahoma"/>
            <family val="2"/>
          </rPr>
          <t>Yessika Zambrano:</t>
        </r>
        <r>
          <rPr>
            <sz val="9"/>
            <color indexed="81"/>
            <rFont val="Tahoma"/>
            <family val="2"/>
          </rPr>
          <t xml:space="preserve">
1 GATORADE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Yessika Zambrano</author>
  </authors>
  <commentList>
    <comment ref="D46" authorId="0" shapeId="0" xr:uid="{1074CE34-2E3C-4A31-A12D-0EDF2735156C}">
      <text>
        <r>
          <rPr>
            <b/>
            <sz val="9"/>
            <color indexed="81"/>
            <rFont val="Tahoma"/>
            <family val="2"/>
          </rPr>
          <t>Yessika Zambrano:</t>
        </r>
        <r>
          <rPr>
            <sz val="9"/>
            <color indexed="81"/>
            <rFont val="Tahoma"/>
            <family val="2"/>
          </rPr>
          <t xml:space="preserve">
-9 VACIO PAGADO EN BOLIVARES 5436
</t>
        </r>
      </text>
    </comment>
  </commentList>
</comments>
</file>

<file path=xl/sharedStrings.xml><?xml version="1.0" encoding="utf-8"?>
<sst xmlns="http://schemas.openxmlformats.org/spreadsheetml/2006/main" count="18819" uniqueCount="551">
  <si>
    <t>DISTRIBUIDORA CASTILLO YAÑEZ C.A</t>
  </si>
  <si>
    <t>F</t>
  </si>
  <si>
    <t>FACTURA</t>
  </si>
  <si>
    <t>J-40214875-5</t>
  </si>
  <si>
    <t>T</t>
  </si>
  <si>
    <t>TRANSFERENCIA</t>
  </si>
  <si>
    <t>CEP 22405697</t>
  </si>
  <si>
    <t>E</t>
  </si>
  <si>
    <t>EFECTIVO</t>
  </si>
  <si>
    <t>P</t>
  </si>
  <si>
    <t>PRESTADO</t>
  </si>
  <si>
    <t>VACIO 1.25</t>
  </si>
  <si>
    <t>OBSEQUIO</t>
  </si>
  <si>
    <t>TOTAL</t>
  </si>
  <si>
    <t>SUB TOTAL</t>
  </si>
  <si>
    <t>CLIENTE</t>
  </si>
  <si>
    <t>TOTALES</t>
  </si>
  <si>
    <t>FECHA</t>
  </si>
  <si>
    <t>F-  E-  T-</t>
  </si>
  <si>
    <t>DEUDA Y ABONOS</t>
  </si>
  <si>
    <t>VACIO 350</t>
  </si>
  <si>
    <t xml:space="preserve">F </t>
  </si>
  <si>
    <t>V</t>
  </si>
  <si>
    <t>R</t>
  </si>
  <si>
    <t>KORNER</t>
  </si>
  <si>
    <t>V72151 ZONA 1728 INICIO RUTA 4-6-2025</t>
  </si>
  <si>
    <t>DORIS MOGOLLON</t>
  </si>
  <si>
    <t>YASMIN LABRADOR</t>
  </si>
  <si>
    <t>PRESTO MARKET</t>
  </si>
  <si>
    <t>LLUVIA BENDICIONES</t>
  </si>
  <si>
    <t xml:space="preserve">MERCA MAX </t>
  </si>
  <si>
    <t>LUMA EXPRESS</t>
  </si>
  <si>
    <t>JESUS SANTANDER</t>
  </si>
  <si>
    <t xml:space="preserve">P </t>
  </si>
  <si>
    <t>p</t>
  </si>
  <si>
    <t>a</t>
  </si>
  <si>
    <t>YONATAN NINO</t>
  </si>
  <si>
    <t>WILFREDO BAYONA</t>
  </si>
  <si>
    <t>ROBERTO FIGUEREDO</t>
  </si>
  <si>
    <t>JESUS PARRA</t>
  </si>
  <si>
    <t>JHON COLMENARES</t>
  </si>
  <si>
    <t>DAVID MORALES</t>
  </si>
  <si>
    <t>KACTUS BODEGON</t>
  </si>
  <si>
    <t>GLADIS PERNIA</t>
  </si>
  <si>
    <t>PANADERIA MUNDO SABOR</t>
  </si>
  <si>
    <t>JOHANA ZAMBRANO</t>
  </si>
  <si>
    <t>BOD TOICO CLEIBER</t>
  </si>
  <si>
    <t>BOD TOICO OSMAR</t>
  </si>
  <si>
    <t>BODEGON ENZO</t>
  </si>
  <si>
    <t>KEVIN MARQUEZ</t>
  </si>
  <si>
    <t>CAROLINA SANCHEZ</t>
  </si>
  <si>
    <t>PABLO BARAJAS</t>
  </si>
  <si>
    <t>VILLA ROSSI</t>
  </si>
  <si>
    <t>BOD MARBELYS ROA</t>
  </si>
  <si>
    <t>ELVIRA PENA</t>
  </si>
  <si>
    <t>EMPRENDIMIENTO MIRLEY</t>
  </si>
  <si>
    <t>BODEGON EXPRESS</t>
  </si>
  <si>
    <t>BODEGON UNICO</t>
  </si>
  <si>
    <t>EMPRENDIMIENTO YAHIBE MOLINA</t>
  </si>
  <si>
    <t>EMPRENDIMIENTO MANZO</t>
  </si>
  <si>
    <t>BIANCA MASERATI</t>
  </si>
  <si>
    <t>VANESA DIAZ</t>
  </si>
  <si>
    <t>LICORERIA KOOP</t>
  </si>
  <si>
    <t>BODEGON SEVILLANA</t>
  </si>
  <si>
    <t>LICORERIA GRISYUDAY</t>
  </si>
  <si>
    <t>MARIA RICO</t>
  </si>
  <si>
    <t>MARIA CARRERO</t>
  </si>
  <si>
    <t>CAROL KARDEIGON</t>
  </si>
  <si>
    <t>INVERSIONES MEID</t>
  </si>
  <si>
    <t>MILEIDY</t>
  </si>
  <si>
    <t>RAMON</t>
  </si>
  <si>
    <t>BODEGON EXPRESS GREGORI</t>
  </si>
  <si>
    <t>NEILA</t>
  </si>
  <si>
    <t>BOD SOLMAR PINTO</t>
  </si>
  <si>
    <t>MINIMARKET DETODITO</t>
  </si>
  <si>
    <t>YASURY</t>
  </si>
  <si>
    <t>LUCIO</t>
  </si>
  <si>
    <t>YARITZA PEREZ</t>
  </si>
  <si>
    <t>ABASTO ZORANNY</t>
  </si>
  <si>
    <t>ZORAIDA</t>
  </si>
  <si>
    <t>COMERCIALIZADORA YUDI</t>
  </si>
  <si>
    <t>YURAIMA MORENO</t>
  </si>
  <si>
    <t>NOREIMA LA MORDIDA</t>
  </si>
  <si>
    <t>KARINA B.GOS BODEGON</t>
  </si>
  <si>
    <t>YEIMO CHARCUTERIA</t>
  </si>
  <si>
    <t>LA VAQUERITA</t>
  </si>
  <si>
    <t>ALEJANDRA NIETO</t>
  </si>
  <si>
    <t>ABASTO KLEIDI</t>
  </si>
  <si>
    <t>KLEIDI</t>
  </si>
  <si>
    <t>VACIO 1/4</t>
  </si>
  <si>
    <t>RETECION</t>
  </si>
  <si>
    <t>NOMBRE</t>
  </si>
  <si>
    <t>RAZON SOCIAL</t>
  </si>
  <si>
    <t>NOMBRE CLIENTE</t>
  </si>
  <si>
    <t>DEUDOR</t>
  </si>
  <si>
    <t>MONTO</t>
  </si>
  <si>
    <t>VACIO 355</t>
  </si>
  <si>
    <t xml:space="preserve">RETENCION </t>
  </si>
  <si>
    <t>O</t>
  </si>
  <si>
    <t>BODEGA LOS CHACAROS</t>
  </si>
  <si>
    <t>YANET</t>
  </si>
  <si>
    <t>BODEGON JUANCHO</t>
  </si>
  <si>
    <t>OSMAR SUAREZ</t>
  </si>
  <si>
    <t>OSITO EXPRESS</t>
  </si>
  <si>
    <t>ANDRI</t>
  </si>
  <si>
    <t>MARIEXTER CACHAPAS</t>
  </si>
  <si>
    <t>COMERCIALIZADORA JEALKA</t>
  </si>
  <si>
    <t>GONZALO</t>
  </si>
  <si>
    <t>VARIEDADES LUCY</t>
  </si>
  <si>
    <t>LUCERO</t>
  </si>
  <si>
    <t>RESTAURANT DONDE SANTOS</t>
  </si>
  <si>
    <t>VANESA</t>
  </si>
  <si>
    <t>ABASTO LAS MORENAS</t>
  </si>
  <si>
    <t>CECILIO</t>
  </si>
  <si>
    <t>ABASTO GLORIMAR</t>
  </si>
  <si>
    <t>ANDERZON RODRIGUEZ</t>
  </si>
  <si>
    <t>JUMBO DOG</t>
  </si>
  <si>
    <t>DON LEO</t>
  </si>
  <si>
    <t>EL REY CACHAPA</t>
  </si>
  <si>
    <t>ABASTO ANTONY</t>
  </si>
  <si>
    <t>CARNICERIA KARINA</t>
  </si>
  <si>
    <t>MENOR</t>
  </si>
  <si>
    <t>WILLI</t>
  </si>
  <si>
    <t>ABASTO VANESA</t>
  </si>
  <si>
    <t>BODEGA EXPRESS</t>
  </si>
  <si>
    <t>BODEGON MACHIRI</t>
  </si>
  <si>
    <t>ROBERTO</t>
  </si>
  <si>
    <t>TORCOROMA</t>
  </si>
  <si>
    <t>-</t>
  </si>
  <si>
    <t>GERMAN CALDERON</t>
  </si>
  <si>
    <t>NORLAIDA</t>
  </si>
  <si>
    <t>CASA EXPRESS</t>
  </si>
  <si>
    <t>DURAN</t>
  </si>
  <si>
    <t>LA TIENDITA</t>
  </si>
  <si>
    <t>VASQUE</t>
  </si>
  <si>
    <t>LA ESPERANZA</t>
  </si>
  <si>
    <t>CARRERO</t>
  </si>
  <si>
    <t>BODEGON AGUA LINDA</t>
  </si>
  <si>
    <t>PADEL X4 BTB</t>
  </si>
  <si>
    <t>BODEGA NANCYTA</t>
  </si>
  <si>
    <t>NANCY MONSALVE</t>
  </si>
  <si>
    <t>LA ANDINA NARVAEZ</t>
  </si>
  <si>
    <t>JOSE NARVAEZ</t>
  </si>
  <si>
    <t>MEGA MARKET</t>
  </si>
  <si>
    <t>REINA MONCADA</t>
  </si>
  <si>
    <t>BOD ALTOS PARAMILLO</t>
  </si>
  <si>
    <t>KIOSCO VICTORIA</t>
  </si>
  <si>
    <t>VICTORIA HERNANDEZ</t>
  </si>
  <si>
    <t>CLEIBER ANDRADE</t>
  </si>
  <si>
    <t>MARBELYS ROA</t>
  </si>
  <si>
    <t>KEVIN RAMIREZ</t>
  </si>
  <si>
    <t>COMERCIALIZADORA MULTIMASS</t>
  </si>
  <si>
    <t>JESUS VILLAMIZAR</t>
  </si>
  <si>
    <t>CIRA PERDOMO</t>
  </si>
  <si>
    <t>MINI ABASTO EL SOL</t>
  </si>
  <si>
    <t>BODEGA NAZARENO</t>
  </si>
  <si>
    <t>SNAK'S 31</t>
  </si>
  <si>
    <t>YUSMARI ARRIETA</t>
  </si>
  <si>
    <t>MARIANA COLMENARES</t>
  </si>
  <si>
    <t>KIOSCO BLANCO</t>
  </si>
  <si>
    <t>QUINCALLA JESUS DE NAZARENO</t>
  </si>
  <si>
    <t>PANADERIA SMOKED</t>
  </si>
  <si>
    <t>ANDRES CERRA</t>
  </si>
  <si>
    <t>CAMPO MARKET</t>
  </si>
  <si>
    <t>ESCARLET LOPEZ</t>
  </si>
  <si>
    <t>PANDERIA LA PURISIMA</t>
  </si>
  <si>
    <t>JOSE BARRERA</t>
  </si>
  <si>
    <t>FRUTAS Y VERDURAS PALO GORDO</t>
  </si>
  <si>
    <t>DARCY CONTRERAS</t>
  </si>
  <si>
    <t>BODEGA MILAGRO</t>
  </si>
  <si>
    <t>MILAGRO BARRETO</t>
  </si>
  <si>
    <t>YELSI CAMARGO</t>
  </si>
  <si>
    <t>BODEGON LINARES</t>
  </si>
  <si>
    <t>JUAN PABON</t>
  </si>
  <si>
    <t xml:space="preserve">E </t>
  </si>
  <si>
    <t>INVERSIONES DIMARIA</t>
  </si>
  <si>
    <t>MILAGROS</t>
  </si>
  <si>
    <t>PANADERIA PANINI</t>
  </si>
  <si>
    <t>BODEGON LOS NONOS</t>
  </si>
  <si>
    <t>BAKAI MACHIRI</t>
  </si>
  <si>
    <t>BODEGON ANDREA'S</t>
  </si>
  <si>
    <t>TIENDA SANTO CRISTO</t>
  </si>
  <si>
    <t>SUPERMERCADO MIRCAR</t>
  </si>
  <si>
    <t>PANADERIA LA CREMITA</t>
  </si>
  <si>
    <t>KIOSCO FRAO</t>
  </si>
  <si>
    <t>ALEJANDRO</t>
  </si>
  <si>
    <t>GREYSI JAUREGUI</t>
  </si>
  <si>
    <t>BODEGA DE ORO</t>
  </si>
  <si>
    <t>SOLANDE APARICIO</t>
  </si>
  <si>
    <t>ABASTO LAUDA</t>
  </si>
  <si>
    <t>ANDRES</t>
  </si>
  <si>
    <t>ABASTO LAS PILAS</t>
  </si>
  <si>
    <t>CECILIA EMPANADAS</t>
  </si>
  <si>
    <t>FRANKLIN FOCACIO</t>
  </si>
  <si>
    <t>MANGO'S HOT DOG</t>
  </si>
  <si>
    <t>SAUL Q FRUVER</t>
  </si>
  <si>
    <t>REINA ALARCON</t>
  </si>
  <si>
    <t>LIAM SOFI</t>
  </si>
  <si>
    <t>CARNICERIA 2009</t>
  </si>
  <si>
    <t>EL GRONE GOMEZ</t>
  </si>
  <si>
    <t>JESUS GOMEZ</t>
  </si>
  <si>
    <t>PANADERIA EL MANJAR</t>
  </si>
  <si>
    <t>FATIMA ZAMBRANO</t>
  </si>
  <si>
    <t>POLLO EXPRESS JYB</t>
  </si>
  <si>
    <t>YOLY LACRUZ</t>
  </si>
  <si>
    <t>ELICEO GARCIA</t>
  </si>
  <si>
    <t>ANTONIO DELGADO</t>
  </si>
  <si>
    <t>WILFREDO CHACON</t>
  </si>
  <si>
    <t>ABASTO LAS CUADRAS</t>
  </si>
  <si>
    <t>BODEGON TERESITA</t>
  </si>
  <si>
    <t>TERESA ALBARRACIN</t>
  </si>
  <si>
    <t>MADEROS BODEGON</t>
  </si>
  <si>
    <t>BODEGON DE OLGA</t>
  </si>
  <si>
    <t>FRESCURA DE MI TIERRA</t>
  </si>
  <si>
    <t>KIOSCO ROSA VELAZCO</t>
  </si>
  <si>
    <t>BODEGA MILAGROS</t>
  </si>
  <si>
    <t>LICORERIA LA VILLA</t>
  </si>
  <si>
    <t>BCV</t>
  </si>
  <si>
    <t>DIANA CALDERON</t>
  </si>
  <si>
    <t>BODEGA Y PAPELERIA REY</t>
  </si>
  <si>
    <t>EUDES REY</t>
  </si>
  <si>
    <t>SUMINISTRO DE LIMPIEZA PARAMI</t>
  </si>
  <si>
    <t>NOREXA ZAMBRANO</t>
  </si>
  <si>
    <t>YUDY NINO</t>
  </si>
  <si>
    <t>GLORIA RAMIREZ</t>
  </si>
  <si>
    <t>FLORES DEL TRIGO</t>
  </si>
  <si>
    <t xml:space="preserve">CRISTIAN HERNANDEZ </t>
  </si>
  <si>
    <t>INVERFRUVE SANTANDER</t>
  </si>
  <si>
    <t>FRUTITAS</t>
  </si>
  <si>
    <t>LORENA MENDEZ</t>
  </si>
  <si>
    <t>ABASTO LUZMAR</t>
  </si>
  <si>
    <t>HAMBURGUESAS DONDE YERAL</t>
  </si>
  <si>
    <t>YERALDIN BAEZ</t>
  </si>
  <si>
    <t>BELKIS MONSALVE</t>
  </si>
  <si>
    <t>LULU</t>
  </si>
  <si>
    <t>LUHERLIN RUGELES</t>
  </si>
  <si>
    <t>PANADERIA LA ESPIGA</t>
  </si>
  <si>
    <t>FRANCIS BARRIENTO</t>
  </si>
  <si>
    <t>PANADERIA FLORES TRIGO</t>
  </si>
  <si>
    <t>SONIA GRANADA</t>
  </si>
  <si>
    <t>ABASTO YUDERLI</t>
  </si>
  <si>
    <t>TIENDA D DAYANA</t>
  </si>
  <si>
    <t>HIPER BODEGON</t>
  </si>
  <si>
    <t>MILAGROS ZAMBRANO</t>
  </si>
  <si>
    <t>MARIFLOR MOLINA</t>
  </si>
  <si>
    <t>EMPANADAS LAS NONAS</t>
  </si>
  <si>
    <t>BODEGON EXPRESS MOLINA</t>
  </si>
  <si>
    <t>CHARCUTERIA LA TOICA</t>
  </si>
  <si>
    <t>NEW YORK FITBOXING</t>
  </si>
  <si>
    <t>ZONA CAFE</t>
  </si>
  <si>
    <t>ROSA CAZAR</t>
  </si>
  <si>
    <t>RESTAURANT HERMANO DUQUE</t>
  </si>
  <si>
    <t>ALVARO SOLANO</t>
  </si>
  <si>
    <t>FERNANDO HERNANDEZ</t>
  </si>
  <si>
    <t>BODEGON KATERIN</t>
  </si>
  <si>
    <t>ROMERO</t>
  </si>
  <si>
    <t>FARMA BIEN</t>
  </si>
  <si>
    <t>D</t>
  </si>
  <si>
    <t>CONSUELO MENDOZA</t>
  </si>
  <si>
    <t>MIREYA MERCHAN</t>
  </si>
  <si>
    <t xml:space="preserve">TOLDO VERDE </t>
  </si>
  <si>
    <t>PLASTICO CONSOLACION</t>
  </si>
  <si>
    <t>KIOSCO LIAN</t>
  </si>
  <si>
    <t>AMALUBE</t>
  </si>
  <si>
    <t>VARIEDADES DYAN</t>
  </si>
  <si>
    <t>FOCACIA</t>
  </si>
  <si>
    <t>SARAY MOJIKA</t>
  </si>
  <si>
    <t>ALVARO RINCON</t>
  </si>
  <si>
    <t>PANADERIA VENETIA</t>
  </si>
  <si>
    <t>YORLEY GELVES</t>
  </si>
  <si>
    <t>FISICO</t>
  </si>
  <si>
    <t>JHONATAN</t>
  </si>
  <si>
    <t>CCP PARAMILLO</t>
  </si>
  <si>
    <t>FREDDY JAUREGY</t>
  </si>
  <si>
    <t>ORIANA CARRILLO</t>
  </si>
  <si>
    <t>QUESERA DOBLE A</t>
  </si>
  <si>
    <t>YORMAN URBINA</t>
  </si>
  <si>
    <t>DONDE QUIERA FOOD HOUSE</t>
  </si>
  <si>
    <t>RAFAEL RUIZ</t>
  </si>
  <si>
    <t>PIEDRA PAPEL O CERVEZA</t>
  </si>
  <si>
    <t>LICORERIA MIS ANGELES</t>
  </si>
  <si>
    <t>PADEL BUNKER</t>
  </si>
  <si>
    <t>willi</t>
  </si>
  <si>
    <t>COPAS DE PACO</t>
  </si>
  <si>
    <t>APRICOT</t>
  </si>
  <si>
    <t>CREACIONES YAKY</t>
  </si>
  <si>
    <t>YAKELIN VILLAMIZAR</t>
  </si>
  <si>
    <t>RESTAURANT EL CHAVALO</t>
  </si>
  <si>
    <t>JESUS GARCIA</t>
  </si>
  <si>
    <t>ROCIO HERRERA</t>
  </si>
  <si>
    <t>DON HECTOR</t>
  </si>
  <si>
    <t xml:space="preserve">T </t>
  </si>
  <si>
    <t>BODEGON D KSA</t>
  </si>
  <si>
    <t>ABASTO JAVER</t>
  </si>
  <si>
    <t>JAVER OVALLES</t>
  </si>
  <si>
    <t>EMPRENDIMIENTO LARRY</t>
  </si>
  <si>
    <t>LARRY SANCHEZ</t>
  </si>
  <si>
    <t>MAIRA CHACON</t>
  </si>
  <si>
    <t>EMPRENDIMIENTO EDGAR</t>
  </si>
  <si>
    <t>PIZZERIA ARADO</t>
  </si>
  <si>
    <t>BODEGA MARITZA</t>
  </si>
  <si>
    <t>ROJAS</t>
  </si>
  <si>
    <t>JOSE CONTRERAS</t>
  </si>
  <si>
    <t>PANADERIA CASCARITA</t>
  </si>
  <si>
    <t>MARTA MOLINA</t>
  </si>
  <si>
    <t>LUIS DELGADO</t>
  </si>
  <si>
    <t>MINIABASTO SANTO CRISTO</t>
  </si>
  <si>
    <t>Y</t>
  </si>
  <si>
    <t>EMPRENDIMIENTO MAIBEL</t>
  </si>
  <si>
    <t>MAIBEL MOLINA</t>
  </si>
  <si>
    <t>PANADERIA GLENDIZ</t>
  </si>
  <si>
    <t>GLENDIZ NUNEZ</t>
  </si>
  <si>
    <t>BODEGON EL COMPADRE</t>
  </si>
  <si>
    <t>DONDE YENNY</t>
  </si>
  <si>
    <t>YENNY CASANDUA</t>
  </si>
  <si>
    <t>MI ABASTO YELITZA</t>
  </si>
  <si>
    <t>BODEGON GARCIAS</t>
  </si>
  <si>
    <t>GENESIS GARCIAS</t>
  </si>
  <si>
    <t>TENGO TODO MENESES</t>
  </si>
  <si>
    <t>ROSANA CARERO</t>
  </si>
  <si>
    <t>BODEGA ESCALANTE</t>
  </si>
  <si>
    <t>MARIA BAUTISTA</t>
  </si>
  <si>
    <t>DE PANA</t>
  </si>
  <si>
    <t>KEVIN HERNANDEZ</t>
  </si>
  <si>
    <t>KIOSCO FRANKLIN</t>
  </si>
  <si>
    <t>FRANKLIN RODRIGUEZ</t>
  </si>
  <si>
    <t>COLEGIO SANTISIMA TRINIDAD</t>
  </si>
  <si>
    <t>VENDEDOR</t>
  </si>
  <si>
    <t>ULTIMO P O C</t>
  </si>
  <si>
    <t>YUSMARVIC</t>
  </si>
  <si>
    <t>MI RANCHITO</t>
  </si>
  <si>
    <t>CARMEN ANDREDE</t>
  </si>
  <si>
    <t>ROBERTO WILLI</t>
  </si>
  <si>
    <t>ZONA MARKET</t>
  </si>
  <si>
    <t>NELSON RAMIREZ</t>
  </si>
  <si>
    <t>BODEGA DONITA</t>
  </si>
  <si>
    <t>BODEGON D Y JD</t>
  </si>
  <si>
    <t>GLORIA PERNIA</t>
  </si>
  <si>
    <t>VARIEDADES ANA</t>
  </si>
  <si>
    <t>ADELAIDA BONILLA</t>
  </si>
  <si>
    <t>CARNICERIA MARTA</t>
  </si>
  <si>
    <t>COMERCIALIZADORA FLOREZ</t>
  </si>
  <si>
    <t>FRUTERIA YASMIN</t>
  </si>
  <si>
    <t>EL ATAJO CAFE</t>
  </si>
  <si>
    <t>NERSA CONTRERAS</t>
  </si>
  <si>
    <t>VARIEDADES EL CHENTE</t>
  </si>
  <si>
    <t>VICENTE OCHOA</t>
  </si>
  <si>
    <t>ABASTO DON MARCOS</t>
  </si>
  <si>
    <t>ANA ZAMBRANO</t>
  </si>
  <si>
    <t>RICHARD MONSARI</t>
  </si>
  <si>
    <t>FRANQUICIADO</t>
  </si>
  <si>
    <t>PIZZAS FRATELLO</t>
  </si>
  <si>
    <t>CESAR EDUARDO</t>
  </si>
  <si>
    <t>BODEGA DE CECI</t>
  </si>
  <si>
    <t>JHONDER COLMENARES</t>
  </si>
  <si>
    <t>KARLA</t>
  </si>
  <si>
    <t>CAFE RACER</t>
  </si>
  <si>
    <t>DISTRIBUIDORA LUCHENI</t>
  </si>
  <si>
    <t>YORMAN COLMENARES</t>
  </si>
  <si>
    <t>KIOSCO QUE PASTELITOS</t>
  </si>
  <si>
    <t>ALBERTO CARNEVALE</t>
  </si>
  <si>
    <t>BODEGA EL SOL</t>
  </si>
  <si>
    <t>ROSA VALERO</t>
  </si>
  <si>
    <t>GERZON CHACON GUERRERO</t>
  </si>
  <si>
    <t>VIVERES CASTELLANA</t>
  </si>
  <si>
    <t>ROSANGELA CASTELLANO</t>
  </si>
  <si>
    <t>KIOSCO AZUL</t>
  </si>
  <si>
    <t>NIEVES HERNANDEZ</t>
  </si>
  <si>
    <t>ROSA AURA MOLINA OLIVEROS</t>
  </si>
  <si>
    <t>100.000 COP</t>
  </si>
  <si>
    <t>RESTAURANT ALAS BRASAS</t>
  </si>
  <si>
    <t>ABDIAS MANRIQUE</t>
  </si>
  <si>
    <t>KIOSCO N 5</t>
  </si>
  <si>
    <t>YOLANDA FLORES</t>
  </si>
  <si>
    <t>PANADERIA EL CONDOR</t>
  </si>
  <si>
    <t>DARIANA ESCALANTE</t>
  </si>
  <si>
    <t>INVERSIONES Y VARIEDADES YENIFE</t>
  </si>
  <si>
    <t>YENIFER DE MONTANA</t>
  </si>
  <si>
    <t>JACKSON VILLAMIZAR</t>
  </si>
  <si>
    <t>RESTAURANT DONDE GRETA</t>
  </si>
  <si>
    <t>GRETA CABEZA</t>
  </si>
  <si>
    <t>HERMANO ROBERTO</t>
  </si>
  <si>
    <t>KARLA ISAZA</t>
  </si>
  <si>
    <t>COMPINCHOS</t>
  </si>
  <si>
    <t>COMERCIALIZADORA ALFONSO PEREZ</t>
  </si>
  <si>
    <t>ALONDRA PEREZ</t>
  </si>
  <si>
    <t>HOTEL LA RAMADA</t>
  </si>
  <si>
    <t>EMPANA SANTA TERESA</t>
  </si>
  <si>
    <t>SANDRA ORTIZ</t>
  </si>
  <si>
    <t>DEVOLUCION 5 CAJA HR</t>
  </si>
  <si>
    <t>VERIHUZKA ARELLANO</t>
  </si>
  <si>
    <t>EDUAR GARCIA</t>
  </si>
  <si>
    <t>BODEGON SARAY MOJIKA</t>
  </si>
  <si>
    <t>BODEGA EL ARBOLITO</t>
  </si>
  <si>
    <t>KARINA MARQUEZ</t>
  </si>
  <si>
    <t>CAUCHERA</t>
  </si>
  <si>
    <t>BODEGON MKM</t>
  </si>
  <si>
    <t>KARINA CHAO</t>
  </si>
  <si>
    <t>ABASTO MIS ANGELES</t>
  </si>
  <si>
    <t>DORIS CAICEDO</t>
  </si>
  <si>
    <t>INVERSIONES VIPLAST</t>
  </si>
  <si>
    <t>YENNY TORRES</t>
  </si>
  <si>
    <t>CV</t>
  </si>
  <si>
    <t>ANDREA URDANETA</t>
  </si>
  <si>
    <t>BODEGON ESQUINA PARAMILLO</t>
  </si>
  <si>
    <t>BODEGON LA ESQUINA DE LUIS</t>
  </si>
  <si>
    <t>PANADERIA 3 ESQUINAS</t>
  </si>
  <si>
    <t>MAGIAS SPA</t>
  </si>
  <si>
    <t>NEIRU MENDEZ</t>
  </si>
  <si>
    <t>EMPRENDIMIENTO RAKEL ROJAS</t>
  </si>
  <si>
    <t>E V</t>
  </si>
  <si>
    <t>LICORERIA LA TURENA</t>
  </si>
  <si>
    <t xml:space="preserve">GENERICOS </t>
  </si>
  <si>
    <t>MINIMARKET TONY LAS CUADRAS</t>
  </si>
  <si>
    <t>ANTONY RAMIREZ</t>
  </si>
  <si>
    <t>EL RINCON DEL DULCE</t>
  </si>
  <si>
    <t>PEDRO GARCIA</t>
  </si>
  <si>
    <t>TRIUNFO BET.COM</t>
  </si>
  <si>
    <t>HAMBURGUESAS KIKE</t>
  </si>
  <si>
    <t>EDICSON HERRERA</t>
  </si>
  <si>
    <t>MERLI CAFE</t>
  </si>
  <si>
    <t>DISTRIPOLLO LOS ANDES</t>
  </si>
  <si>
    <t xml:space="preserve">JUAN CARLOS CHACON </t>
  </si>
  <si>
    <t>DELMIRA RAMIREZ</t>
  </si>
  <si>
    <t>JOLIVERO LUNA OSTOS</t>
  </si>
  <si>
    <t>DANIEL VERSIONES DURAN</t>
  </si>
  <si>
    <t>EDUARDO CHANAGA</t>
  </si>
  <si>
    <t>YEAH EXPRESS</t>
  </si>
  <si>
    <t>WAPUBLICIDAD</t>
  </si>
  <si>
    <t>TERRAZA BAR GRILL</t>
  </si>
  <si>
    <t>EMPRENDIMIENTO MARIA ROMERO</t>
  </si>
  <si>
    <t>VARIEDADES LA TURENA</t>
  </si>
  <si>
    <t>WENDY PEREZ</t>
  </si>
  <si>
    <t>BODEGA EL GATO</t>
  </si>
  <si>
    <t>YOLYMAR DELGADO</t>
  </si>
  <si>
    <t>LUBRICFILTROS</t>
  </si>
  <si>
    <t>ENDER GUERRERO</t>
  </si>
  <si>
    <t xml:space="preserve">BODEGON ENDER </t>
  </si>
  <si>
    <t>AURA VIVAS</t>
  </si>
  <si>
    <t>MARINA LUZ SANCHEZ</t>
  </si>
  <si>
    <t>ZONA FRESH</t>
  </si>
  <si>
    <t>HIPER FRESH</t>
  </si>
  <si>
    <t>ANDERZON POLAR</t>
  </si>
  <si>
    <t>BODEGA MARIA</t>
  </si>
  <si>
    <t>JANCITO BELLO</t>
  </si>
  <si>
    <t>MORCILLAS WENDY</t>
  </si>
  <si>
    <t>WENDY VIVAS</t>
  </si>
  <si>
    <t xml:space="preserve">don </t>
  </si>
  <si>
    <t>EMPANADA ANA RAMIREZ</t>
  </si>
  <si>
    <t>LUDY CARRILLO</t>
  </si>
  <si>
    <t>SUPERMERCADO MERCAFRUVER</t>
  </si>
  <si>
    <t>MIRELLA CUEVA</t>
  </si>
  <si>
    <t>KIOSCO VIDA VERDE</t>
  </si>
  <si>
    <t>OSCAR TREJO</t>
  </si>
  <si>
    <t>BODEGON EXPRESS LA ESMERALDA</t>
  </si>
  <si>
    <t>DISTRIBUIDO DE DOS</t>
  </si>
  <si>
    <t>RESTAURANT Y PASTELERIA LA TENTACION</t>
  </si>
  <si>
    <t>YULY CHACON</t>
  </si>
  <si>
    <t>ABASTO LUZ VALERO</t>
  </si>
  <si>
    <t>PENDIENTE   LA VENTA DE WILLY EL 1.5 %</t>
  </si>
  <si>
    <t>POLLO BRASAS BUSTAMANTE</t>
  </si>
  <si>
    <t>YIMY POLAR</t>
  </si>
  <si>
    <t>COMERCIALIZADORA ORZY RUZY</t>
  </si>
  <si>
    <t>GLADYS RUIZ</t>
  </si>
  <si>
    <t>INVERSIONES ELY</t>
  </si>
  <si>
    <t>ABASTO Y CHARCUTERIA WILMARY</t>
  </si>
  <si>
    <t>ANA CONTRERAS</t>
  </si>
  <si>
    <t>MENOR PUSO EN EL CUADRE QUE LA RETENCION ERA DE 8.97?</t>
  </si>
  <si>
    <t>VIVERES BR</t>
  </si>
  <si>
    <t>YULY RUIZ</t>
  </si>
  <si>
    <t>CEMUCA</t>
  </si>
  <si>
    <t>LOS SARTENES DE AMITA</t>
  </si>
  <si>
    <t>KARLA VASQUEZ</t>
  </si>
  <si>
    <t>LICORERIA TOICO JYG</t>
  </si>
  <si>
    <t>MARLENE CARRERO</t>
  </si>
  <si>
    <t>RESTAURANT AROMAS</t>
  </si>
  <si>
    <t>LAURA NINO DAVILA</t>
  </si>
  <si>
    <t>J Y G TOICO</t>
  </si>
  <si>
    <t>FRUTERIA LA COLINA</t>
  </si>
  <si>
    <t>MAIKOL CONTRERAS</t>
  </si>
  <si>
    <t>VARIEDADES JHOSTEPH</t>
  </si>
  <si>
    <t>ERIKA GERMAN</t>
  </si>
  <si>
    <t>FRUTAS Y VERDURAS DON OMAR</t>
  </si>
  <si>
    <t>MINIMARKET BUENA VENTURA</t>
  </si>
  <si>
    <t>AMPARO DIAZ</t>
  </si>
  <si>
    <t>DAVID DIAZ</t>
  </si>
  <si>
    <t>BODEGA EL GUARO</t>
  </si>
  <si>
    <t>SORANYL VILLAMIZAR</t>
  </si>
  <si>
    <t>FRUTERIA MI PEQUENA AURIYASMIN</t>
  </si>
  <si>
    <t>FLOR ASOGATA</t>
  </si>
  <si>
    <t>COLEGIO SANTO CRISTO</t>
  </si>
  <si>
    <t>r</t>
  </si>
  <si>
    <t>ALAS COMPRAS</t>
  </si>
  <si>
    <t>LA CASA DEL CHOCHECO</t>
  </si>
  <si>
    <t>EVENTUAL NELSON</t>
  </si>
  <si>
    <t>VARIEDADES JOSE GREGORIO HERNANDEZ</t>
  </si>
  <si>
    <t>ARREGLAR NOMBRE</t>
  </si>
  <si>
    <t>COMERCIALIZADORA JOSE AURELIANO GUERRERO</t>
  </si>
  <si>
    <t>ERIKA DIAMANTE EXPRESS</t>
  </si>
  <si>
    <t>JHANEER MONTOYA</t>
  </si>
  <si>
    <t>PANADERIA LA CHINITA</t>
  </si>
  <si>
    <t>FRIGORIFICO OROZCO</t>
  </si>
  <si>
    <t>LEIDY GARCIA</t>
  </si>
  <si>
    <t>%</t>
  </si>
  <si>
    <t>MARIA JAIMES</t>
  </si>
  <si>
    <t>HENRY PARRA</t>
  </si>
  <si>
    <t>CHACARO CREAM</t>
  </si>
  <si>
    <t>FRIGORIFICO GABISCAR</t>
  </si>
  <si>
    <t>PENDIENTE EL DEPACHO DE 24 PEPSI COLOCAR DESCUENTO 22.8</t>
  </si>
  <si>
    <t>TODOCARNES PEDRO</t>
  </si>
  <si>
    <t>KAREN PRADO</t>
  </si>
  <si>
    <t>42…</t>
  </si>
  <si>
    <t xml:space="preserve">SUB TOTAL DEUDA HASTA AQUI </t>
  </si>
  <si>
    <t xml:space="preserve">TOTAL DEUDA </t>
  </si>
  <si>
    <t>f</t>
  </si>
  <si>
    <t>AMEZQUITA BODEGON</t>
  </si>
  <si>
    <t>COLOCAR EL 22.8 %</t>
  </si>
  <si>
    <t>TIENDA LOS MIOS</t>
  </si>
  <si>
    <t>JENIFER SUA</t>
  </si>
  <si>
    <t>DISTRIBUIDORA JHC CARRENO</t>
  </si>
  <si>
    <t>BODEGON DE ELIDA</t>
  </si>
  <si>
    <t>EVENTO SENIAT</t>
  </si>
  <si>
    <t>HELADERIA CRETA</t>
  </si>
  <si>
    <t>COLOCAR NOMBRE DE ROBERTO O DE WILLI SEGUN QUIEN SEA LA TRANSF O FACTURA Y% ALIMENTO</t>
  </si>
  <si>
    <t>EMPRENDIMIENTO YOSMAR GANBOA</t>
  </si>
  <si>
    <t>EMPANADA BELKIS ZAMBRANO</t>
  </si>
  <si>
    <t>FUSION SPORT BAR</t>
  </si>
  <si>
    <t>AQUI COMIENZA</t>
  </si>
  <si>
    <t>AQUI</t>
  </si>
  <si>
    <t>AVENTURA INFLABLE</t>
  </si>
  <si>
    <t>DONDE MIGUEL</t>
  </si>
  <si>
    <t>HELADERIA HAPPY DAY</t>
  </si>
  <si>
    <t>ALBA ZAMBRANO</t>
  </si>
  <si>
    <t>TIBISAY MORALES</t>
  </si>
  <si>
    <t>BODEGON EL TORO</t>
  </si>
  <si>
    <t>FLORESK &amp; CAFE</t>
  </si>
  <si>
    <t>v</t>
  </si>
  <si>
    <t>MARICARMEN TERRAZA</t>
  </si>
  <si>
    <t>t</t>
  </si>
  <si>
    <t>WULLI</t>
  </si>
  <si>
    <t>JAVIER TERCERIADO</t>
  </si>
  <si>
    <t>DAVID</t>
  </si>
  <si>
    <t>BARBERIA SPARTA</t>
  </si>
  <si>
    <t>JONATAN ALEXIS BARON QUEZADA</t>
  </si>
  <si>
    <t>PLASTICO YENNIFER PEREZ</t>
  </si>
  <si>
    <t>.</t>
  </si>
  <si>
    <t>P.</t>
  </si>
  <si>
    <t>LONCHERIA LOLITA</t>
  </si>
  <si>
    <t>VARIEDADES GAVI</t>
  </si>
  <si>
    <t>EMPANADA LIAM</t>
  </si>
  <si>
    <t>GABRIELA LANDINEZ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</si>
</sst>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$-540A]#,##0.00"/>
    <numFmt numFmtId="165" formatCode="_-[$$-409]* #,##0.00_ ;_-[$$-409]* \-#,##0.00\ ;_-[$$-409]* &quot;-&quot;??_ ;_-@_ "/>
    <numFmt numFmtId="166" formatCode="_ &quot;Bs.S&quot;* #,##0.00_ ;_ &quot;Bs.S&quot;* \-#,##0.00_ ;_ &quot;Bs.S&quot;* &quot;-&quot;??_ ;_ @_ 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1"/>
      <color theme="2" tint="-0.749961851863155"/>
      <name val="Aptos Narrow"/>
      <family val="2"/>
      <scheme val="minor"/>
    </font>
    <font>
      <sz val="72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trike/>
      <sz val="10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3" fillId="0" borderId="0"/>
    <xf numFmtId="0" fontId="14" fillId="0" borderId="0"/>
    <xf numFmtId="166" fontId="13" fillId="0" borderId="0" applyFont="0" applyFill="0" applyBorder="0" applyAlignment="0" applyProtection="0"/>
    <xf numFmtId="0" fontId="15" fillId="0" borderId="0" applyFill="0" applyBorder="0">
      <alignment horizontal="left" vertical="center" wrapText="1" indent="1"/>
    </xf>
  </cellStyleXfs>
  <cellXfs count="142">
    <xf numFmtId="0" fontId="0" fillId="0" borderId="0" xfId="0"/>
    <xf numFmtId="0" fontId="0" fillId="0" borderId="0" xfId="0" applyAlignment="1">
      <alignment horizontal="center"/>
    </xf>
    <xf numFmtId="43" fontId="0" fillId="0" borderId="1" xfId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43" fontId="0" fillId="2" borderId="2" xfId="1" applyFont="1" applyFill="1" applyBorder="1"/>
    <xf numFmtId="164" fontId="0" fillId="3" borderId="3" xfId="0" applyNumberFormat="1" applyFill="1" applyBorder="1"/>
    <xf numFmtId="164" fontId="0" fillId="3" borderId="1" xfId="0" applyNumberFormat="1" applyFill="1" applyBorder="1"/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43" fontId="0" fillId="5" borderId="1" xfId="1" applyFont="1" applyFill="1" applyBorder="1" applyAlignment="1">
      <alignment horizontal="right" vertical="center"/>
    </xf>
    <xf numFmtId="43" fontId="0" fillId="0" borderId="1" xfId="1" applyFont="1" applyBorder="1"/>
    <xf numFmtId="1" fontId="0" fillId="0" borderId="1" xfId="0" applyNumberFormat="1" applyBorder="1"/>
    <xf numFmtId="1" fontId="0" fillId="3" borderId="1" xfId="0" applyNumberFormat="1" applyFill="1" applyBorder="1"/>
    <xf numFmtId="43" fontId="0" fillId="5" borderId="1" xfId="1" applyFont="1" applyFill="1" applyBorder="1"/>
    <xf numFmtId="0" fontId="0" fillId="0" borderId="1" xfId="0" applyBorder="1"/>
    <xf numFmtId="0" fontId="0" fillId="3" borderId="1" xfId="0" applyFill="1" applyBorder="1"/>
    <xf numFmtId="14" fontId="3" fillId="6" borderId="0" xfId="0" applyNumberFormat="1" applyFont="1" applyFill="1"/>
    <xf numFmtId="0" fontId="3" fillId="6" borderId="0" xfId="0" applyFont="1" applyFill="1"/>
    <xf numFmtId="0" fontId="3" fillId="0" borderId="0" xfId="0" applyFont="1"/>
    <xf numFmtId="165" fontId="3" fillId="5" borderId="10" xfId="0" applyNumberFormat="1" applyFont="1" applyFill="1" applyBorder="1"/>
    <xf numFmtId="1" fontId="3" fillId="5" borderId="10" xfId="0" applyNumberFormat="1" applyFont="1" applyFill="1" applyBorder="1"/>
    <xf numFmtId="14" fontId="3" fillId="0" borderId="12" xfId="0" applyNumberFormat="1" applyFont="1" applyBorder="1"/>
    <xf numFmtId="165" fontId="3" fillId="0" borderId="6" xfId="0" applyNumberFormat="1" applyFont="1" applyBorder="1"/>
    <xf numFmtId="0" fontId="3" fillId="0" borderId="7" xfId="0" applyFont="1" applyBorder="1"/>
    <xf numFmtId="165" fontId="3" fillId="0" borderId="1" xfId="0" applyNumberFormat="1" applyFont="1" applyBorder="1"/>
    <xf numFmtId="1" fontId="3" fillId="0" borderId="1" xfId="0" applyNumberFormat="1" applyFont="1" applyBorder="1"/>
    <xf numFmtId="14" fontId="3" fillId="0" borderId="13" xfId="0" applyNumberFormat="1" applyFont="1" applyBorder="1"/>
    <xf numFmtId="0" fontId="3" fillId="0" borderId="3" xfId="0" applyFont="1" applyBorder="1"/>
    <xf numFmtId="0" fontId="3" fillId="0" borderId="1" xfId="0" applyFont="1" applyBorder="1"/>
    <xf numFmtId="14" fontId="3" fillId="0" borderId="7" xfId="0" applyNumberFormat="1" applyFont="1" applyBorder="1"/>
    <xf numFmtId="1" fontId="3" fillId="0" borderId="6" xfId="0" applyNumberFormat="1" applyFont="1" applyBorder="1"/>
    <xf numFmtId="14" fontId="3" fillId="0" borderId="3" xfId="0" applyNumberFormat="1" applyFont="1" applyBorder="1"/>
    <xf numFmtId="0" fontId="3" fillId="3" borderId="6" xfId="0" applyFont="1" applyFill="1" applyBorder="1"/>
    <xf numFmtId="0" fontId="3" fillId="4" borderId="7" xfId="0" applyFont="1" applyFill="1" applyBorder="1"/>
    <xf numFmtId="0" fontId="3" fillId="4" borderId="6" xfId="0" applyFont="1" applyFill="1" applyBorder="1"/>
    <xf numFmtId="0" fontId="3" fillId="3" borderId="3" xfId="0" applyFont="1" applyFill="1" applyBorder="1"/>
    <xf numFmtId="0" fontId="3" fillId="3" borderId="1" xfId="0" applyFont="1" applyFill="1" applyBorder="1"/>
    <xf numFmtId="0" fontId="0" fillId="0" borderId="14" xfId="0" applyBorder="1"/>
    <xf numFmtId="43" fontId="0" fillId="0" borderId="15" xfId="1" applyFont="1" applyBorder="1"/>
    <xf numFmtId="43" fontId="0" fillId="0" borderId="0" xfId="0" applyNumberFormat="1"/>
    <xf numFmtId="0" fontId="3" fillId="4" borderId="1" xfId="0" applyFont="1" applyFill="1" applyBorder="1"/>
    <xf numFmtId="0" fontId="7" fillId="2" borderId="6" xfId="0" applyFont="1" applyFill="1" applyBorder="1"/>
    <xf numFmtId="165" fontId="3" fillId="8" borderId="1" xfId="0" applyNumberFormat="1" applyFont="1" applyFill="1" applyBorder="1"/>
    <xf numFmtId="0" fontId="3" fillId="8" borderId="3" xfId="0" applyFont="1" applyFill="1" applyBorder="1"/>
    <xf numFmtId="14" fontId="3" fillId="8" borderId="13" xfId="0" applyNumberFormat="1" applyFont="1" applyFill="1" applyBorder="1"/>
    <xf numFmtId="0" fontId="3" fillId="2" borderId="3" xfId="0" applyFont="1" applyFill="1" applyBorder="1"/>
    <xf numFmtId="0" fontId="3" fillId="2" borderId="6" xfId="0" applyFont="1" applyFill="1" applyBorder="1"/>
    <xf numFmtId="164" fontId="0" fillId="0" borderId="0" xfId="0" applyNumberFormat="1"/>
    <xf numFmtId="0" fontId="8" fillId="0" borderId="1" xfId="0" applyFont="1" applyBorder="1"/>
    <xf numFmtId="0" fontId="8" fillId="0" borderId="3" xfId="0" applyFont="1" applyBorder="1"/>
    <xf numFmtId="0" fontId="3" fillId="4" borderId="3" xfId="0" applyFont="1" applyFill="1" applyBorder="1"/>
    <xf numFmtId="0" fontId="3" fillId="2" borderId="1" xfId="0" applyFont="1" applyFill="1" applyBorder="1"/>
    <xf numFmtId="165" fontId="3" fillId="3" borderId="5" xfId="0" applyNumberFormat="1" applyFont="1" applyFill="1" applyBorder="1" applyAlignment="1">
      <alignment vertical="center" wrapText="1"/>
    </xf>
    <xf numFmtId="1" fontId="3" fillId="3" borderId="5" xfId="0" applyNumberFormat="1" applyFont="1" applyFill="1" applyBorder="1" applyAlignment="1">
      <alignment horizontal="center" vertical="center" wrapText="1"/>
    </xf>
    <xf numFmtId="1" fontId="3" fillId="7" borderId="5" xfId="0" applyNumberFormat="1" applyFont="1" applyFill="1" applyBorder="1" applyAlignment="1">
      <alignment horizontal="center" vertical="center" wrapText="1"/>
    </xf>
    <xf numFmtId="14" fontId="3" fillId="0" borderId="4" xfId="0" applyNumberFormat="1" applyFont="1" applyBorder="1" applyAlignment="1">
      <alignment vertical="center" wrapText="1"/>
    </xf>
    <xf numFmtId="0" fontId="3" fillId="0" borderId="11" xfId="0" applyFont="1" applyBorder="1" applyAlignment="1">
      <alignment wrapText="1"/>
    </xf>
    <xf numFmtId="165" fontId="3" fillId="0" borderId="5" xfId="0" applyNumberFormat="1" applyFont="1" applyBorder="1" applyAlignment="1">
      <alignment horizontal="center" vertical="center" wrapText="1"/>
    </xf>
    <xf numFmtId="0" fontId="8" fillId="0" borderId="3" xfId="2" applyFont="1" applyBorder="1"/>
    <xf numFmtId="0" fontId="8" fillId="0" borderId="1" xfId="2" applyFont="1" applyBorder="1"/>
    <xf numFmtId="0" fontId="8" fillId="0" borderId="1" xfId="2" applyFont="1" applyFill="1" applyBorder="1"/>
    <xf numFmtId="14" fontId="8" fillId="0" borderId="16" xfId="0" applyNumberFormat="1" applyFont="1" applyBorder="1" applyAlignment="1">
      <alignment horizontal="center"/>
    </xf>
    <xf numFmtId="1" fontId="0" fillId="0" borderId="18" xfId="0" applyNumberFormat="1" applyBorder="1"/>
    <xf numFmtId="1" fontId="0" fillId="3" borderId="18" xfId="0" applyNumberFormat="1" applyFill="1" applyBorder="1"/>
    <xf numFmtId="43" fontId="0" fillId="0" borderId="19" xfId="1" applyFont="1" applyBorder="1"/>
    <xf numFmtId="14" fontId="8" fillId="0" borderId="1" xfId="0" applyNumberFormat="1" applyFont="1" applyBorder="1" applyAlignment="1">
      <alignment horizontal="center"/>
    </xf>
    <xf numFmtId="49" fontId="3" fillId="6" borderId="0" xfId="0" applyNumberFormat="1" applyFont="1" applyFill="1"/>
    <xf numFmtId="0" fontId="8" fillId="0" borderId="3" xfId="2" applyNumberFormat="1" applyFont="1" applyBorder="1"/>
    <xf numFmtId="0" fontId="8" fillId="0" borderId="0" xfId="0" applyFont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0" borderId="6" xfId="0" applyFont="1" applyBorder="1"/>
    <xf numFmtId="14" fontId="3" fillId="3" borderId="3" xfId="0" applyNumberFormat="1" applyFont="1" applyFill="1" applyBorder="1"/>
    <xf numFmtId="14" fontId="3" fillId="4" borderId="3" xfId="0" applyNumberFormat="1" applyFont="1" applyFill="1" applyBorder="1"/>
    <xf numFmtId="14" fontId="3" fillId="2" borderId="3" xfId="0" applyNumberFormat="1" applyFont="1" applyFill="1" applyBorder="1"/>
    <xf numFmtId="43" fontId="0" fillId="0" borderId="0" xfId="1" applyFont="1"/>
    <xf numFmtId="43" fontId="9" fillId="0" borderId="2" xfId="1" applyFont="1" applyFill="1" applyBorder="1"/>
    <xf numFmtId="0" fontId="8" fillId="0" borderId="0" xfId="2" applyFont="1" applyFill="1" applyBorder="1"/>
    <xf numFmtId="165" fontId="3" fillId="6" borderId="0" xfId="0" applyNumberFormat="1" applyFont="1" applyFill="1"/>
    <xf numFmtId="43" fontId="10" fillId="0" borderId="0" xfId="1" applyFont="1"/>
    <xf numFmtId="14" fontId="0" fillId="0" borderId="0" xfId="0" applyNumberFormat="1"/>
    <xf numFmtId="164" fontId="0" fillId="0" borderId="1" xfId="0" applyNumberFormat="1" applyBorder="1" applyAlignment="1">
      <alignment horizontal="left"/>
    </xf>
    <xf numFmtId="43" fontId="0" fillId="0" borderId="0" xfId="1" applyFont="1" applyFill="1"/>
    <xf numFmtId="43" fontId="1" fillId="0" borderId="0" xfId="1" applyFont="1" applyFill="1"/>
    <xf numFmtId="43" fontId="1" fillId="0" borderId="0" xfId="1" applyFont="1" applyFill="1" applyAlignment="1">
      <alignment horizontal="left"/>
    </xf>
    <xf numFmtId="164" fontId="1" fillId="0" borderId="0" xfId="1" applyNumberFormat="1" applyFont="1" applyFill="1"/>
    <xf numFmtId="43" fontId="1" fillId="0" borderId="0" xfId="1" applyFont="1"/>
    <xf numFmtId="165" fontId="3" fillId="0" borderId="0" xfId="0" applyNumberFormat="1" applyFont="1"/>
    <xf numFmtId="43" fontId="11" fillId="0" borderId="0" xfId="1" applyFont="1" applyFill="1"/>
    <xf numFmtId="164" fontId="11" fillId="0" borderId="0" xfId="0" applyNumberFormat="1" applyFont="1"/>
    <xf numFmtId="14" fontId="3" fillId="3" borderId="7" xfId="0" applyNumberFormat="1" applyFont="1" applyFill="1" applyBorder="1"/>
    <xf numFmtId="165" fontId="7" fillId="0" borderId="1" xfId="0" applyNumberFormat="1" applyFont="1" applyBorder="1"/>
    <xf numFmtId="14" fontId="8" fillId="0" borderId="0" xfId="0" applyNumberFormat="1" applyFont="1" applyAlignment="1">
      <alignment horizontal="center"/>
    </xf>
    <xf numFmtId="165" fontId="3" fillId="9" borderId="6" xfId="0" applyNumberFormat="1" applyFont="1" applyFill="1" applyBorder="1"/>
    <xf numFmtId="165" fontId="3" fillId="9" borderId="1" xfId="0" applyNumberFormat="1" applyFont="1" applyFill="1" applyBorder="1"/>
    <xf numFmtId="43" fontId="10" fillId="0" borderId="0" xfId="0" applyNumberFormat="1" applyFont="1"/>
    <xf numFmtId="43" fontId="0" fillId="0" borderId="0" xfId="0" applyNumberFormat="1" applyAlignment="1">
      <alignment horizontal="left"/>
    </xf>
    <xf numFmtId="16" fontId="3" fillId="0" borderId="0" xfId="0" applyNumberFormat="1" applyFont="1"/>
    <xf numFmtId="165" fontId="12" fillId="0" borderId="1" xfId="0" applyNumberFormat="1" applyFont="1" applyBorder="1"/>
    <xf numFmtId="164" fontId="10" fillId="0" borderId="0" xfId="0" applyNumberFormat="1" applyFont="1"/>
    <xf numFmtId="43" fontId="3" fillId="0" borderId="0" xfId="1" applyFont="1"/>
    <xf numFmtId="43" fontId="10" fillId="0" borderId="0" xfId="1" applyFont="1" applyFill="1"/>
    <xf numFmtId="0" fontId="12" fillId="0" borderId="0" xfId="0" applyFont="1"/>
    <xf numFmtId="165" fontId="12" fillId="0" borderId="0" xfId="0" applyNumberFormat="1" applyFont="1"/>
    <xf numFmtId="0" fontId="8" fillId="10" borderId="3" xfId="2" applyFont="1" applyFill="1" applyBorder="1"/>
    <xf numFmtId="165" fontId="3" fillId="10" borderId="1" xfId="0" applyNumberFormat="1" applyFont="1" applyFill="1" applyBorder="1"/>
    <xf numFmtId="165" fontId="3" fillId="11" borderId="1" xfId="0" applyNumberFormat="1" applyFont="1" applyFill="1" applyBorder="1"/>
    <xf numFmtId="165" fontId="3" fillId="12" borderId="1" xfId="0" applyNumberFormat="1" applyFont="1" applyFill="1" applyBorder="1"/>
    <xf numFmtId="165" fontId="3" fillId="13" borderId="1" xfId="0" applyNumberFormat="1" applyFont="1" applyFill="1" applyBorder="1"/>
    <xf numFmtId="165" fontId="3" fillId="14" borderId="1" xfId="0" applyNumberFormat="1" applyFont="1" applyFill="1" applyBorder="1"/>
    <xf numFmtId="165" fontId="3" fillId="15" borderId="1" xfId="0" applyNumberFormat="1" applyFont="1" applyFill="1" applyBorder="1"/>
    <xf numFmtId="14" fontId="3" fillId="0" borderId="21" xfId="0" applyNumberFormat="1" applyFont="1" applyBorder="1"/>
    <xf numFmtId="0" fontId="3" fillId="0" borderId="9" xfId="0" applyFont="1" applyBorder="1"/>
    <xf numFmtId="165" fontId="3" fillId="0" borderId="22" xfId="0" applyNumberFormat="1" applyFont="1" applyBorder="1"/>
    <xf numFmtId="1" fontId="3" fillId="0" borderId="22" xfId="0" applyNumberFormat="1" applyFont="1" applyBorder="1"/>
    <xf numFmtId="0" fontId="3" fillId="10" borderId="0" xfId="0" applyFont="1" applyFill="1"/>
    <xf numFmtId="0" fontId="3" fillId="11" borderId="0" xfId="0" applyFont="1" applyFill="1"/>
    <xf numFmtId="165" fontId="3" fillId="11" borderId="0" xfId="0" applyNumberFormat="1" applyFont="1" applyFill="1"/>
    <xf numFmtId="165" fontId="3" fillId="16" borderId="1" xfId="0" applyNumberFormat="1" applyFont="1" applyFill="1" applyBorder="1"/>
    <xf numFmtId="0" fontId="6" fillId="0" borderId="3" xfId="2" applyBorder="1"/>
    <xf numFmtId="164" fontId="3" fillId="0" borderId="0" xfId="0" applyNumberFormat="1" applyFont="1"/>
    <xf numFmtId="43" fontId="3" fillId="0" borderId="0" xfId="1" applyFont="1" applyAlignment="1">
      <alignment vertical="center"/>
    </xf>
    <xf numFmtId="0" fontId="6" fillId="0" borderId="1" xfId="2" applyFill="1" applyBorder="1"/>
    <xf numFmtId="43" fontId="3" fillId="6" borderId="0" xfId="1" applyFont="1" applyFill="1"/>
    <xf numFmtId="165" fontId="3" fillId="0" borderId="0" xfId="0" applyNumberFormat="1" applyFont="1" applyAlignment="1">
      <alignment horizontal="center"/>
    </xf>
    <xf numFmtId="0" fontId="18" fillId="0" borderId="3" xfId="0" applyFont="1" applyBorder="1"/>
    <xf numFmtId="165" fontId="3" fillId="17" borderId="1" xfId="0" applyNumberFormat="1" applyFont="1" applyFill="1" applyBorder="1"/>
    <xf numFmtId="14" fontId="7" fillId="0" borderId="12" xfId="0" applyNumberFormat="1" applyFont="1" applyBorder="1"/>
    <xf numFmtId="0" fontId="7" fillId="0" borderId="6" xfId="0" applyFont="1" applyBorder="1"/>
    <xf numFmtId="1" fontId="7" fillId="0" borderId="6" xfId="0" applyNumberFormat="1" applyFont="1" applyBorder="1"/>
    <xf numFmtId="14" fontId="7" fillId="0" borderId="3" xfId="0" applyNumberFormat="1" applyFont="1" applyBorder="1"/>
    <xf numFmtId="1" fontId="7" fillId="0" borderId="1" xfId="0" applyNumberFormat="1" applyFont="1" applyBorder="1"/>
    <xf numFmtId="14" fontId="7" fillId="0" borderId="13" xfId="0" applyNumberFormat="1" applyFont="1" applyBorder="1"/>
    <xf numFmtId="0" fontId="7" fillId="0" borderId="3" xfId="0" applyFont="1" applyBorder="1"/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20" xfId="0" applyNumberFormat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</cellXfs>
  <cellStyles count="7">
    <cellStyle name="Hipervínculo" xfId="2" builtinId="8"/>
    <cellStyle name="Millares" xfId="1" builtinId="3"/>
    <cellStyle name="Moneda 2" xfId="5" xr:uid="{ECF93289-CD47-4397-8ADC-6EA38A82FB26}"/>
    <cellStyle name="Normal" xfId="0" builtinId="0"/>
    <cellStyle name="Normal 2" xfId="3" xr:uid="{9BF9C0BC-A80A-4744-A2CE-3DB4BB05CA91}"/>
    <cellStyle name="Normal 2 2" xfId="4" xr:uid="{8A63171B-77E1-4C0F-9850-DB29B3D52BBB}"/>
    <cellStyle name="Normal 3" xfId="6" xr:uid="{60A76E3C-028B-44F2-A292-792891F0B81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styles" Target="styles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281" Type="http://schemas.openxmlformats.org/officeDocument/2006/relationships/worksheet" Target="worksheets/sheet281.xml"/><Relationship Id="rId337" Type="http://schemas.openxmlformats.org/officeDocument/2006/relationships/calcChain" Target="calcChain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17" Type="http://schemas.openxmlformats.org/officeDocument/2006/relationships/worksheet" Target="worksheets/sheet317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28" Type="http://schemas.openxmlformats.org/officeDocument/2006/relationships/worksheet" Target="worksheets/sheet328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318" Type="http://schemas.openxmlformats.org/officeDocument/2006/relationships/worksheet" Target="worksheets/sheet318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329" Type="http://schemas.openxmlformats.org/officeDocument/2006/relationships/worksheet" Target="worksheets/sheet329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19" Type="http://schemas.openxmlformats.org/officeDocument/2006/relationships/worksheet" Target="worksheets/sheet319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330" Type="http://schemas.openxmlformats.org/officeDocument/2006/relationships/worksheet" Target="worksheets/sheet330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320" Type="http://schemas.openxmlformats.org/officeDocument/2006/relationships/worksheet" Target="worksheets/sheet320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310" Type="http://schemas.openxmlformats.org/officeDocument/2006/relationships/worksheet" Target="worksheets/sheet310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331" Type="http://schemas.openxmlformats.org/officeDocument/2006/relationships/worksheet" Target="worksheets/sheet331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32" Type="http://schemas.openxmlformats.org/officeDocument/2006/relationships/worksheet" Target="worksheets/sheet332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22" Type="http://schemas.openxmlformats.org/officeDocument/2006/relationships/worksheet" Target="worksheets/sheet322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312" Type="http://schemas.openxmlformats.org/officeDocument/2006/relationships/worksheet" Target="worksheets/sheet312.xml"/><Relationship Id="rId333" Type="http://schemas.openxmlformats.org/officeDocument/2006/relationships/worksheet" Target="worksheets/sheet333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323" Type="http://schemas.openxmlformats.org/officeDocument/2006/relationships/worksheet" Target="worksheets/sheet32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334" Type="http://schemas.openxmlformats.org/officeDocument/2006/relationships/theme" Target="theme/theme1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sharedStrings" Target="sharedStrings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14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1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2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3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4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5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6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7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8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9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0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1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2.bin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3.bin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4.bin"/></Relationships>
</file>

<file path=xl/worksheets/_rels/sheet2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45.bin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6.bin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7.bin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8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9.bin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0.bin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1.bin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2.bin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3.bin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4.bin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5.bin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6.bin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7.bin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8.bin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9.bin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0.bin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1.bin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2.bin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3.bin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4.bin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5.bin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6.bin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7.bin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8.bin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9.bin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0.bin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1.bin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2.bin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3.bin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4.bin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5.bin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6.bin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7.bin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8.bin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9.bin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0.bin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1.bin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2.bin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3.bin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4.bin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5.bin"/></Relationships>
</file>

<file path=xl/worksheets/_rels/sheet2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6.bin"/></Relationships>
</file>

<file path=xl/worksheets/_rels/sheet28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87.bin"/></Relationships>
</file>

<file path=xl/worksheets/_rels/sheet2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8.bin"/></Relationships>
</file>

<file path=xl/worksheets/_rels/sheet2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9.bin"/></Relationships>
</file>

<file path=xl/worksheets/_rels/sheet2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0.bin"/></Relationships>
</file>

<file path=xl/worksheets/_rels/sheet2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1.bin"/></Relationships>
</file>

<file path=xl/worksheets/_rels/sheet2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2.bin"/></Relationships>
</file>

<file path=xl/worksheets/_rels/sheet2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3.bin"/></Relationships>
</file>

<file path=xl/worksheets/_rels/sheet2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4.bin"/></Relationships>
</file>

<file path=xl/worksheets/_rels/sheet2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5.bin"/></Relationships>
</file>

<file path=xl/worksheets/_rels/sheet2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6.bin"/></Relationships>
</file>

<file path=xl/worksheets/_rels/sheet2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7.bin"/></Relationships>
</file>

<file path=xl/worksheets/_rels/sheet2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8.bin"/></Relationships>
</file>

<file path=xl/worksheets/_rels/sheet2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9.bin"/></Relationships>
</file>

<file path=xl/worksheets/_rels/sheet3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0.bin"/></Relationships>
</file>

<file path=xl/worksheets/_rels/sheet3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1.bin"/></Relationships>
</file>

<file path=xl/worksheets/_rels/sheet3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2.bin"/></Relationships>
</file>

<file path=xl/worksheets/_rels/sheet3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3.bin"/></Relationships>
</file>

<file path=xl/worksheets/_rels/sheet3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4.bin"/></Relationships>
</file>

<file path=xl/worksheets/_rels/sheet3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5.bin"/></Relationships>
</file>

<file path=xl/worksheets/_rels/sheet3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6.bin"/></Relationships>
</file>

<file path=xl/worksheets/_rels/sheet3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7.bin"/></Relationships>
</file>

<file path=xl/worksheets/_rels/sheet3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8.bin"/></Relationships>
</file>

<file path=xl/worksheets/_rels/sheet3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9.bin"/></Relationships>
</file>

<file path=xl/worksheets/_rels/sheet3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0.bin"/></Relationships>
</file>

<file path=xl/worksheets/_rels/sheet3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1.bin"/></Relationships>
</file>

<file path=xl/worksheets/_rels/sheet3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2.bin"/></Relationships>
</file>

<file path=xl/worksheets/_rels/sheet3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3.bin"/></Relationships>
</file>

<file path=xl/worksheets/_rels/sheet3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4.bin"/></Relationships>
</file>

<file path=xl/worksheets/_rels/sheet3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5.bin"/></Relationships>
</file>

<file path=xl/worksheets/_rels/sheet3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6.bin"/></Relationships>
</file>

<file path=xl/worksheets/_rels/sheet3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7.bin"/></Relationships>
</file>

<file path=xl/worksheets/_rels/sheet3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8.bin"/></Relationships>
</file>

<file path=xl/worksheets/_rels/sheet3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9.bin"/></Relationships>
</file>

<file path=xl/worksheets/_rels/sheet3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0.bin"/></Relationships>
</file>

<file path=xl/worksheets/_rels/sheet3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1.bin"/></Relationships>
</file>

<file path=xl/worksheets/_rels/sheet3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2.bin"/></Relationships>
</file>

<file path=xl/worksheets/_rels/sheet3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3.bin"/></Relationships>
</file>

<file path=xl/worksheets/_rels/sheet3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4.bin"/></Relationships>
</file>

<file path=xl/worksheets/_rels/sheet3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5.bin"/></Relationships>
</file>

<file path=xl/worksheets/_rels/sheet3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6.bin"/></Relationships>
</file>

<file path=xl/worksheets/_rels/sheet3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7.bin"/></Relationships>
</file>

<file path=xl/worksheets/_rels/sheet3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328.bin"/></Relationships>
</file>

<file path=xl/worksheets/_rels/sheet3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9.bin"/></Relationships>
</file>

<file path=xl/worksheets/_rels/sheet3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0.bin"/></Relationships>
</file>

<file path=xl/worksheets/_rels/sheet3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1.bin"/></Relationships>
</file>

<file path=xl/worksheets/_rels/sheet3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2.bin"/></Relationships>
</file>

<file path=xl/worksheets/_rels/sheet3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86B1-F337-4596-9A67-DFE25FEB0D1D}">
  <sheetPr codeName="Hoja1"/>
  <dimension ref="A1:P617"/>
  <sheetViews>
    <sheetView tabSelected="1" zoomScale="85" zoomScaleNormal="85" zoomScaleSheetLayoutView="80" workbookViewId="0">
      <selection activeCell="R6" sqref="R6"/>
    </sheetView>
  </sheetViews>
  <sheetFormatPr baseColWidth="10" defaultColWidth="11.44140625" defaultRowHeight="19.95" customHeight="1" x14ac:dyDescent="0.3"/>
  <cols>
    <col min="1" max="1" width="4.44140625" style="8" bestFit="1" customWidth="1"/>
    <col min="2" max="3" width="31.21875" style="49" customWidth="1"/>
    <col min="4" max="4" width="13.109375" style="13" bestFit="1" customWidth="1"/>
    <col min="5" max="5" width="11.44140625" style="14"/>
    <col min="6" max="6" width="13.33203125" style="15" bestFit="1" customWidth="1"/>
    <col min="7" max="7" width="13.88671875" style="15" bestFit="1" customWidth="1"/>
    <col min="8" max="8" width="12.6640625" style="10" bestFit="1" customWidth="1"/>
    <col min="10" max="10" width="11.44140625" style="80" customWidth="1"/>
    <col min="11" max="11" width="13.77734375" style="75" bestFit="1" customWidth="1"/>
    <col min="12" max="12" width="13.5546875" style="86" bestFit="1" customWidth="1"/>
    <col min="13" max="13" width="12.88671875" customWidth="1"/>
    <col min="14" max="14" width="12.33203125" customWidth="1"/>
    <col min="15" max="15" width="12" bestFit="1" customWidth="1"/>
  </cols>
  <sheetData>
    <row r="1" spans="1:16" ht="19.95" customHeight="1" x14ac:dyDescent="0.3">
      <c r="A1" s="134" t="s">
        <v>0</v>
      </c>
      <c r="B1" s="134"/>
      <c r="C1" s="134"/>
      <c r="D1" s="134"/>
      <c r="E1" s="134"/>
      <c r="F1" s="135"/>
      <c r="G1" s="2" t="s">
        <v>1</v>
      </c>
      <c r="H1" s="3" t="s">
        <v>2</v>
      </c>
      <c r="I1" s="80">
        <f ca="1">TODAY()</f>
        <v>46057</v>
      </c>
      <c r="L1" s="82">
        <v>51364.042500000003</v>
      </c>
      <c r="M1" s="82">
        <v>3860.5510157340468</v>
      </c>
      <c r="N1" s="75"/>
    </row>
    <row r="2" spans="1:16" ht="19.95" customHeight="1" x14ac:dyDescent="0.3">
      <c r="A2" s="134" t="s">
        <v>3</v>
      </c>
      <c r="B2" s="134"/>
      <c r="C2" s="134"/>
      <c r="D2" s="134"/>
      <c r="E2" s="134"/>
      <c r="F2" s="135"/>
      <c r="G2" s="2" t="s">
        <v>4</v>
      </c>
      <c r="H2" s="3" t="s">
        <v>5</v>
      </c>
      <c r="L2" s="82">
        <v>6090.28</v>
      </c>
      <c r="M2" s="121">
        <f>20*4.71</f>
        <v>94.2</v>
      </c>
      <c r="N2" s="39"/>
      <c r="P2" s="39"/>
    </row>
    <row r="3" spans="1:16" ht="19.95" customHeight="1" x14ac:dyDescent="0.3">
      <c r="A3" s="134" t="s">
        <v>6</v>
      </c>
      <c r="B3" s="134"/>
      <c r="C3" s="134"/>
      <c r="D3" s="134"/>
      <c r="E3" s="134"/>
      <c r="F3" s="135"/>
      <c r="G3" s="2" t="s">
        <v>7</v>
      </c>
      <c r="H3" s="3" t="s">
        <v>8</v>
      </c>
      <c r="I3" t="s">
        <v>217</v>
      </c>
      <c r="L3" s="39">
        <f>+L1-L2</f>
        <v>45273.762500000004</v>
      </c>
      <c r="M3" s="39">
        <f>+M1-M2</f>
        <v>3766.351015734047</v>
      </c>
      <c r="N3" s="39"/>
    </row>
    <row r="4" spans="1:16" ht="19.95" customHeight="1" x14ac:dyDescent="0.3">
      <c r="A4" s="134" t="s">
        <v>25</v>
      </c>
      <c r="B4" s="134"/>
      <c r="C4" s="134"/>
      <c r="D4" s="134"/>
      <c r="E4" s="134"/>
      <c r="F4" s="135"/>
      <c r="G4" s="2" t="s">
        <v>9</v>
      </c>
      <c r="H4" s="3" t="s">
        <v>10</v>
      </c>
      <c r="I4">
        <v>370.25439999999998</v>
      </c>
      <c r="L4" s="75">
        <v>152.19999999999999</v>
      </c>
      <c r="M4" s="39">
        <f>2*4.71</f>
        <v>9.42</v>
      </c>
      <c r="N4" s="39"/>
      <c r="O4" s="39"/>
    </row>
    <row r="5" spans="1:16" ht="19.95" customHeight="1" thickBot="1" x14ac:dyDescent="0.35">
      <c r="A5" s="136">
        <f ca="1">TODAY()</f>
        <v>46057</v>
      </c>
      <c r="B5" s="136"/>
      <c r="C5" s="136"/>
      <c r="D5" s="136"/>
      <c r="E5" s="136"/>
      <c r="F5" s="137"/>
      <c r="G5" s="2" t="s">
        <v>98</v>
      </c>
      <c r="H5" s="3" t="s">
        <v>12</v>
      </c>
      <c r="K5" s="47"/>
      <c r="L5" s="86">
        <f>+L3-L4</f>
        <v>45121.562500000007</v>
      </c>
      <c r="M5" s="85">
        <f>+M3+M4</f>
        <v>3775.7710157340471</v>
      </c>
      <c r="N5" s="39"/>
      <c r="O5" s="39"/>
    </row>
    <row r="6" spans="1:16" ht="19.95" customHeight="1" thickBot="1" x14ac:dyDescent="0.35">
      <c r="A6" s="1"/>
      <c r="B6" s="92" t="s">
        <v>13</v>
      </c>
      <c r="C6" s="68"/>
      <c r="D6" s="4">
        <f>SUM(D$10:D$1048576)</f>
        <v>55145.994399999981</v>
      </c>
      <c r="E6" s="76">
        <f>+E9*E7</f>
        <v>3961.3411751487624</v>
      </c>
      <c r="F6" s="5">
        <f>+F7*F9</f>
        <v>31.842970670976499</v>
      </c>
      <c r="G6" s="6">
        <f>+G7*G9</f>
        <v>-217.41807794856729</v>
      </c>
      <c r="H6" s="4">
        <f>(E6+F6+G6)</f>
        <v>3775.7660678711718</v>
      </c>
      <c r="K6" s="82"/>
      <c r="L6" s="79">
        <v>412.68</v>
      </c>
      <c r="M6" s="83"/>
      <c r="N6" s="47"/>
      <c r="O6" s="39"/>
    </row>
    <row r="7" spans="1:16" ht="19.95" customHeight="1" x14ac:dyDescent="0.3">
      <c r="A7" s="1"/>
      <c r="B7" s="61" t="s">
        <v>14</v>
      </c>
      <c r="C7" s="69"/>
      <c r="D7" s="38"/>
      <c r="E7" s="62">
        <f>SUM(E$10:E$1048576)</f>
        <v>841</v>
      </c>
      <c r="F7" s="63">
        <f>SUM(F$10:F$1048576)</f>
        <v>3</v>
      </c>
      <c r="G7" s="63">
        <f>SUM(G$10:G$1048576)</f>
        <v>-23</v>
      </c>
      <c r="H7" s="64">
        <f>SUM(H$10:H$1048576)</f>
        <v>138.18800000000005</v>
      </c>
      <c r="L7" s="75">
        <f>+L5-L6</f>
        <v>44708.882500000007</v>
      </c>
      <c r="M7" s="47"/>
      <c r="N7" s="39"/>
      <c r="O7" s="39"/>
    </row>
    <row r="8" spans="1:16" ht="19.95" customHeight="1" thickBot="1" x14ac:dyDescent="0.35">
      <c r="A8" s="1"/>
      <c r="B8" s="65" t="s">
        <v>94</v>
      </c>
      <c r="C8" s="70"/>
      <c r="D8" s="10" t="s">
        <v>95</v>
      </c>
      <c r="E8" s="11" t="s">
        <v>89</v>
      </c>
      <c r="F8" s="12" t="s">
        <v>96</v>
      </c>
      <c r="G8" s="12" t="s">
        <v>11</v>
      </c>
      <c r="H8" s="10" t="s">
        <v>97</v>
      </c>
      <c r="I8" t="s">
        <v>327</v>
      </c>
      <c r="J8" s="80" t="s">
        <v>328</v>
      </c>
      <c r="L8" s="83">
        <v>302.10000000000002</v>
      </c>
      <c r="M8" s="47"/>
      <c r="N8" s="39"/>
      <c r="O8" s="39"/>
    </row>
    <row r="9" spans="1:16" ht="19.95" customHeight="1" x14ac:dyDescent="0.3">
      <c r="A9" s="37"/>
      <c r="B9" s="48" t="s">
        <v>92</v>
      </c>
      <c r="C9" s="48" t="s">
        <v>93</v>
      </c>
      <c r="D9" s="10"/>
      <c r="E9" s="81">
        <f>1744/I4</f>
        <v>4.7102748812708235</v>
      </c>
      <c r="F9" s="81">
        <f>3930/I4</f>
        <v>10.614323556992167</v>
      </c>
      <c r="G9" s="81">
        <f>3500/I4</f>
        <v>9.452959910807273</v>
      </c>
      <c r="H9" s="10">
        <f>+'MINI ABASTO EL SOL'!$G$5</f>
        <v>0</v>
      </c>
      <c r="K9" s="79"/>
      <c r="L9" s="84">
        <v>5407.33</v>
      </c>
      <c r="M9" s="47"/>
      <c r="N9" s="96"/>
      <c r="O9" s="39"/>
    </row>
    <row r="10" spans="1:16" ht="19.95" customHeight="1" x14ac:dyDescent="0.3">
      <c r="A10" s="14">
        <v>1</v>
      </c>
      <c r="B10" s="58" t="str">
        <f>+'ABASTO ANTONY'!$B$1</f>
        <v>ABASTO ANTONY</v>
      </c>
      <c r="C10" s="67">
        <f>+'ABASTO ANTONY'!$B$2</f>
        <v>0</v>
      </c>
      <c r="D10" s="9">
        <f>+'ABASTO ANTONY'!$C$3</f>
        <v>452.00999999999959</v>
      </c>
      <c r="E10" s="11">
        <f>+'ABASTO ANTONY'!$D$3</f>
        <v>1</v>
      </c>
      <c r="F10" s="12">
        <f>+'ABASTO ANTONY'!$E$3</f>
        <v>0</v>
      </c>
      <c r="G10" s="12">
        <f>+'ABASTO ANTONY'!$F$3</f>
        <v>0</v>
      </c>
      <c r="H10" s="10">
        <f>+'ABASTO ANTONY'!$G$3</f>
        <v>0</v>
      </c>
      <c r="I10" t="s">
        <v>121</v>
      </c>
      <c r="J10" s="80">
        <f>MAX('ABASTO ANTONY'!A2:A1000)</f>
        <v>46052</v>
      </c>
      <c r="L10" s="83">
        <f>+L7-L8+L9</f>
        <v>49814.11250000001</v>
      </c>
      <c r="M10" s="47"/>
      <c r="N10" s="39"/>
    </row>
    <row r="11" spans="1:16" ht="19.95" customHeight="1" x14ac:dyDescent="0.3">
      <c r="A11" s="14">
        <v>2</v>
      </c>
      <c r="B11" s="58" t="str">
        <f>+'ABASTO DON MARCOS'!$B$1</f>
        <v>ABASTO DON MARCOS</v>
      </c>
      <c r="C11" s="67" t="str">
        <f>+'ABASTO DON MARCOS'!$B$2</f>
        <v>ANA ZAMBRANO</v>
      </c>
      <c r="D11" s="9">
        <f>+'ABASTO DON MARCOS'!$C$3</f>
        <v>98.009999999999991</v>
      </c>
      <c r="E11" s="11">
        <f>+'ABASTO DON MARCOS'!$D$3</f>
        <v>0</v>
      </c>
      <c r="F11" s="12">
        <f>+'ABASTO DON MARCOS'!$E$3</f>
        <v>0</v>
      </c>
      <c r="G11" s="12">
        <f>+'ABASTO DON MARCOS'!$F$3</f>
        <v>0</v>
      </c>
      <c r="H11" s="10">
        <f>+'ABASTO DON MARCOS'!$G$3</f>
        <v>0</v>
      </c>
      <c r="I11" t="s">
        <v>122</v>
      </c>
      <c r="J11" s="80">
        <f>MAX('ABASTO DON MARCOS'!A2:A1000)</f>
        <v>46055</v>
      </c>
      <c r="L11" s="82">
        <v>106.16</v>
      </c>
      <c r="M11" s="47"/>
      <c r="N11" s="39"/>
      <c r="O11" s="39"/>
    </row>
    <row r="12" spans="1:16" ht="19.95" customHeight="1" x14ac:dyDescent="0.3">
      <c r="A12" s="14">
        <v>3</v>
      </c>
      <c r="B12" s="58" t="str">
        <f>+'ABASTO GLORIMAR'!$B$1</f>
        <v>ABASTO GLORIMAR</v>
      </c>
      <c r="C12" s="67">
        <f>+'ABASTO GLORIMAR'!$B$2</f>
        <v>0</v>
      </c>
      <c r="D12" s="9">
        <f>+'ABASTO GLORIMAR'!$C$3</f>
        <v>110.21999999999977</v>
      </c>
      <c r="E12" s="11">
        <f>+'ABASTO GLORIMAR'!$D$3</f>
        <v>2</v>
      </c>
      <c r="F12" s="12">
        <f>+'ABASTO GLORIMAR'!$E$3</f>
        <v>0</v>
      </c>
      <c r="G12" s="12">
        <f>+'ABASTO GLORIMAR'!$F$3</f>
        <v>0</v>
      </c>
      <c r="H12" s="10">
        <f>+'ABASTO GLORIMAR'!$G$3</f>
        <v>0</v>
      </c>
      <c r="I12" t="s">
        <v>121</v>
      </c>
      <c r="J12" s="80">
        <f>MAX('ABASTO GLORIMAR'!A2:A1001)</f>
        <v>46050</v>
      </c>
      <c r="L12" s="85">
        <f>+L10-L11</f>
        <v>49707.952500000007</v>
      </c>
      <c r="M12" s="47"/>
      <c r="N12" s="39"/>
    </row>
    <row r="13" spans="1:16" ht="19.95" customHeight="1" x14ac:dyDescent="0.3">
      <c r="A13" s="14">
        <v>4</v>
      </c>
      <c r="B13" s="58" t="str">
        <f>+'ABASTO JAVER'!$B$1</f>
        <v>ABASTO JAVER</v>
      </c>
      <c r="C13" s="67" t="str">
        <f>+'ABASTO JAVER'!$B$2</f>
        <v>JAVER OVALLES</v>
      </c>
      <c r="D13" s="9">
        <f>+'ABASTO JAVER'!$C$3</f>
        <v>0</v>
      </c>
      <c r="E13" s="11">
        <f>+'ABASTO JAVER'!$D$3</f>
        <v>0</v>
      </c>
      <c r="F13" s="12">
        <f>+'ABASTO JAVER'!$E$3</f>
        <v>0</v>
      </c>
      <c r="G13" s="12">
        <f>+'ABASTO JAVER'!$F$3</f>
        <v>0</v>
      </c>
      <c r="H13" s="10">
        <f>+'ABASTO JAVER'!$G$3</f>
        <v>0</v>
      </c>
      <c r="I13" t="s">
        <v>122</v>
      </c>
      <c r="J13" s="80">
        <f>MAX('ABASTO JAVER'!A2:A1002)</f>
        <v>45979</v>
      </c>
      <c r="L13" s="83">
        <v>22.18</v>
      </c>
      <c r="M13" s="47"/>
      <c r="N13" s="39"/>
    </row>
    <row r="14" spans="1:16" ht="19.95" customHeight="1" x14ac:dyDescent="0.3">
      <c r="A14" s="14">
        <v>5</v>
      </c>
      <c r="B14" s="58" t="str">
        <f>+'ABASTO KLEIDI'!$B$1</f>
        <v>ABASTO KLEIDI</v>
      </c>
      <c r="C14" s="67" t="str">
        <f>+'ABASTO KLEIDI'!$B$2</f>
        <v>KLEIDI</v>
      </c>
      <c r="D14" s="9">
        <f>+'ABASTO KLEIDI'!$C$3</f>
        <v>1.3499999999999943</v>
      </c>
      <c r="E14" s="11">
        <f>+'ABASTO KLEIDI'!$D$3</f>
        <v>0</v>
      </c>
      <c r="F14" s="12">
        <f>+'ABASTO KLEIDI'!$E$3</f>
        <v>0</v>
      </c>
      <c r="G14" s="12">
        <f>+'ABASTO KLEIDI'!$F$3</f>
        <v>0</v>
      </c>
      <c r="H14" s="10">
        <f>+'ABASTO KLEIDI'!$G$3</f>
        <v>0</v>
      </c>
      <c r="I14" t="s">
        <v>121</v>
      </c>
      <c r="J14" s="80">
        <f>MAX('ABASTO KLEIDI'!A2:A1000)</f>
        <v>46052</v>
      </c>
      <c r="L14" s="82">
        <v>46.28</v>
      </c>
      <c r="M14" s="47"/>
      <c r="N14" s="39"/>
    </row>
    <row r="15" spans="1:16" ht="19.95" customHeight="1" x14ac:dyDescent="0.3">
      <c r="A15" s="14">
        <v>6</v>
      </c>
      <c r="B15" s="58" t="str">
        <f>+'ABASTO LAUDA'!$B$1</f>
        <v>ABASTO LAUDA</v>
      </c>
      <c r="C15" s="67" t="str">
        <f>+'ABASTO LAUDA'!$B$2</f>
        <v>ANDRES</v>
      </c>
      <c r="D15" s="9">
        <f>+'ABASTO LAUDA'!$C$3</f>
        <v>816.14</v>
      </c>
      <c r="E15" s="11">
        <f>+'ABASTO LAUDA'!$D$3</f>
        <v>0</v>
      </c>
      <c r="F15" s="12">
        <f>+'ABASTO LAUDA'!$E$3</f>
        <v>0</v>
      </c>
      <c r="G15" s="12">
        <f>+'ABASTO LAUDA'!$F$3</f>
        <v>0</v>
      </c>
      <c r="H15" s="10">
        <f>+'ABASTO LAUDA'!$G$3</f>
        <v>0</v>
      </c>
      <c r="I15" t="s">
        <v>121</v>
      </c>
      <c r="J15" s="80">
        <f>MAX('ABASTO LAUDA'!A2:A1000)</f>
        <v>46050</v>
      </c>
      <c r="L15" s="88">
        <v>27.12</v>
      </c>
      <c r="M15" s="89"/>
      <c r="N15" s="39"/>
    </row>
    <row r="16" spans="1:16" ht="19.95" customHeight="1" x14ac:dyDescent="0.3">
      <c r="A16" s="14">
        <v>7</v>
      </c>
      <c r="B16" s="58" t="str">
        <f>+'ABASTO LAS CUADRAS'!$B$1</f>
        <v>ABASTO LAS CUADRAS</v>
      </c>
      <c r="C16" s="67" t="str">
        <f>+'ABASTO LAS CUADRAS'!$B$2</f>
        <v>WILFREDO CHACON</v>
      </c>
      <c r="D16" s="9">
        <f>+'ABASTO LAS CUADRAS'!$C$3</f>
        <v>128.29999999999987</v>
      </c>
      <c r="E16" s="11">
        <f>+'ABASTO LAS CUADRAS'!$D$3</f>
        <v>1</v>
      </c>
      <c r="F16" s="12">
        <f>+'ABASTO LAS CUADRAS'!$E$3</f>
        <v>0</v>
      </c>
      <c r="G16" s="12">
        <f>+'ABASTO LAS CUADRAS'!$F$3</f>
        <v>0</v>
      </c>
      <c r="H16" s="10">
        <f>+'ABASTO LAS CUADRAS'!$G$3</f>
        <v>0</v>
      </c>
      <c r="I16" t="s">
        <v>122</v>
      </c>
      <c r="J16" s="80">
        <f>MAX('ABASTO LAS CUADRAS'!A2:A1000)</f>
        <v>46051</v>
      </c>
      <c r="K16" s="79"/>
      <c r="L16" s="86">
        <v>28.13</v>
      </c>
      <c r="M16" s="89"/>
    </row>
    <row r="17" spans="1:14" ht="19.95" customHeight="1" x14ac:dyDescent="0.3">
      <c r="A17" s="14">
        <v>8</v>
      </c>
      <c r="B17" s="58" t="str">
        <f>+'ABASTO LAS MORENAS'!$B$1</f>
        <v>ABASTO LAS MORENAS</v>
      </c>
      <c r="C17" s="67" t="str">
        <f>+'ABASTO LAS MORENAS'!$B$2</f>
        <v>CECILIO</v>
      </c>
      <c r="D17" s="9">
        <f>+'ABASTO LAS MORENAS'!$C$3</f>
        <v>367.40999999999997</v>
      </c>
      <c r="E17" s="11">
        <f>+'ABASTO LAS MORENAS'!$D$3</f>
        <v>0</v>
      </c>
      <c r="F17" s="12">
        <f>+'ABASTO LAS MORENAS'!$E$3</f>
        <v>0</v>
      </c>
      <c r="G17" s="12">
        <f>+'ABASTO LAS MORENAS'!$F$3</f>
        <v>0</v>
      </c>
      <c r="H17" s="10">
        <f>+'ABASTO LAS MORENAS'!$G$3</f>
        <v>0</v>
      </c>
      <c r="I17" t="s">
        <v>122</v>
      </c>
      <c r="J17" s="80">
        <f>MAX('ABASTO LAS MORENAS'!A2:A1000)</f>
        <v>46052</v>
      </c>
      <c r="L17" s="86">
        <v>3093.39</v>
      </c>
      <c r="M17" s="47"/>
      <c r="N17" s="39"/>
    </row>
    <row r="18" spans="1:14" ht="19.95" customHeight="1" x14ac:dyDescent="0.3">
      <c r="A18" s="14">
        <v>9</v>
      </c>
      <c r="B18" s="58" t="str">
        <f>+'ABASTO LAS PILAS'!$B$1</f>
        <v>ABASTO LAS PILAS</v>
      </c>
      <c r="C18" s="67">
        <f>+'ABASTO LAS PILAS'!$B$2</f>
        <v>0</v>
      </c>
      <c r="D18" s="9">
        <f>+'ABASTO LAS PILAS'!$C$3</f>
        <v>46.000000000000014</v>
      </c>
      <c r="E18" s="11">
        <f>+'ABASTO LAS PILAS'!$D$3</f>
        <v>1</v>
      </c>
      <c r="F18" s="12">
        <f>+'ABASTO LAS PILAS'!$E$3</f>
        <v>0</v>
      </c>
      <c r="G18" s="12">
        <f>+'ABASTO LAS PILAS'!$F$3</f>
        <v>0</v>
      </c>
      <c r="H18" s="10">
        <f>+'ABASTO LAS PILAS'!$G$3</f>
        <v>0</v>
      </c>
      <c r="I18" t="s">
        <v>121</v>
      </c>
      <c r="J18" s="80">
        <f>MAX('ABASTO LAS PILAS'!A2:A1000)</f>
        <v>46051</v>
      </c>
      <c r="L18" s="83">
        <f>+L12-L13-L14-L15+L17-L16</f>
        <v>52677.632500000007</v>
      </c>
      <c r="M18" s="47"/>
      <c r="N18" s="99"/>
    </row>
    <row r="19" spans="1:14" ht="19.95" customHeight="1" x14ac:dyDescent="0.3">
      <c r="A19" s="14">
        <v>10</v>
      </c>
      <c r="B19" s="58" t="str">
        <f>+'ABASTO LUZ VALERO'!$B$1</f>
        <v>ABASTO LUZ VALERO</v>
      </c>
      <c r="C19" s="67">
        <f>+'ABASTO LUZ VALERO'!$B$2</f>
        <v>0</v>
      </c>
      <c r="D19" s="9">
        <f>+'ABASTO LUZ VALERO'!$C$3</f>
        <v>187.66999999999996</v>
      </c>
      <c r="E19" s="11">
        <f>+'ABASTO LUZ VALERO'!$D$3</f>
        <v>0</v>
      </c>
      <c r="F19" s="12">
        <f>+'ABASTO LUZ VALERO'!$E$3</f>
        <v>0</v>
      </c>
      <c r="G19" s="12">
        <f>+'ABASTO LUZ VALERO'!$F$3</f>
        <v>0</v>
      </c>
      <c r="H19" s="10">
        <f>+'ABASTO LUZ VALERO'!$G$3</f>
        <v>0</v>
      </c>
      <c r="I19" t="s">
        <v>121</v>
      </c>
      <c r="J19" s="80">
        <f>MAX('ABASTO LUZ VALERO'!A2:A1000)</f>
        <v>46052</v>
      </c>
      <c r="L19" s="83">
        <v>260.75</v>
      </c>
      <c r="M19" s="47"/>
      <c r="N19" s="39"/>
    </row>
    <row r="20" spans="1:14" ht="19.95" customHeight="1" x14ac:dyDescent="0.3">
      <c r="A20" s="14">
        <v>11</v>
      </c>
      <c r="B20" s="58" t="str">
        <f>+'ABASTO LUZMAR'!$B$1</f>
        <v>ABASTO LUZMAR</v>
      </c>
      <c r="C20" s="67" t="str">
        <f>+'ABASTO LUZMAR'!$B$2</f>
        <v>MARINA LUZ SANCHEZ</v>
      </c>
      <c r="D20" s="9">
        <f>+'ABASTO LUZMAR'!$C$3</f>
        <v>0</v>
      </c>
      <c r="E20" s="11">
        <f>+'ABASTO LUZMAR'!$D$3</f>
        <v>0</v>
      </c>
      <c r="F20" s="12">
        <f>+'ABASTO LUZMAR'!$E$3</f>
        <v>0</v>
      </c>
      <c r="G20" s="12">
        <f>+'ABASTO LUZMAR'!$F$3</f>
        <v>0</v>
      </c>
      <c r="H20" s="10">
        <f>+'ABASTO LUZMAR'!$G$3</f>
        <v>0</v>
      </c>
      <c r="I20" t="s">
        <v>122</v>
      </c>
      <c r="J20" s="80">
        <f>MAX('ABASTO LUZMAR'!A2:A1000)</f>
        <v>45912</v>
      </c>
      <c r="L20" s="101">
        <v>844.35</v>
      </c>
      <c r="M20" s="47"/>
      <c r="N20" s="39"/>
    </row>
    <row r="21" spans="1:14" ht="19.95" customHeight="1" x14ac:dyDescent="0.3">
      <c r="A21" s="14">
        <v>12</v>
      </c>
      <c r="B21" s="58" t="str">
        <f>+'ABASTO MIS ANGELES'!$B$1</f>
        <v>ABASTO MIS ANGELES</v>
      </c>
      <c r="C21" s="67">
        <f>+'ABASTO MIS ANGELES'!$B$2</f>
        <v>0</v>
      </c>
      <c r="D21" s="9">
        <f>+'ABASTO MIS ANGELES'!$C$3</f>
        <v>50.18</v>
      </c>
      <c r="E21" s="11">
        <f>+'ABASTO MIS ANGELES'!$D$3</f>
        <v>0</v>
      </c>
      <c r="F21" s="12">
        <f>+'ABASTO MIS ANGELES'!$E$3</f>
        <v>0</v>
      </c>
      <c r="G21" s="12">
        <f>+'ABASTO MIS ANGELES'!$F$3</f>
        <v>0</v>
      </c>
      <c r="H21" s="10">
        <f>+'ABASTO MIS ANGELES'!$G$3</f>
        <v>0</v>
      </c>
      <c r="I21" t="s">
        <v>121</v>
      </c>
      <c r="J21" s="80">
        <f>MAX('ABASTO MIS ANGELES'!A2:A1000)</f>
        <v>46052</v>
      </c>
      <c r="L21" s="83">
        <v>4805.57</v>
      </c>
      <c r="M21" s="120"/>
      <c r="N21" s="95"/>
    </row>
    <row r="22" spans="1:14" ht="19.95" customHeight="1" x14ac:dyDescent="0.3">
      <c r="A22" s="14">
        <v>13</v>
      </c>
      <c r="B22" s="58" t="str">
        <f>+'ABASTO VANESA'!$B$1</f>
        <v>ABASTO VANESA</v>
      </c>
      <c r="C22" s="67">
        <f>+'ABASTO VANESA'!$B$2</f>
        <v>0</v>
      </c>
      <c r="D22" s="9">
        <f>+'ABASTO VANESA'!$C$3</f>
        <v>336.13000000000005</v>
      </c>
      <c r="E22" s="11">
        <f>+'ABASTO VANESA'!$D$3</f>
        <v>2</v>
      </c>
      <c r="F22" s="12">
        <f>+'ABASTO VANESA'!$E$3</f>
        <v>0</v>
      </c>
      <c r="G22" s="12">
        <f>+'ABASTO VANESA'!$F$3</f>
        <v>0</v>
      </c>
      <c r="H22" s="10">
        <f>+'ABASTO VANESA'!$G$3</f>
        <v>0</v>
      </c>
      <c r="I22" t="s">
        <v>121</v>
      </c>
      <c r="J22" s="80">
        <f>MAX('ABASTO VANESA'!A2:A1000)</f>
        <v>46052</v>
      </c>
      <c r="L22" s="75">
        <f>+L18-L19-L20+L21</f>
        <v>56378.102500000008</v>
      </c>
      <c r="M22" s="47"/>
      <c r="N22" s="39"/>
    </row>
    <row r="23" spans="1:14" ht="19.95" customHeight="1" x14ac:dyDescent="0.3">
      <c r="A23" s="14">
        <v>14</v>
      </c>
      <c r="B23" s="58" t="str">
        <f>+'ABASTO Y CHARCUTERIA WILMARY'!$B$1</f>
        <v>ABASTO Y CHARCUTERIA WILMARY</v>
      </c>
      <c r="C23" s="67" t="str">
        <f>+'ABASTO Y CHARCUTERIA WILMARY'!$B$2</f>
        <v>ANA CONTRERAS</v>
      </c>
      <c r="D23" s="9">
        <f>+'ABASTO Y CHARCUTERIA WILMARY'!$C$3</f>
        <v>54.71999999999997</v>
      </c>
      <c r="E23" s="11">
        <f>+'ABASTO Y CHARCUTERIA WILMARY'!$D$3</f>
        <v>0</v>
      </c>
      <c r="F23" s="12">
        <f>+'ABASTO Y CHARCUTERIA WILMARY'!$E$3</f>
        <v>0</v>
      </c>
      <c r="G23" s="12">
        <f>+'ABASTO Y CHARCUTERIA WILMARY'!$F$3</f>
        <v>0</v>
      </c>
      <c r="H23" s="10">
        <f>+'ABASTO Y CHARCUTERIA WILMARY'!$G$3</f>
        <v>0</v>
      </c>
      <c r="I23" t="s">
        <v>121</v>
      </c>
      <c r="J23" s="80">
        <f>MAX('ABASTO Y CHARCUTERIA WILMARY'!A2:A1000)</f>
        <v>46051</v>
      </c>
      <c r="L23" s="83">
        <v>1232.1400000000001</v>
      </c>
      <c r="M23" s="47"/>
      <c r="N23" s="39"/>
    </row>
    <row r="24" spans="1:14" ht="19.95" customHeight="1" x14ac:dyDescent="0.3">
      <c r="A24" s="14">
        <v>15</v>
      </c>
      <c r="B24" s="58" t="str">
        <f>+'ABASTO YUDERLI'!$B$1</f>
        <v>ABASTO YUDERLI</v>
      </c>
      <c r="C24" s="67">
        <f>+'ABASTO YUDERLI'!$B$2</f>
        <v>0</v>
      </c>
      <c r="D24" s="9">
        <f>+'ABASTO YUDERLI'!$C$3</f>
        <v>2.0000000000017337E-2</v>
      </c>
      <c r="E24" s="11">
        <f>+'ABASTO YUDERLI'!$D$3</f>
        <v>1</v>
      </c>
      <c r="F24" s="12">
        <f>+'ABASTO YUDERLI'!$E$3</f>
        <v>0</v>
      </c>
      <c r="G24" s="12">
        <f>+'ABASTO YUDERLI'!$F$3</f>
        <v>0</v>
      </c>
      <c r="H24" s="10">
        <f>+'ABASTO YUDERLI'!$G$3</f>
        <v>0</v>
      </c>
      <c r="I24" t="s">
        <v>121</v>
      </c>
      <c r="J24" s="80">
        <f>MAX('ABASTO YUDERLI'!A2:A1000)</f>
        <v>45996</v>
      </c>
      <c r="L24" s="83">
        <f>+L22-L23</f>
        <v>55145.962500000009</v>
      </c>
      <c r="M24" s="47"/>
      <c r="N24" s="39"/>
    </row>
    <row r="25" spans="1:14" ht="19.95" customHeight="1" x14ac:dyDescent="0.3">
      <c r="A25" s="14">
        <v>16</v>
      </c>
      <c r="B25" s="58" t="str">
        <f>+'ABASTO ZORANNY'!$B$1</f>
        <v>ABASTO ZORANNY</v>
      </c>
      <c r="C25" s="67" t="str">
        <f>+'ABASTO ZORANNY'!$B$2</f>
        <v>ZORAIDA</v>
      </c>
      <c r="D25" s="9">
        <f>+'ABASTO ZORANNY'!$C$3</f>
        <v>0</v>
      </c>
      <c r="E25" s="11">
        <f>+'ABASTO ZORANNY'!$D$3</f>
        <v>0</v>
      </c>
      <c r="F25" s="12">
        <f>+'ABASTO ZORANNY'!$E$3</f>
        <v>0</v>
      </c>
      <c r="G25" s="12">
        <f>+'ABASTO ZORANNY'!$F$3</f>
        <v>0</v>
      </c>
      <c r="H25" s="10">
        <f>+'ABASTO ZORANNY'!$G$3</f>
        <v>0</v>
      </c>
      <c r="I25" t="s">
        <v>122</v>
      </c>
      <c r="J25" s="80">
        <f>MAX('ABASTO ZORANNY'!A2:A1000)</f>
        <v>46050</v>
      </c>
      <c r="L25" s="83"/>
      <c r="M25" s="47"/>
      <c r="N25" s="39"/>
    </row>
    <row r="26" spans="1:14" ht="19.95" customHeight="1" x14ac:dyDescent="0.3">
      <c r="A26" s="14">
        <v>17</v>
      </c>
      <c r="B26" s="58" t="str">
        <f>+'ALAS COMPAS'!$B$1</f>
        <v>ALAS COMPRAS</v>
      </c>
      <c r="C26" s="67" t="str">
        <f>+'ALAS COMPAS'!$B$2</f>
        <v>ELICEO GARCIA</v>
      </c>
      <c r="D26" s="9">
        <f>+'ALAS COMPAS'!$C$3</f>
        <v>541.04000000000008</v>
      </c>
      <c r="E26" s="11">
        <f>+'ALAS COMPAS'!$D$3</f>
        <v>0</v>
      </c>
      <c r="F26" s="12">
        <f>+'ALAS COMPAS'!$E$3</f>
        <v>0</v>
      </c>
      <c r="G26" s="12">
        <f>+'ALAS COMPAS'!$F$3</f>
        <v>0</v>
      </c>
      <c r="H26" s="10">
        <f>+'ALAS COMPAS'!$G$3</f>
        <v>0</v>
      </c>
      <c r="I26" t="s">
        <v>122</v>
      </c>
      <c r="J26" s="80">
        <f>MAX('ALAS COMPAS'!A2:A1000)</f>
        <v>46052</v>
      </c>
      <c r="L26" s="83"/>
      <c r="M26" s="47"/>
      <c r="N26" s="39"/>
    </row>
    <row r="27" spans="1:14" ht="19.95" customHeight="1" x14ac:dyDescent="0.3">
      <c r="A27" s="14">
        <v>18</v>
      </c>
      <c r="B27" s="58" t="str">
        <f>+'ALVARO RINCON'!$B$1</f>
        <v>ALVARO RINCON</v>
      </c>
      <c r="C27" s="67">
        <f>+'ALVARO RINCON'!$B$2</f>
        <v>0</v>
      </c>
      <c r="D27" s="9">
        <f>+'ALVARO RINCON'!$C$3</f>
        <v>0</v>
      </c>
      <c r="E27" s="11">
        <f>+'ALVARO RINCON'!$D$3</f>
        <v>0</v>
      </c>
      <c r="F27" s="12">
        <f>+'ALVARO RINCON'!$E$3</f>
        <v>0</v>
      </c>
      <c r="G27" s="12">
        <f>+'ALVARO RINCON'!$F$3</f>
        <v>0</v>
      </c>
      <c r="H27" s="10">
        <f>+'ALVARO RINCON'!$G$3</f>
        <v>0</v>
      </c>
      <c r="I27" t="s">
        <v>121</v>
      </c>
      <c r="J27" s="80">
        <f>MAX('ALVARO RINCON'!A2:A1000)</f>
        <v>0</v>
      </c>
      <c r="L27" s="83"/>
      <c r="M27" s="47"/>
      <c r="N27" s="39"/>
    </row>
    <row r="28" spans="1:14" ht="19.95" customHeight="1" x14ac:dyDescent="0.3">
      <c r="A28" s="14">
        <v>19</v>
      </c>
      <c r="B28" s="58" t="str">
        <f>+'ALEJANDRA NIETO'!$B$1</f>
        <v>ALEJANDRA NIETO</v>
      </c>
      <c r="C28" s="67">
        <f>+'ALEJANDRA NIETO'!$B$2</f>
        <v>0</v>
      </c>
      <c r="D28" s="9">
        <f>+'ALEJANDRA NIETO'!$C$3</f>
        <v>-2.2099999999999582</v>
      </c>
      <c r="E28" s="11">
        <f>+'ALEJANDRA NIETO'!$D$3</f>
        <v>0</v>
      </c>
      <c r="F28" s="12">
        <f>+'ALEJANDRA NIETO'!$E$3</f>
        <v>0</v>
      </c>
      <c r="G28" s="12">
        <f>+'ALEJANDRA NIETO'!$F$3</f>
        <v>0</v>
      </c>
      <c r="H28" s="10">
        <f>+'ALEJANDRA NIETO'!$G$3</f>
        <v>0</v>
      </c>
      <c r="I28" t="s">
        <v>121</v>
      </c>
      <c r="J28" s="80">
        <f>MAX('ALEJANDRA NIETO'!A2:A1000)</f>
        <v>46055</v>
      </c>
      <c r="L28" s="83"/>
      <c r="M28" s="47"/>
      <c r="N28" s="39"/>
    </row>
    <row r="29" spans="1:14" ht="19.95" customHeight="1" x14ac:dyDescent="0.3">
      <c r="A29" s="14">
        <v>20</v>
      </c>
      <c r="B29" s="58" t="str">
        <f>+AMALUBE!$B$1</f>
        <v>AMALUBE</v>
      </c>
      <c r="C29" s="67">
        <f>+AMALUBE!$B$2</f>
        <v>0</v>
      </c>
      <c r="D29" s="9">
        <f>+AMALUBE!$C$3</f>
        <v>33.850000000000009</v>
      </c>
      <c r="E29" s="11">
        <f>+AMALUBE!$D$3</f>
        <v>0</v>
      </c>
      <c r="F29" s="12">
        <f>+AMALUBE!$E$3</f>
        <v>0</v>
      </c>
      <c r="G29" s="12">
        <f>+AMALUBE!$F$3</f>
        <v>0</v>
      </c>
      <c r="H29" s="10">
        <f>+AMALUBE!$G$3</f>
        <v>0</v>
      </c>
      <c r="I29" t="s">
        <v>121</v>
      </c>
      <c r="J29" s="80">
        <f>MAX(AMALUBE!A2:A1000)</f>
        <v>46050</v>
      </c>
      <c r="L29" s="83"/>
      <c r="M29" s="47"/>
      <c r="N29" s="39"/>
    </row>
    <row r="30" spans="1:14" ht="19.95" customHeight="1" x14ac:dyDescent="0.3">
      <c r="A30" s="14">
        <v>21</v>
      </c>
      <c r="B30" s="119" t="str">
        <f>+'AMEZQUITA BODEGON'!$B$1</f>
        <v>AMEZQUITA BODEGON</v>
      </c>
      <c r="C30" s="67">
        <f>+'AMEZQUITA BODEGON'!$B$2</f>
        <v>0</v>
      </c>
      <c r="D30" s="9">
        <f>+'AMEZQUITA BODEGON'!$C$3</f>
        <v>335.58</v>
      </c>
      <c r="E30" s="11">
        <f>+'AMEZQUITA BODEGON'!$D$3</f>
        <v>1</v>
      </c>
      <c r="F30" s="12">
        <f>+'AMEZQUITA BODEGON'!$E$3</f>
        <v>0</v>
      </c>
      <c r="G30" s="12">
        <f>+'AMEZQUITA BODEGON'!$F$3</f>
        <v>0</v>
      </c>
      <c r="H30" s="10">
        <f>+'AMEZQUITA BODEGON'!$G$3</f>
        <v>0</v>
      </c>
      <c r="I30" t="s">
        <v>122</v>
      </c>
      <c r="L30" s="83"/>
      <c r="M30" s="47"/>
      <c r="N30" s="39"/>
    </row>
    <row r="31" spans="1:14" ht="19.95" customHeight="1" x14ac:dyDescent="0.3">
      <c r="A31" s="14">
        <v>22</v>
      </c>
      <c r="B31" s="58" t="str">
        <f>+'ANDERZON POLAR'!$B$1</f>
        <v>ANDERZON POLAR</v>
      </c>
      <c r="C31" s="67">
        <f>+'ANDERZON POLAR'!$B$2</f>
        <v>0</v>
      </c>
      <c r="D31" s="9">
        <f>+'ANDERZON POLAR'!$C$3</f>
        <v>0.25</v>
      </c>
      <c r="E31" s="11">
        <f>+'ANDERZON POLAR'!$D$3</f>
        <v>0</v>
      </c>
      <c r="F31" s="12">
        <f>+'ANDERZON POLAR'!$E$3</f>
        <v>0</v>
      </c>
      <c r="G31" s="12">
        <f>+'ANDERZON POLAR'!$F$3</f>
        <v>0</v>
      </c>
      <c r="H31" s="10">
        <f>+'ANDERZON POLAR'!$G$3</f>
        <v>0</v>
      </c>
      <c r="I31" t="s">
        <v>122</v>
      </c>
      <c r="J31" s="80">
        <f>MAX('ANDERZON POLAR'!A2:A1000)</f>
        <v>46036</v>
      </c>
      <c r="L31" s="83"/>
      <c r="M31" s="47"/>
      <c r="N31" s="39"/>
    </row>
    <row r="32" spans="1:14" ht="19.95" customHeight="1" x14ac:dyDescent="0.3">
      <c r="A32" s="14">
        <v>23</v>
      </c>
      <c r="B32" s="58" t="str">
        <f>+'ANDERZON RODRIGUEZ'!$B$1</f>
        <v>ANDERZON RODRIGUEZ</v>
      </c>
      <c r="C32" s="67">
        <f>+'ANDERZON RODRIGUEZ'!$B$2</f>
        <v>0</v>
      </c>
      <c r="D32" s="9">
        <f>+'ANDERZON RODRIGUEZ'!$C$3</f>
        <v>127.18</v>
      </c>
      <c r="E32" s="11">
        <f>+'ANDERZON RODRIGUEZ'!$D$3</f>
        <v>0</v>
      </c>
      <c r="F32" s="12">
        <f>+'ANDERZON RODRIGUEZ'!$E$3</f>
        <v>-1</v>
      </c>
      <c r="G32" s="12">
        <f>+'ANDERZON RODRIGUEZ'!$F$3</f>
        <v>-2</v>
      </c>
      <c r="H32" s="10">
        <f>+'ANDERZON RODRIGUEZ'!$G$3</f>
        <v>0</v>
      </c>
      <c r="I32" t="s">
        <v>121</v>
      </c>
      <c r="J32" s="80">
        <f>MAX('ANDERZON RODRIGUEZ'!A2:A1000)</f>
        <v>46056</v>
      </c>
      <c r="L32" s="83"/>
      <c r="M32" s="47"/>
      <c r="N32" s="39"/>
    </row>
    <row r="33" spans="1:14" ht="19.95" customHeight="1" x14ac:dyDescent="0.3">
      <c r="A33" s="14">
        <v>24</v>
      </c>
      <c r="B33" s="58" t="str">
        <f>+'ANDREA URDANETA'!$B$1</f>
        <v>ANDREA URDANETA</v>
      </c>
      <c r="C33" s="67">
        <f>+'ANDREA URDANETA'!$B$2</f>
        <v>0</v>
      </c>
      <c r="D33" s="9">
        <f>+'ANDREA URDANETA'!$C$3</f>
        <v>368.59000000000015</v>
      </c>
      <c r="E33" s="11">
        <f>+'ANDREA URDANETA'!$D$3</f>
        <v>0</v>
      </c>
      <c r="F33" s="12">
        <f>+'ANDREA URDANETA'!$E$3</f>
        <v>0</v>
      </c>
      <c r="G33" s="12">
        <f>+'ANDREA URDANETA'!$F$3</f>
        <v>0</v>
      </c>
      <c r="H33" s="10">
        <f>+'ANDREA URDANETA'!$G$3</f>
        <v>0</v>
      </c>
      <c r="I33" t="s">
        <v>121</v>
      </c>
      <c r="J33" s="80">
        <f>MAX('ANDREA URDANETA'!A2:A1000)</f>
        <v>46052</v>
      </c>
      <c r="M33" s="47"/>
      <c r="N33" s="39"/>
    </row>
    <row r="34" spans="1:14" ht="19.95" customHeight="1" x14ac:dyDescent="0.3">
      <c r="A34" s="14">
        <v>25</v>
      </c>
      <c r="B34" s="58" t="str">
        <f>+APRICOT!$B$1</f>
        <v>APRICOT</v>
      </c>
      <c r="C34" s="67">
        <f>+APRICOT!$B$2</f>
        <v>0</v>
      </c>
      <c r="D34" s="9">
        <f>+APRICOT!$C$3</f>
        <v>440.72000000000008</v>
      </c>
      <c r="E34" s="11">
        <f>+APRICOT!$D$3</f>
        <v>12</v>
      </c>
      <c r="F34" s="12">
        <f>+APRICOT!$E$3</f>
        <v>0</v>
      </c>
      <c r="G34" s="12">
        <f>+APRICOT!$F$3</f>
        <v>0</v>
      </c>
      <c r="H34" s="10">
        <f>+APRICOT!$G$3</f>
        <v>0</v>
      </c>
      <c r="I34" t="s">
        <v>126</v>
      </c>
      <c r="J34" s="80">
        <f>MAX(APRICOT!A2:A1000)</f>
        <v>46045</v>
      </c>
      <c r="L34" s="83"/>
      <c r="M34" s="47"/>
      <c r="N34" s="39"/>
    </row>
    <row r="35" spans="1:14" ht="19.95" customHeight="1" x14ac:dyDescent="0.3">
      <c r="A35" s="14">
        <v>26</v>
      </c>
      <c r="B35" s="58" t="str">
        <f>+'AURA VIVAS'!$B$1</f>
        <v>AURA VIVAS</v>
      </c>
      <c r="C35" s="67">
        <f>+'AURA VIVAS'!$B$2</f>
        <v>0</v>
      </c>
      <c r="D35" s="9">
        <f>+'AURA VIVAS'!$C$3</f>
        <v>-1.9999999999953388E-3</v>
      </c>
      <c r="E35" s="11">
        <f>+'AURA VIVAS'!$D$3</f>
        <v>0</v>
      </c>
      <c r="F35" s="12">
        <f>+'AURA VIVAS'!$E$3</f>
        <v>0</v>
      </c>
      <c r="G35" s="12">
        <f>+'AURA VIVAS'!$F$3</f>
        <v>0</v>
      </c>
      <c r="H35" s="10">
        <f>+'AURA VIVAS'!$G$3</f>
        <v>0</v>
      </c>
      <c r="I35" t="s">
        <v>122</v>
      </c>
      <c r="J35" s="80">
        <f>MAX('AURA VIVAS'!A2:A1000)</f>
        <v>45950</v>
      </c>
      <c r="L35" s="83"/>
      <c r="M35" s="47"/>
      <c r="N35" s="39"/>
    </row>
    <row r="36" spans="1:14" ht="19.95" customHeight="1" x14ac:dyDescent="0.3">
      <c r="A36" s="14"/>
      <c r="B36" s="119" t="str">
        <f>+'AVENTURA INFLABLE'!$B$1</f>
        <v>AVENTURA INFLABLE</v>
      </c>
      <c r="C36" s="67">
        <f>+'AVENTURA INFLABLE'!$B$2</f>
        <v>0</v>
      </c>
      <c r="D36" s="9">
        <f>+'AVENTURA INFLABLE'!$C$3</f>
        <v>1.9539925233402755E-13</v>
      </c>
      <c r="E36" s="11">
        <f>+'AVENTURA INFLABLE'!$D$3</f>
        <v>2</v>
      </c>
      <c r="F36" s="12">
        <f>+'AVENTURA INFLABLE'!$E$3</f>
        <v>0</v>
      </c>
      <c r="G36" s="12">
        <f>+'AVENTURA INFLABLE'!$F$3</f>
        <v>0</v>
      </c>
      <c r="H36" s="10">
        <f>+'AVENTURA INFLABLE'!$G$3</f>
        <v>0</v>
      </c>
      <c r="I36" t="s">
        <v>121</v>
      </c>
      <c r="L36" s="83"/>
      <c r="M36" s="47"/>
      <c r="N36" s="39"/>
    </row>
    <row r="37" spans="1:14" ht="19.95" customHeight="1" x14ac:dyDescent="0.3">
      <c r="A37" s="14"/>
      <c r="B37" s="119" t="str">
        <f>+'BARBERIA SPARTA'!$B$1</f>
        <v>BARBERIA SPARTA</v>
      </c>
      <c r="C37" s="67">
        <f>+'BARBERIA SPARTA'!$B$2</f>
        <v>0</v>
      </c>
      <c r="D37" s="9">
        <f>+'BARBERIA SPARTA'!$C$3</f>
        <v>0</v>
      </c>
      <c r="E37" s="11">
        <f>+'BARBERIA SPARTA'!$D$3</f>
        <v>0</v>
      </c>
      <c r="F37" s="12">
        <f>+'BARBERIA SPARTA'!$E$3</f>
        <v>0</v>
      </c>
      <c r="G37" s="12">
        <f>+'BARBERIA SPARTA'!$F$3</f>
        <v>0</v>
      </c>
      <c r="H37" s="10">
        <f>+'BARBERIA SPARTA'!$G$3</f>
        <v>0</v>
      </c>
      <c r="I37" t="s">
        <v>121</v>
      </c>
      <c r="L37" s="83"/>
      <c r="M37" s="47"/>
      <c r="N37" s="39"/>
    </row>
    <row r="38" spans="1:14" ht="19.95" customHeight="1" x14ac:dyDescent="0.3">
      <c r="A38" s="14">
        <v>27</v>
      </c>
      <c r="B38" s="58" t="str">
        <f>+'BAKAI MACHIRI'!$B$1</f>
        <v>BAKAI MACHIRI</v>
      </c>
      <c r="C38" s="67">
        <f>+'BAKAI MACHIRI'!$B$2</f>
        <v>0</v>
      </c>
      <c r="D38" s="9">
        <f>+'BAKAI MACHIRI'!$C$3</f>
        <v>71.280000000000086</v>
      </c>
      <c r="E38" s="11">
        <f>+'BAKAI MACHIRI'!$D$3</f>
        <v>0</v>
      </c>
      <c r="F38" s="12">
        <f>+'BAKAI MACHIRI'!$E$3</f>
        <v>0</v>
      </c>
      <c r="G38" s="12">
        <f>+'BAKAI MACHIRI'!$F$3</f>
        <v>0</v>
      </c>
      <c r="H38" s="10">
        <f>+'BAKAI MACHIRI'!$G$3</f>
        <v>44.73</v>
      </c>
      <c r="I38" t="s">
        <v>121</v>
      </c>
      <c r="J38" s="80">
        <f>MAX('BAKAI MACHIRI'!A2:A1000)</f>
        <v>46056</v>
      </c>
      <c r="L38" s="83"/>
      <c r="N38" s="39"/>
    </row>
    <row r="39" spans="1:14" ht="19.95" customHeight="1" x14ac:dyDescent="0.3">
      <c r="A39" s="14">
        <v>28</v>
      </c>
      <c r="B39" s="58" t="str">
        <f>+'BELKIS MONSALVE'!$B$1</f>
        <v>BELKIS MONSALVE</v>
      </c>
      <c r="C39" s="67">
        <f>+'BELKIS MONSALVE'!$B$2</f>
        <v>0</v>
      </c>
      <c r="D39" s="9">
        <f>+'BELKIS MONSALVE'!$C$3</f>
        <v>0</v>
      </c>
      <c r="E39" s="11">
        <f>+'BELKIS MONSALVE'!$D$3</f>
        <v>0</v>
      </c>
      <c r="F39" s="12">
        <f>+'BELKIS MONSALVE'!$E$3</f>
        <v>0</v>
      </c>
      <c r="G39" s="12">
        <f>+'BELKIS MONSALVE'!$F$3</f>
        <v>0</v>
      </c>
      <c r="H39" s="10">
        <f>+'BELKIS MONSALVE'!$G$3</f>
        <v>0</v>
      </c>
      <c r="I39" t="s">
        <v>122</v>
      </c>
      <c r="J39" s="80">
        <f>MAX('BELKIS MONSALVE'!A2:A1000)</f>
        <v>0</v>
      </c>
      <c r="L39" s="83"/>
      <c r="M39" s="47"/>
      <c r="N39" s="39"/>
    </row>
    <row r="40" spans="1:14" ht="19.95" customHeight="1" x14ac:dyDescent="0.3">
      <c r="A40" s="14">
        <v>29</v>
      </c>
      <c r="B40" s="58" t="str">
        <f>+'BOD ALTOS PARAMILLO'!$B$1</f>
        <v>BOD ALTOS PARAMILLO</v>
      </c>
      <c r="C40" s="67" t="str">
        <f>+'BOD ALTOS PARAMILLO'!$B$2</f>
        <v>CIRA PERDOMO</v>
      </c>
      <c r="D40" s="9">
        <f>+'BOD ALTOS PARAMILLO'!$C$3</f>
        <v>-2.000000000000135E-2</v>
      </c>
      <c r="E40" s="11">
        <f>+'BOD ALTOS PARAMILLO'!$D$3</f>
        <v>0</v>
      </c>
      <c r="F40" s="12">
        <f>+'BOD ALTOS PARAMILLO'!$E$3</f>
        <v>0</v>
      </c>
      <c r="G40" s="12">
        <f>+'BOD ALTOS PARAMILLO'!$F$3</f>
        <v>0</v>
      </c>
      <c r="H40" s="10">
        <f>+'BOD ALTOS PARAMILLO'!$G$3</f>
        <v>0</v>
      </c>
      <c r="I40" t="s">
        <v>122</v>
      </c>
      <c r="J40" s="80">
        <f>MAX('BOD ALTOS PARAMILLO'!A2:A1000)</f>
        <v>45958</v>
      </c>
      <c r="L40" s="83"/>
      <c r="M40" s="47"/>
    </row>
    <row r="41" spans="1:14" ht="19.95" customHeight="1" x14ac:dyDescent="0.3">
      <c r="A41" s="14">
        <v>30</v>
      </c>
      <c r="B41" s="58" t="str">
        <f>+'BOD MARBELYS ROA'!$B$1</f>
        <v>BOD MARBELYS ROA</v>
      </c>
      <c r="C41" s="67" t="str">
        <f>+'BOD MARBELYS ROA'!$B$2</f>
        <v>MARBELYS ROA</v>
      </c>
      <c r="D41" s="9">
        <f>+'BOD MARBELYS ROA'!$C$3</f>
        <v>1.0000000000001563E-2</v>
      </c>
      <c r="E41" s="11">
        <f>+'BOD MARBELYS ROA'!$D$3</f>
        <v>0</v>
      </c>
      <c r="F41" s="12">
        <f>+'BOD MARBELYS ROA'!$E$3</f>
        <v>0</v>
      </c>
      <c r="G41" s="12">
        <f>+'BOD MARBELYS ROA'!$F$3</f>
        <v>0</v>
      </c>
      <c r="H41" s="10">
        <f>+'BOD MARBELYS ROA'!$G$3</f>
        <v>0</v>
      </c>
      <c r="I41" t="s">
        <v>122</v>
      </c>
      <c r="J41" s="80">
        <f>MAX('BOD MARBELYS ROA'!A2:A1000)</f>
        <v>46056</v>
      </c>
      <c r="L41" s="83"/>
      <c r="M41" s="47"/>
    </row>
    <row r="42" spans="1:14" ht="19.95" customHeight="1" x14ac:dyDescent="0.3">
      <c r="A42" s="14">
        <v>31</v>
      </c>
      <c r="B42" s="58" t="str">
        <f>+'BOD SOLMAR PINTO'!$B$1</f>
        <v>BOD SOLMAR PINTO</v>
      </c>
      <c r="C42" s="67">
        <f>+'BOD SOLMAR PINTO'!$B$2</f>
        <v>0</v>
      </c>
      <c r="D42" s="9">
        <f>+'BOD SOLMAR PINTO'!$C$3</f>
        <v>211.19000000000005</v>
      </c>
      <c r="E42" s="11">
        <f>+'BOD SOLMAR PINTO'!$D$3</f>
        <v>1</v>
      </c>
      <c r="F42" s="12">
        <f>+'BOD SOLMAR PINTO'!$E$3</f>
        <v>0</v>
      </c>
      <c r="G42" s="12">
        <f>+'BOD SOLMAR PINTO'!$F$3</f>
        <v>0</v>
      </c>
      <c r="H42" s="10">
        <f>+'BOD SOLMAR PINTO'!$G$3</f>
        <v>0</v>
      </c>
      <c r="I42" t="s">
        <v>122</v>
      </c>
      <c r="J42" s="80">
        <f>MAX('BOD SOLMAR PINTO'!A2:A1000)</f>
        <v>46051</v>
      </c>
      <c r="L42" s="83"/>
      <c r="M42" s="47"/>
    </row>
    <row r="43" spans="1:14" ht="19.95" customHeight="1" x14ac:dyDescent="0.3">
      <c r="A43" s="14">
        <v>32</v>
      </c>
      <c r="B43" s="58" t="str">
        <f>+'BOD TOICO CLEIBER'!$B$1</f>
        <v>BOD TOICO CLEIBER</v>
      </c>
      <c r="C43" s="67" t="str">
        <f>+'BOD TOICO CLEIBER'!$B$2</f>
        <v>CLEIBER ANDRADE</v>
      </c>
      <c r="D43" s="9">
        <f>+'BOD TOICO CLEIBER'!$C$3</f>
        <v>3.5527136788005009E-14</v>
      </c>
      <c r="E43" s="11">
        <f>+'BOD TOICO CLEIBER'!$D$3</f>
        <v>0</v>
      </c>
      <c r="F43" s="12">
        <f>+'BOD TOICO CLEIBER'!$E$3</f>
        <v>0</v>
      </c>
      <c r="G43" s="12">
        <f>+'BOD TOICO CLEIBER'!$F$3</f>
        <v>0</v>
      </c>
      <c r="H43" s="10">
        <f>+'BOD TOICO CLEIBER'!$G$3</f>
        <v>0</v>
      </c>
      <c r="I43" t="s">
        <v>122</v>
      </c>
      <c r="J43" s="80">
        <f>MAX('BOD TOICO CLEIBER'!A2:A1000)</f>
        <v>46055</v>
      </c>
      <c r="L43" s="83"/>
      <c r="M43" s="47"/>
    </row>
    <row r="44" spans="1:14" ht="19.95" customHeight="1" x14ac:dyDescent="0.3">
      <c r="A44" s="14">
        <v>33</v>
      </c>
      <c r="B44" s="58" t="str">
        <f>+'BOD TOICO OSMAR'!$B$1</f>
        <v>BOD TOICO OSMAR</v>
      </c>
      <c r="C44" s="67" t="str">
        <f>+'BOD TOICO OSMAR'!$B$2</f>
        <v>OSMAR SUAREZ</v>
      </c>
      <c r="D44" s="9">
        <f>+'BOD TOICO OSMAR'!$C$3</f>
        <v>-5.7000000000016371E-2</v>
      </c>
      <c r="E44" s="11">
        <f>+'BOD TOICO OSMAR'!$D$3</f>
        <v>1</v>
      </c>
      <c r="F44" s="12">
        <f>+'BOD TOICO OSMAR'!$E$3</f>
        <v>0</v>
      </c>
      <c r="G44" s="12">
        <f>+'BOD TOICO OSMAR'!$F$3</f>
        <v>0</v>
      </c>
      <c r="H44" s="10">
        <f>+'BOD TOICO OSMAR'!$G$3</f>
        <v>0</v>
      </c>
      <c r="I44" t="s">
        <v>122</v>
      </c>
      <c r="J44" s="80">
        <f>MAX('BOD TOICO OSMAR'!A2:A1000)</f>
        <v>46043</v>
      </c>
      <c r="L44" s="83"/>
      <c r="M44" s="47"/>
    </row>
    <row r="45" spans="1:14" ht="19.95" customHeight="1" x14ac:dyDescent="0.3">
      <c r="A45" s="14">
        <v>34</v>
      </c>
      <c r="B45" s="58" t="str">
        <f>+'BODEGA DE ORO'!$B$1</f>
        <v>BODEGA DE ORO</v>
      </c>
      <c r="C45" s="67">
        <f>+'BODEGA DE ORO'!$B$2</f>
        <v>0</v>
      </c>
      <c r="D45" s="9">
        <f>+'BODEGA DE ORO'!$C$3</f>
        <v>240.94300000000004</v>
      </c>
      <c r="E45" s="11">
        <f>+'BODEGA DE ORO'!$D$3</f>
        <v>0</v>
      </c>
      <c r="F45" s="12">
        <f>+'BODEGA DE ORO'!$E$3</f>
        <v>0</v>
      </c>
      <c r="G45" s="12">
        <f>+'BODEGA DE ORO'!$F$3</f>
        <v>0</v>
      </c>
      <c r="H45" s="10">
        <f>+'BODEGA DE ORO'!$G$3</f>
        <v>0</v>
      </c>
      <c r="I45" t="s">
        <v>121</v>
      </c>
      <c r="J45" s="80">
        <f>MAX('BODEGA DE ORO'!A2:A1000)</f>
        <v>46051</v>
      </c>
      <c r="L45" s="83"/>
      <c r="M45" s="47"/>
    </row>
    <row r="46" spans="1:14" ht="19.95" customHeight="1" x14ac:dyDescent="0.3">
      <c r="A46" s="14">
        <v>35</v>
      </c>
      <c r="B46" s="58" t="str">
        <f>+'BODEGA EL ARBOLITO'!$B$1</f>
        <v>BODEGA EL ARBOLITO</v>
      </c>
      <c r="C46" s="67">
        <f>+'BODEGA EL ARBOLITO'!$B$2</f>
        <v>0</v>
      </c>
      <c r="D46" s="9">
        <f>+'BODEGA EL ARBOLITO'!$C$3</f>
        <v>96.430000000000064</v>
      </c>
      <c r="E46" s="11">
        <f>+'BODEGA EL ARBOLITO'!$D$3</f>
        <v>0</v>
      </c>
      <c r="F46" s="12">
        <f>+'BODEGA EL ARBOLITO'!$E$3</f>
        <v>0</v>
      </c>
      <c r="G46" s="12">
        <f>+'BODEGA EL ARBOLITO'!$F$3</f>
        <v>0</v>
      </c>
      <c r="H46" s="10">
        <f>+'BODEGA EL ARBOLITO'!$G$3</f>
        <v>0</v>
      </c>
      <c r="I46" t="s">
        <v>122</v>
      </c>
      <c r="J46" s="80">
        <f>MAX('BODEGA EL ARBOLITO'!A2:A1000)</f>
        <v>46045</v>
      </c>
      <c r="L46" s="83"/>
      <c r="M46" s="47"/>
    </row>
    <row r="47" spans="1:14" ht="19.95" customHeight="1" x14ac:dyDescent="0.3">
      <c r="A47" s="14">
        <v>36</v>
      </c>
      <c r="B47" s="58" t="str">
        <f>+'BODEGA EL GATO'!$B$1</f>
        <v>BODEGA EL GATO</v>
      </c>
      <c r="C47" s="67" t="str">
        <f>+'BODEGA EL GATO'!$B$2</f>
        <v>YOLYMAR DELGADO</v>
      </c>
      <c r="D47" s="9">
        <f>+'BODEGA EL GATO'!$C$3</f>
        <v>13.419999999999995</v>
      </c>
      <c r="E47" s="11">
        <f>+'BODEGA EL GATO'!$D$3</f>
        <v>0</v>
      </c>
      <c r="F47" s="12">
        <f>+'BODEGA EL GATO'!$E$3</f>
        <v>0</v>
      </c>
      <c r="G47" s="12">
        <f>+'BODEGA EL GATO'!$F$3</f>
        <v>0</v>
      </c>
      <c r="H47" s="10">
        <f>+'BODEGA EL GATO'!$G$3</f>
        <v>0</v>
      </c>
      <c r="I47" t="s">
        <v>122</v>
      </c>
      <c r="J47" s="80">
        <f>MAX('BODEGA EL GATO'!A2:A1000)</f>
        <v>46044</v>
      </c>
      <c r="L47" s="83"/>
      <c r="M47" s="47"/>
    </row>
    <row r="48" spans="1:14" ht="19.95" customHeight="1" x14ac:dyDescent="0.3">
      <c r="A48" s="14">
        <v>37</v>
      </c>
      <c r="B48" s="58" t="str">
        <f>+'BODEGA EL SOL'!$B$1</f>
        <v>BODEGA EL SOL</v>
      </c>
      <c r="C48" s="67" t="str">
        <f>+'BODEGA EL SOL'!$B$2</f>
        <v>ROSA VALERO</v>
      </c>
      <c r="D48" s="9">
        <f>+'BODEGA EL SOL'!$C$3</f>
        <v>29.520000000000017</v>
      </c>
      <c r="E48" s="11">
        <f>+'BODEGA EL SOL'!$D$3</f>
        <v>0</v>
      </c>
      <c r="F48" s="12">
        <f>+'BODEGA EL SOL'!$E$3</f>
        <v>0</v>
      </c>
      <c r="G48" s="12">
        <f>+'BODEGA EL SOL'!$F$3</f>
        <v>0</v>
      </c>
      <c r="H48" s="10">
        <f>+'BODEGA EL SOL'!$G$3</f>
        <v>0</v>
      </c>
      <c r="I48" t="s">
        <v>122</v>
      </c>
      <c r="J48" s="80">
        <f>MAX('BODEGA EL SOL'!A2:A1000)</f>
        <v>46049</v>
      </c>
      <c r="L48" s="83"/>
      <c r="M48" s="47"/>
    </row>
    <row r="49" spans="1:13" ht="19.95" customHeight="1" x14ac:dyDescent="0.3">
      <c r="A49" s="14">
        <v>38</v>
      </c>
      <c r="B49" s="58" t="str">
        <f>+'BODEGA EXPRESS'!$B$1</f>
        <v>BODEGA EXPRESS</v>
      </c>
      <c r="C49" s="67" t="str">
        <f>+'BODEGA EXPRESS'!$B$2</f>
        <v>GERMAN CALDERON</v>
      </c>
      <c r="D49" s="9">
        <f>+'BODEGA EXPRESS'!$C$3</f>
        <v>441.91999999999973</v>
      </c>
      <c r="E49" s="11">
        <f>+'BODEGA EXPRESS'!$D$3</f>
        <v>0</v>
      </c>
      <c r="F49" s="12">
        <f>+'BODEGA EXPRESS'!$E$3</f>
        <v>0</v>
      </c>
      <c r="G49" s="12">
        <f>+'BODEGA EXPRESS'!$F$3</f>
        <v>-1</v>
      </c>
      <c r="H49" s="10">
        <f>+'BODEGA EXPRESS'!$G$3</f>
        <v>0</v>
      </c>
      <c r="I49" t="s">
        <v>121</v>
      </c>
      <c r="J49" s="80">
        <f>MAX('BODEGA EXPRESS'!A2:A1000)</f>
        <v>46048</v>
      </c>
      <c r="L49" s="83"/>
      <c r="M49" s="47"/>
    </row>
    <row r="50" spans="1:13" ht="19.95" customHeight="1" x14ac:dyDescent="0.3">
      <c r="A50" s="14">
        <v>39</v>
      </c>
      <c r="B50" s="58" t="str">
        <f>+'BODEGA DE CECI'!$B$1</f>
        <v>BODEGA DE CECI</v>
      </c>
      <c r="C50" s="67">
        <f>+'BODEGA DE CECI'!$B$2</f>
        <v>0</v>
      </c>
      <c r="D50" s="9">
        <f>+'BODEGA DE CECI'!$C$3</f>
        <v>0</v>
      </c>
      <c r="E50" s="11">
        <f>+'BODEGA DE CECI'!$D$3</f>
        <v>0</v>
      </c>
      <c r="F50" s="12">
        <f>+'BODEGA DE CECI'!$E$3</f>
        <v>0</v>
      </c>
      <c r="G50" s="12">
        <f>+'BODEGA DE CECI'!$F$3</f>
        <v>0</v>
      </c>
      <c r="H50" s="10">
        <f>+'BODEGA DE CECI'!$G$3</f>
        <v>0</v>
      </c>
      <c r="I50" t="s">
        <v>121</v>
      </c>
      <c r="J50" s="80">
        <f>MAX('BODEGA DE CECI'!A2:A1000)</f>
        <v>45855</v>
      </c>
      <c r="L50" s="83"/>
      <c r="M50" s="47"/>
    </row>
    <row r="51" spans="1:13" ht="19.95" customHeight="1" x14ac:dyDescent="0.3">
      <c r="A51" s="14">
        <v>40</v>
      </c>
      <c r="B51" s="58" t="str">
        <f>+'BODEGA DONITA'!$B$1</f>
        <v>BODEGA DONITA</v>
      </c>
      <c r="C51" s="67" t="str">
        <f>+'BODEGA DONITA'!$B$2</f>
        <v>YUDY NINO</v>
      </c>
      <c r="D51" s="9">
        <f>+'BODEGA DONITA'!$C$3</f>
        <v>-4.9999999999997158E-2</v>
      </c>
      <c r="E51" s="11">
        <f>+'BODEGA DONITA'!$D$3</f>
        <v>0</v>
      </c>
      <c r="F51" s="12">
        <f>+'BODEGA DONITA'!$E$3</f>
        <v>0</v>
      </c>
      <c r="G51" s="12">
        <f>+'BODEGA DONITA'!$F$3</f>
        <v>0</v>
      </c>
      <c r="H51" s="10">
        <f>+'BODEGA DONITA'!$G$3</f>
        <v>0</v>
      </c>
      <c r="I51" t="s">
        <v>122</v>
      </c>
      <c r="J51" s="80">
        <f>MAX('BODEGA DONITA'!A2:A1000)</f>
        <v>46013</v>
      </c>
      <c r="M51" s="47"/>
    </row>
    <row r="52" spans="1:13" ht="19.95" customHeight="1" x14ac:dyDescent="0.3">
      <c r="A52" s="14">
        <v>41</v>
      </c>
      <c r="B52" s="58" t="str">
        <f>+'BODEGA EL GUARO'!$B$1</f>
        <v>BODEGA EL GUARO</v>
      </c>
      <c r="C52" s="67" t="str">
        <f>+'BODEGA EL GUARO'!$B$2</f>
        <v>SORANYL VILLAMIZAR</v>
      </c>
      <c r="D52" s="9">
        <f>+'BODEGA EL GUARO'!$C$3</f>
        <v>-0.40000000000000568</v>
      </c>
      <c r="E52" s="11">
        <f>+'BODEGA EL GUARO'!$D$3</f>
        <v>0</v>
      </c>
      <c r="F52" s="12">
        <f>+'BODEGA EL GUARO'!$E$3</f>
        <v>0</v>
      </c>
      <c r="G52" s="12">
        <f>+'BODEGA EL GUARO'!$F$3</f>
        <v>0</v>
      </c>
      <c r="H52" s="10">
        <f>+'BODEGA EL GUARO'!$G$3</f>
        <v>0</v>
      </c>
      <c r="I52" t="s">
        <v>122</v>
      </c>
      <c r="J52" s="80">
        <f>MAX('BODEGA EL GUARO'!A2:A1000)</f>
        <v>45999</v>
      </c>
      <c r="M52" s="47"/>
    </row>
    <row r="53" spans="1:13" ht="19.95" customHeight="1" x14ac:dyDescent="0.3">
      <c r="A53" s="14">
        <v>42</v>
      </c>
      <c r="B53" s="58" t="str">
        <f>+'BODEGA ESCALANTE'!$B$1</f>
        <v>BODEGA ESCALANTE</v>
      </c>
      <c r="C53" s="67" t="str">
        <f>+'BODEGA ESCALANTE'!$B$2</f>
        <v>MARIA BAUTISTA</v>
      </c>
      <c r="D53" s="9">
        <f>+'BODEGA ESCALANTE'!$C$3</f>
        <v>-1.2000000000000002</v>
      </c>
      <c r="E53" s="11">
        <f>+'BODEGA ESCALANTE'!$D$3</f>
        <v>0</v>
      </c>
      <c r="F53" s="12">
        <f>+'BODEGA ESCALANTE'!$E$3</f>
        <v>0</v>
      </c>
      <c r="G53" s="12">
        <f>+'BODEGA ESCALANTE'!$F$3</f>
        <v>0</v>
      </c>
      <c r="H53" s="10">
        <f>+'BODEGA ESCALANTE'!$G$3</f>
        <v>0</v>
      </c>
      <c r="I53" t="s">
        <v>122</v>
      </c>
      <c r="J53" s="80">
        <f>MAX('BODEGA ESCALANTE'!A2:A1000)</f>
        <v>45996</v>
      </c>
      <c r="M53" s="47"/>
    </row>
    <row r="54" spans="1:13" ht="19.95" customHeight="1" x14ac:dyDescent="0.3">
      <c r="A54" s="14">
        <v>43</v>
      </c>
      <c r="B54" s="58" t="str">
        <f>+'BODEGA LOS CHACAROS'!$B$1</f>
        <v>BODEGA LOS CHACAROS</v>
      </c>
      <c r="C54" s="67" t="str">
        <f>+'BODEGA LOS CHACAROS'!$B$2</f>
        <v>YANET</v>
      </c>
      <c r="D54" s="9">
        <f>+'BODEGA LOS CHACAROS'!$C$3</f>
        <v>0</v>
      </c>
      <c r="E54" s="11">
        <f>+'BODEGA LOS CHACAROS'!$D$3</f>
        <v>2</v>
      </c>
      <c r="F54" s="12">
        <f>+'BODEGA LOS CHACAROS'!$E$3</f>
        <v>0</v>
      </c>
      <c r="G54" s="12">
        <f>+'BODEGA LOS CHACAROS'!$F$3</f>
        <v>0</v>
      </c>
      <c r="H54" s="10">
        <f>+'BODEGA LOS CHACAROS'!$G$3</f>
        <v>0</v>
      </c>
      <c r="I54" t="s">
        <v>122</v>
      </c>
      <c r="J54" s="80">
        <f>MAX('BODEGA LOS CHACAROS'!A2:A1000)</f>
        <v>46055</v>
      </c>
      <c r="M54" s="47"/>
    </row>
    <row r="55" spans="1:13" ht="19.95" customHeight="1" x14ac:dyDescent="0.3">
      <c r="A55" s="14">
        <v>44</v>
      </c>
      <c r="B55" s="58" t="str">
        <f>+'BODEGA MARIA'!$B$1</f>
        <v>BODEGA MARIA</v>
      </c>
      <c r="C55" s="67" t="str">
        <f>+'BODEGA MARIA'!$B$2</f>
        <v>JANCITO BELLO</v>
      </c>
      <c r="D55" s="9">
        <f>+'BODEGA MARIA'!$C$3</f>
        <v>0</v>
      </c>
      <c r="E55" s="11">
        <f>+'BODEGA MARIA'!$D$3</f>
        <v>0</v>
      </c>
      <c r="F55" s="12">
        <f>+'BODEGA MARIA'!$E$3</f>
        <v>0</v>
      </c>
      <c r="G55" s="12">
        <f>+'BODEGA MARIA'!$F$3</f>
        <v>0</v>
      </c>
      <c r="H55" s="10">
        <f>+'BODEGA MARIA'!$G$3</f>
        <v>0</v>
      </c>
      <c r="I55" t="s">
        <v>122</v>
      </c>
      <c r="J55" s="80">
        <f>MAX('BODEGA MARIA'!A2:A1000)</f>
        <v>45917</v>
      </c>
      <c r="M55" s="47"/>
    </row>
    <row r="56" spans="1:13" ht="19.95" customHeight="1" x14ac:dyDescent="0.3">
      <c r="A56" s="14">
        <v>45</v>
      </c>
      <c r="B56" s="58" t="str">
        <f>+'BODEGA MARITZA'!$B$1</f>
        <v>BODEGA MARITZA</v>
      </c>
      <c r="C56" s="67" t="str">
        <f>+'BODEGA MARITZA'!$B$2</f>
        <v>ROJAS</v>
      </c>
      <c r="D56" s="9">
        <f>+'BODEGA MARITZA'!$C$3</f>
        <v>166.64000000000004</v>
      </c>
      <c r="E56" s="11">
        <f>+'BODEGA MARITZA'!$D$3</f>
        <v>0</v>
      </c>
      <c r="F56" s="12">
        <f>+'BODEGA MARITZA'!$E$3</f>
        <v>0</v>
      </c>
      <c r="G56" s="12">
        <f>+'BODEGA MARITZA'!$F$3</f>
        <v>0</v>
      </c>
      <c r="H56" s="10">
        <f>+'BODEGA MARITZA'!$G$3</f>
        <v>0</v>
      </c>
      <c r="I56" t="s">
        <v>121</v>
      </c>
      <c r="J56" s="80">
        <f>MAX('BODEGA MARITZA'!A2:A1000)</f>
        <v>46056</v>
      </c>
      <c r="M56" s="47"/>
    </row>
    <row r="57" spans="1:13" ht="19.95" customHeight="1" x14ac:dyDescent="0.3">
      <c r="A57" s="14">
        <v>46</v>
      </c>
      <c r="B57" s="58" t="str">
        <f>+'BODEGA MILAGRO'!$B$1</f>
        <v>BODEGA MILAGRO</v>
      </c>
      <c r="C57" s="67" t="str">
        <f>+'BODEGA MILAGRO'!$B$2</f>
        <v>MILAGRO BARRETO</v>
      </c>
      <c r="D57" s="9">
        <f>+'BODEGA MILAGRO'!$C$3</f>
        <v>9.0000000000006963E-2</v>
      </c>
      <c r="E57" s="11">
        <f>+'BODEGA MILAGRO'!$D$3</f>
        <v>0</v>
      </c>
      <c r="F57" s="12">
        <f>+'BODEGA MILAGRO'!$E$3</f>
        <v>0</v>
      </c>
      <c r="G57" s="12">
        <f>+'BODEGA MILAGRO'!$F$3</f>
        <v>0</v>
      </c>
      <c r="H57" s="10">
        <f>+'BODEGA MILAGRO'!$G$3</f>
        <v>0</v>
      </c>
      <c r="I57" t="s">
        <v>122</v>
      </c>
      <c r="J57" s="80">
        <f>MAX('BODEGA MILAGRO'!A2:A1000)</f>
        <v>46055</v>
      </c>
      <c r="M57" s="47"/>
    </row>
    <row r="58" spans="1:13" ht="19.95" customHeight="1" x14ac:dyDescent="0.3">
      <c r="A58" s="14">
        <v>47</v>
      </c>
      <c r="B58" s="58" t="str">
        <f>+'BODEGA MILAGROS'!$B$1</f>
        <v>BODEGA MILAGROS</v>
      </c>
      <c r="C58" s="67" t="str">
        <f>+'BODEGA MILAGROS'!$B$2</f>
        <v>MILAGROS ZAMBRANO</v>
      </c>
      <c r="D58" s="9">
        <f>+'BODEGA MILAGROS'!$C$3</f>
        <v>0.96000000000000085</v>
      </c>
      <c r="E58" s="11">
        <f>+'BODEGA MILAGROS'!$D$3</f>
        <v>0</v>
      </c>
      <c r="F58" s="12">
        <f>+'BODEGA MILAGROS'!$E$3</f>
        <v>0</v>
      </c>
      <c r="G58" s="12">
        <f>+'BODEGA MILAGROS'!$F$3</f>
        <v>0</v>
      </c>
      <c r="H58" s="10">
        <f>+'BODEGA MILAGROS'!$G$3</f>
        <v>0</v>
      </c>
      <c r="I58" t="s">
        <v>121</v>
      </c>
      <c r="J58" s="80">
        <f>MAX('BODEGA MILAGROS'!A2:A1000)</f>
        <v>46013</v>
      </c>
    </row>
    <row r="59" spans="1:13" ht="19.95" customHeight="1" x14ac:dyDescent="0.3">
      <c r="A59" s="14">
        <v>48</v>
      </c>
      <c r="B59" s="58" t="str">
        <f>+'BODEGA NANCYTA'!$B$1</f>
        <v>BODEGA NANCYTA</v>
      </c>
      <c r="C59" s="67" t="str">
        <f>+'BODEGA NANCYTA'!$B$2</f>
        <v>NANCY MONSALVE</v>
      </c>
      <c r="D59" s="9">
        <f>+'BODEGA NANCYTA'!$C$3</f>
        <v>63.67000000000003</v>
      </c>
      <c r="E59" s="11">
        <f>+'BODEGA NANCYTA'!$D$3</f>
        <v>0</v>
      </c>
      <c r="F59" s="12">
        <f>+'BODEGA NANCYTA'!$E$3</f>
        <v>0</v>
      </c>
      <c r="G59" s="12">
        <f>+'BODEGA NANCYTA'!$F$3</f>
        <v>0</v>
      </c>
      <c r="H59" s="10">
        <f>+'BODEGA NANCYTA'!$G$3</f>
        <v>0</v>
      </c>
      <c r="I59" t="s">
        <v>122</v>
      </c>
      <c r="J59" s="80">
        <f>MAX('BODEGA NANCYTA'!A2:A1000)</f>
        <v>46056</v>
      </c>
    </row>
    <row r="60" spans="1:13" ht="19.95" customHeight="1" x14ac:dyDescent="0.3">
      <c r="A60" s="14">
        <v>49</v>
      </c>
      <c r="B60" s="58" t="str">
        <f>+'BODEGA NAZARENO'!$B$1</f>
        <v>BODEGA NAZARENO</v>
      </c>
      <c r="C60" s="58" t="str">
        <f>+'BODEGA NAZARENO'!$B$2</f>
        <v>CAROLINA SANCHEZ</v>
      </c>
      <c r="D60" s="9">
        <f>+'BODEGA NAZARENO'!$C$3</f>
        <v>305.46999999999997</v>
      </c>
      <c r="E60" s="11">
        <f>+'BODEGA NAZARENO'!$D$3</f>
        <v>0</v>
      </c>
      <c r="F60" s="12">
        <f>+'BODEGA NAZARENO'!$E$3</f>
        <v>0</v>
      </c>
      <c r="G60" s="12">
        <f>+'BODEGA NAZARENO'!$F$3</f>
        <v>0</v>
      </c>
      <c r="H60" s="10">
        <f>+'BODEGA NAZARENO'!$G$3</f>
        <v>0</v>
      </c>
      <c r="I60" t="s">
        <v>122</v>
      </c>
      <c r="J60" s="80">
        <f>MAX('BODEGA NAZARENO'!A2:A1000)</f>
        <v>46050</v>
      </c>
    </row>
    <row r="61" spans="1:13" ht="19.95" customHeight="1" x14ac:dyDescent="0.3">
      <c r="A61" s="14">
        <v>50</v>
      </c>
      <c r="B61" s="58" t="str">
        <f>+'BODEGA Y PAPELERIA REY'!$B$1</f>
        <v>BODEGA Y PAPELERIA REY</v>
      </c>
      <c r="C61" s="67" t="str">
        <f>+'BODEGA Y PAPELERIA REY'!$B$2</f>
        <v>EUDES REY</v>
      </c>
      <c r="D61" s="9">
        <f>+'BODEGA Y PAPELERIA REY'!$C$3</f>
        <v>230.94499999999988</v>
      </c>
      <c r="E61" s="11">
        <f>+'BODEGA Y PAPELERIA REY'!$D$3</f>
        <v>0</v>
      </c>
      <c r="F61" s="12">
        <f>+'BODEGA Y PAPELERIA REY'!$E$3</f>
        <v>0</v>
      </c>
      <c r="G61" s="12">
        <f>+'BODEGA Y PAPELERIA REY'!$F$3</f>
        <v>0</v>
      </c>
      <c r="H61" s="10">
        <f>+'BODEGA Y PAPELERIA REY'!$G$3</f>
        <v>0</v>
      </c>
      <c r="I61" t="s">
        <v>122</v>
      </c>
      <c r="J61" s="80">
        <f>MAX('BODEGA Y PAPELERIA REY'!A2:A1000)</f>
        <v>46052</v>
      </c>
    </row>
    <row r="62" spans="1:13" ht="17.399999999999999" customHeight="1" x14ac:dyDescent="0.3">
      <c r="A62" s="14">
        <v>51</v>
      </c>
      <c r="B62" s="58" t="str">
        <f>+'BODEGON AGUA LINDA'!$B$1</f>
        <v>BODEGON AGUA LINDA</v>
      </c>
      <c r="C62" s="67">
        <f>+'BODEGON AGUA LINDA'!$B$2</f>
        <v>0</v>
      </c>
      <c r="D62" s="9">
        <f>+'BODEGON AGUA LINDA'!$C$3</f>
        <v>171.7</v>
      </c>
      <c r="E62" s="11">
        <f>+'BODEGON AGUA LINDA'!$D$3</f>
        <v>1</v>
      </c>
      <c r="F62" s="12">
        <f>+'BODEGON AGUA LINDA'!$E$3</f>
        <v>0</v>
      </c>
      <c r="G62" s="12">
        <f>+'BODEGON AGUA LINDA'!$F$3</f>
        <v>0</v>
      </c>
      <c r="H62" s="10">
        <f>+'BODEGON AGUA LINDA'!$G$3</f>
        <v>0</v>
      </c>
      <c r="I62" t="s">
        <v>121</v>
      </c>
      <c r="J62" s="80">
        <f>MAX('BODEGON AGUA LINDA'!A2:A1000)</f>
        <v>46045</v>
      </c>
    </row>
    <row r="63" spans="1:13" ht="19.8" customHeight="1" x14ac:dyDescent="0.3">
      <c r="A63" s="14">
        <v>52</v>
      </c>
      <c r="B63" s="58" t="str">
        <f>+'BODEGON ANDREA''S'!$B$1</f>
        <v>BODEGON ANDREA'S</v>
      </c>
      <c r="C63" s="67">
        <f>+'BODEGON ANDREA''S'!$B$2</f>
        <v>0</v>
      </c>
      <c r="D63" s="9">
        <f>+'BODEGON ANDREA''S'!$C$3</f>
        <v>0</v>
      </c>
      <c r="E63" s="11">
        <f>+'BODEGON ANDREA''S'!$D$3</f>
        <v>0</v>
      </c>
      <c r="F63" s="12">
        <f>+'BODEGON ANDREA''S'!$E$3</f>
        <v>0</v>
      </c>
      <c r="G63" s="12">
        <f>+'BODEGON ANDREA''S'!$F$3</f>
        <v>0</v>
      </c>
      <c r="H63" s="10">
        <f>+'BODEGON ANDREA''S'!$G$3</f>
        <v>0</v>
      </c>
      <c r="I63" t="s">
        <v>121</v>
      </c>
      <c r="J63" s="80">
        <f>MAX('BODEGON ANDREA''S'!A2:A1000)</f>
        <v>46042</v>
      </c>
    </row>
    <row r="64" spans="1:13" ht="19.8" customHeight="1" x14ac:dyDescent="0.3">
      <c r="A64" s="14">
        <v>53</v>
      </c>
      <c r="B64" s="119" t="str">
        <f>+'BODEGON DE ELIDA'!$B$1</f>
        <v>BODEGON DE ELIDA</v>
      </c>
      <c r="C64" s="67">
        <f>+'BODEGON DE ELIDA'!$B$2</f>
        <v>0</v>
      </c>
      <c r="D64" s="9">
        <f>+'BODEGON DE ELIDA'!$C$3</f>
        <v>41.729999999999919</v>
      </c>
      <c r="E64" s="11">
        <f>+'BODEGON DE ELIDA'!$D$3</f>
        <v>1</v>
      </c>
      <c r="F64" s="12">
        <f>+'BODEGON DE ELIDA'!$E$3</f>
        <v>0</v>
      </c>
      <c r="G64" s="12">
        <f>+'BODEGON DE ELIDA'!$F$3</f>
        <v>0</v>
      </c>
      <c r="H64" s="10">
        <f>+'BODEGON DE ELIDA'!$G$3</f>
        <v>0</v>
      </c>
      <c r="I64" t="s">
        <v>121</v>
      </c>
    </row>
    <row r="65" spans="1:10" ht="19.95" customHeight="1" x14ac:dyDescent="0.3">
      <c r="A65" s="14">
        <v>54</v>
      </c>
      <c r="B65" s="58" t="str">
        <f>+'BODEGON DE OLGA'!$B$1</f>
        <v>BODEGON DE OLGA</v>
      </c>
      <c r="C65" s="67" t="str">
        <f>+'BODEGON DE OLGA'!$B$2</f>
        <v>ANTONIO DELGADO</v>
      </c>
      <c r="D65" s="9">
        <f>+'BODEGON DE OLGA'!$C$3</f>
        <v>344.35999999999933</v>
      </c>
      <c r="E65" s="11">
        <f>+'BODEGON DE OLGA'!$D$3</f>
        <v>6</v>
      </c>
      <c r="F65" s="12">
        <f>+'BODEGON DE OLGA'!$E$3</f>
        <v>0</v>
      </c>
      <c r="G65" s="12">
        <f>+'BODEGON DE OLGA'!$F$3</f>
        <v>0</v>
      </c>
      <c r="H65" s="10">
        <f>+'BODEGON DE OLGA'!$G$3</f>
        <v>0</v>
      </c>
      <c r="I65" t="s">
        <v>332</v>
      </c>
      <c r="J65" s="80">
        <f>MAX('BODEGON DE OLGA'!A2:A1000)</f>
        <v>46056</v>
      </c>
    </row>
    <row r="66" spans="1:10" ht="19.95" customHeight="1" x14ac:dyDescent="0.3">
      <c r="A66" s="14">
        <v>55</v>
      </c>
      <c r="B66" s="58" t="str">
        <f>+'BODEGON D KSA'!$B$1</f>
        <v>BODEGON D KSA</v>
      </c>
      <c r="C66" s="67" t="str">
        <f>+'BODEGON D KSA'!$B$2</f>
        <v>FERNANDO HERNANDEZ</v>
      </c>
      <c r="D66" s="9">
        <f>+'BODEGON D KSA'!$C$3</f>
        <v>78.289999999999992</v>
      </c>
      <c r="E66" s="11">
        <f>+'BODEGON D KSA'!$D$3</f>
        <v>0</v>
      </c>
      <c r="F66" s="12">
        <f>+'BODEGON D KSA'!$E$3</f>
        <v>0</v>
      </c>
      <c r="G66" s="12">
        <f>+'BODEGON D KSA'!$F$3</f>
        <v>0</v>
      </c>
      <c r="H66" s="10">
        <f>+'BODEGON D KSA'!$G$3</f>
        <v>0</v>
      </c>
      <c r="I66" t="s">
        <v>122</v>
      </c>
      <c r="J66" s="80">
        <f>MAX('BODEGON D KSA'!A2:A1000)</f>
        <v>46056</v>
      </c>
    </row>
    <row r="67" spans="1:10" ht="19.95" customHeight="1" x14ac:dyDescent="0.3">
      <c r="A67" s="14">
        <v>56</v>
      </c>
      <c r="B67" s="58" t="str">
        <f>+'BODEGON D Y JD'!$B$1</f>
        <v>BODEGON D Y JD</v>
      </c>
      <c r="C67" s="67" t="str">
        <f>+'BODEGON D Y JD'!$B$2</f>
        <v>GLORIA PERNIA</v>
      </c>
      <c r="D67" s="9">
        <f>+'BODEGON D Y JD'!$C$3</f>
        <v>0</v>
      </c>
      <c r="E67" s="11">
        <f>+'BODEGON D Y JD'!$D$3</f>
        <v>0</v>
      </c>
      <c r="F67" s="12">
        <f>+'BODEGON D Y JD'!$E$3</f>
        <v>0</v>
      </c>
      <c r="G67" s="12">
        <f>+'BODEGON D Y JD'!$F$3</f>
        <v>0</v>
      </c>
      <c r="H67" s="10">
        <f>+'BODEGON D Y JD'!$G$3</f>
        <v>0</v>
      </c>
      <c r="I67" t="s">
        <v>122</v>
      </c>
      <c r="J67" s="80">
        <f>MAX('BODEGON D Y JD'!A3:A1001)</f>
        <v>46055</v>
      </c>
    </row>
    <row r="68" spans="1:10" ht="19.95" customHeight="1" x14ac:dyDescent="0.3">
      <c r="A68" s="14">
        <v>57</v>
      </c>
      <c r="B68" s="58" t="str">
        <f>+'BODEGON EL COMPADRE'!$B$1</f>
        <v>BODEGON EL COMPADRE</v>
      </c>
      <c r="C68" s="67">
        <f>+'BODEGON EL COMPADRE'!$B$2</f>
        <v>0</v>
      </c>
      <c r="D68" s="9">
        <f>+'BODEGON EL COMPADRE'!$C$3</f>
        <v>147.59</v>
      </c>
      <c r="E68" s="11">
        <f>+'BODEGON EL COMPADRE'!$D$3</f>
        <v>0</v>
      </c>
      <c r="F68" s="12">
        <f>+'BODEGON EL COMPADRE'!$E$3</f>
        <v>0</v>
      </c>
      <c r="G68" s="12">
        <f>+'BODEGON EL COMPADRE'!$F$3</f>
        <v>0</v>
      </c>
      <c r="H68" s="10">
        <f>+'BODEGON EL COMPADRE'!$G$3</f>
        <v>0</v>
      </c>
      <c r="I68" t="s">
        <v>126</v>
      </c>
      <c r="J68" s="80">
        <f>MAX('BODEGON EL COMPADRE'!A2:A1000)</f>
        <v>46044</v>
      </c>
    </row>
    <row r="69" spans="1:10" ht="19.95" customHeight="1" x14ac:dyDescent="0.3">
      <c r="A69" s="14">
        <v>58</v>
      </c>
      <c r="B69" s="58" t="str">
        <f>+'BODEGON ENDER GUERRERO'!$B$1</f>
        <v xml:space="preserve">BODEGON ENDER </v>
      </c>
      <c r="C69" s="67" t="str">
        <f>+'BODEGON ENDER GUERRERO'!$B$2</f>
        <v>ENDER GUERRERO</v>
      </c>
      <c r="D69" s="9">
        <f>+'BODEGON ENDER GUERRERO'!$C$3</f>
        <v>1521.3400000000001</v>
      </c>
      <c r="E69" s="11">
        <f>+'BODEGON ENDER GUERRERO'!$D$3</f>
        <v>0</v>
      </c>
      <c r="F69" s="12">
        <f>+'BODEGON ENDER GUERRERO'!$E$3</f>
        <v>0</v>
      </c>
      <c r="G69" s="12">
        <f>+'BODEGON ENDER GUERRERO'!$F$3</f>
        <v>0</v>
      </c>
      <c r="H69" s="10">
        <f>+'BODEGON ENDER GUERRERO'!$G$3</f>
        <v>0</v>
      </c>
      <c r="I69" t="s">
        <v>122</v>
      </c>
      <c r="J69" s="80">
        <f>MAX('BODEGON ENDER GUERRERO'!A2:A1000)</f>
        <v>46052</v>
      </c>
    </row>
    <row r="70" spans="1:10" ht="19.95" customHeight="1" x14ac:dyDescent="0.3">
      <c r="A70" s="14">
        <v>59</v>
      </c>
      <c r="B70" s="58" t="str">
        <f>+'BODEGON ENZO'!$B$1</f>
        <v>BODEGON ENZO</v>
      </c>
      <c r="C70" s="67">
        <f>+'BODEGON ENZO'!$B$2</f>
        <v>0</v>
      </c>
      <c r="D70" s="9">
        <f>+'BODEGON ENZO'!$C$3</f>
        <v>120.57999999999997</v>
      </c>
      <c r="E70" s="11">
        <f>+'BODEGON ENZO'!$D$3</f>
        <v>0</v>
      </c>
      <c r="F70" s="12">
        <f>+'BODEGON ENZO'!$E$3</f>
        <v>0</v>
      </c>
      <c r="G70" s="12">
        <f>+'BODEGON ENZO'!$F$3</f>
        <v>0</v>
      </c>
      <c r="H70" s="10">
        <f>+'BODEGON ENZO'!$G$3</f>
        <v>0</v>
      </c>
      <c r="I70" t="s">
        <v>122</v>
      </c>
      <c r="J70" s="80">
        <f>MAX('BODEGON ENZO'!A2:A1000)</f>
        <v>46056</v>
      </c>
    </row>
    <row r="71" spans="1:10" ht="19.95" customHeight="1" x14ac:dyDescent="0.3">
      <c r="A71" s="14">
        <v>60</v>
      </c>
      <c r="B71" s="58" t="str">
        <f>+'BODEGON EXPRESS'!$B$1</f>
        <v>BODEGON EXPRESS</v>
      </c>
      <c r="C71" s="67" t="str">
        <f>+'BODEGON EXPRESS'!$B$2</f>
        <v>NORLAIDA</v>
      </c>
      <c r="D71" s="9">
        <f>+'BODEGON EXPRESS'!$C$3</f>
        <v>76.964000000000041</v>
      </c>
      <c r="E71" s="11">
        <f>+'BODEGON EXPRESS'!$D$3</f>
        <v>0</v>
      </c>
      <c r="F71" s="12">
        <f>+'BODEGON EXPRESS'!$E$3</f>
        <v>0</v>
      </c>
      <c r="G71" s="12">
        <f>+'BODEGON EXPRESS'!$F$3</f>
        <v>0</v>
      </c>
      <c r="H71" s="10">
        <f>+'BODEGON EXPRESS'!$G$3</f>
        <v>0</v>
      </c>
      <c r="I71" t="s">
        <v>121</v>
      </c>
      <c r="J71" s="80">
        <f>MAX('BODEGON EXPRESS'!A2:A1000)</f>
        <v>46056</v>
      </c>
    </row>
    <row r="72" spans="1:10" ht="19.95" customHeight="1" x14ac:dyDescent="0.3">
      <c r="A72" s="14">
        <v>61</v>
      </c>
      <c r="B72" s="58" t="str">
        <f>+'BODEGON EXPRESS LA ESMERALDA'!$B$1</f>
        <v>BODEGON EXPRESS LA ESMERALDA</v>
      </c>
      <c r="C72" s="67">
        <f>+'BODEGON EXPRESS LA ESMERALDA'!$B$2</f>
        <v>0</v>
      </c>
      <c r="D72" s="9">
        <f>+'BODEGON EXPRESS LA ESMERALDA'!$C$3</f>
        <v>377.90999999999997</v>
      </c>
      <c r="E72" s="11">
        <f>+'BODEGON EXPRESS LA ESMERALDA'!$D$3</f>
        <v>1</v>
      </c>
      <c r="F72" s="12">
        <f>+'BODEGON EXPRESS LA ESMERALDA'!$E$3</f>
        <v>0</v>
      </c>
      <c r="G72" s="12">
        <f>+'BODEGON EXPRESS LA ESMERALDA'!$F$3</f>
        <v>0</v>
      </c>
      <c r="H72" s="10">
        <f>+'BODEGON EXPRESS LA ESMERALDA'!$G$3</f>
        <v>0</v>
      </c>
      <c r="I72" t="s">
        <v>122</v>
      </c>
      <c r="J72" s="80">
        <f>MAX('BODEGON EXPRESS LA ESMERALDA'!A2:A1000)</f>
        <v>46050</v>
      </c>
    </row>
    <row r="73" spans="1:10" ht="19.95" customHeight="1" x14ac:dyDescent="0.3">
      <c r="A73" s="14">
        <v>62</v>
      </c>
      <c r="B73" s="58" t="str">
        <f>+'BODEGON EXPRESS MARI'!$B$1</f>
        <v>BODEGON EXPRESS MOLINA</v>
      </c>
      <c r="C73" s="67" t="str">
        <f>+'BODEGON EXPRESS MARI'!$B$2</f>
        <v>MARIFLOR MOLINA</v>
      </c>
      <c r="D73" s="9">
        <f>+'BODEGON EXPRESS MARI'!$C$3</f>
        <v>50.19000000000004</v>
      </c>
      <c r="E73" s="11">
        <f>+'BODEGON EXPRESS MARI'!$D$3</f>
        <v>-1</v>
      </c>
      <c r="F73" s="12">
        <f>+'BODEGON EXPRESS MARI'!$E$3</f>
        <v>0</v>
      </c>
      <c r="G73" s="12">
        <f>+'BODEGON EXPRESS MARI'!$F$3</f>
        <v>0</v>
      </c>
      <c r="H73" s="10">
        <f>+'BODEGON EXPRESS MARI'!$G$3</f>
        <v>0</v>
      </c>
      <c r="I73" t="s">
        <v>122</v>
      </c>
      <c r="J73" s="80">
        <f>MAX('BODEGON EXPRESS MARI'!A2:A1000)</f>
        <v>46055</v>
      </c>
    </row>
    <row r="74" spans="1:10" ht="19.95" customHeight="1" x14ac:dyDescent="0.3">
      <c r="A74" s="14">
        <v>63</v>
      </c>
      <c r="B74" s="58" t="str">
        <f>+'BODEGON EXPRESS GREGORI'!$B$1</f>
        <v>BODEGON EXPRESS GREGORI</v>
      </c>
      <c r="C74" s="67" t="str">
        <f>+'BODEGON EXPRESS GREGORI'!$B$2</f>
        <v>NEILA</v>
      </c>
      <c r="D74" s="9">
        <f>+'BODEGON EXPRESS GREGORI'!$C$3</f>
        <v>223.6900000000002</v>
      </c>
      <c r="E74" s="11">
        <f>+'BODEGON EXPRESS GREGORI'!$D$3</f>
        <v>0</v>
      </c>
      <c r="F74" s="12">
        <f>+'BODEGON EXPRESS GREGORI'!$E$3</f>
        <v>0</v>
      </c>
      <c r="G74" s="12">
        <f>+'BODEGON EXPRESS GREGORI'!$F$3</f>
        <v>0</v>
      </c>
      <c r="H74" s="10">
        <f>+'BODEGON EXPRESS GREGORI'!$G$3</f>
        <v>0</v>
      </c>
      <c r="I74" t="s">
        <v>122</v>
      </c>
      <c r="J74" s="80">
        <f>MAX('BODEGON EXPRESS GREGORI'!A2:A1000)</f>
        <v>46045</v>
      </c>
    </row>
    <row r="75" spans="1:10" ht="19.95" customHeight="1" x14ac:dyDescent="0.3">
      <c r="A75" s="14">
        <v>64</v>
      </c>
      <c r="B75" s="58" t="str">
        <f>+'BODEGON ESQUINA PARAMILLO'!$B$1</f>
        <v>BODEGON ESQUINA PARAMILLO</v>
      </c>
      <c r="C75" s="67" t="str">
        <f>+'BODEGON ESQUINA PARAMILLO'!$B$2</f>
        <v>BIANCA MASERATI</v>
      </c>
      <c r="D75" s="9">
        <f>+'BODEGON ESQUINA PARAMILLO'!$C$3</f>
        <v>327.72000000000031</v>
      </c>
      <c r="E75" s="11">
        <f>+'BODEGON ESQUINA PARAMILLO'!$D$3</f>
        <v>0</v>
      </c>
      <c r="F75" s="12">
        <f>+'BODEGON ESQUINA PARAMILLO'!$E$3</f>
        <v>0</v>
      </c>
      <c r="G75" s="12">
        <f>+'BODEGON ESQUINA PARAMILLO'!$F$3</f>
        <v>0</v>
      </c>
      <c r="H75" s="10">
        <f>+'BODEGON ESQUINA PARAMILLO'!$G$3</f>
        <v>0</v>
      </c>
      <c r="I75" t="s">
        <v>122</v>
      </c>
      <c r="J75" s="80">
        <f>MAX('BODEGON ESQUINA PARAMILLO'!A2:A1000)</f>
        <v>46056</v>
      </c>
    </row>
    <row r="76" spans="1:10" ht="19.95" customHeight="1" x14ac:dyDescent="0.3">
      <c r="A76" s="14">
        <v>65</v>
      </c>
      <c r="B76" s="58" t="str">
        <f>+'BODEGON GARCIAS'!$B$1</f>
        <v>BODEGON GARCIAS</v>
      </c>
      <c r="C76" s="67" t="str">
        <f>+'BODEGON GARCIAS'!$B$2</f>
        <v>GENESIS GARCIAS</v>
      </c>
      <c r="D76" s="9">
        <f>+'BODEGON GARCIAS'!$C$3</f>
        <v>45.349999999999994</v>
      </c>
      <c r="E76" s="11">
        <f>+'BODEGON GARCIAS'!$D$3</f>
        <v>0</v>
      </c>
      <c r="F76" s="12">
        <f>+'BODEGON GARCIAS'!$E$3</f>
        <v>0</v>
      </c>
      <c r="G76" s="12">
        <f>+'BODEGON GARCIAS'!$F$3</f>
        <v>0</v>
      </c>
      <c r="H76" s="10">
        <f>+'BODEGON GARCIAS'!$G$3</f>
        <v>0</v>
      </c>
      <c r="I76" t="s">
        <v>122</v>
      </c>
      <c r="J76" s="80">
        <f>MAX('BODEGON GARCIAS'!A2:A1000)</f>
        <v>46052</v>
      </c>
    </row>
    <row r="77" spans="1:10" ht="19.95" customHeight="1" x14ac:dyDescent="0.3">
      <c r="A77" s="14">
        <v>66</v>
      </c>
      <c r="B77" s="58" t="str">
        <f>+'BODEGON JUANCHO'!$B$1</f>
        <v>BODEGON JUANCHO</v>
      </c>
      <c r="C77" s="67">
        <f>+'BODEGON JUANCHO'!$B$2</f>
        <v>0</v>
      </c>
      <c r="D77" s="9">
        <f>+'BODEGON JUANCHO'!$C$3</f>
        <v>7.2000000000000028</v>
      </c>
      <c r="E77" s="11">
        <f>+'BODEGON JUANCHO'!$D$3</f>
        <v>0</v>
      </c>
      <c r="F77" s="12">
        <f>+'BODEGON JUANCHO'!$E$3</f>
        <v>0</v>
      </c>
      <c r="G77" s="12">
        <f>+'BODEGON JUANCHO'!$F$3</f>
        <v>0</v>
      </c>
      <c r="H77" s="10">
        <f>+'BODEGON JUANCHO'!$G$3</f>
        <v>0</v>
      </c>
      <c r="I77" t="s">
        <v>121</v>
      </c>
      <c r="J77" s="80">
        <f>MAX('BODEGON JUANCHO'!A2:A1000)</f>
        <v>46013</v>
      </c>
    </row>
    <row r="78" spans="1:10" ht="19.95" customHeight="1" x14ac:dyDescent="0.3">
      <c r="A78" s="14">
        <v>67</v>
      </c>
      <c r="B78" s="58" t="str">
        <f>+'BODEGON KATERIN'!$B$1</f>
        <v>BODEGON KATERIN</v>
      </c>
      <c r="C78" s="67" t="str">
        <f>+'BODEGON KATERIN'!$B$2</f>
        <v>ROMERO</v>
      </c>
      <c r="D78" s="9">
        <f>+'BODEGON KATERIN'!$C$3</f>
        <v>-0.96000000000000085</v>
      </c>
      <c r="E78" s="11">
        <f>+'BODEGON KATERIN'!$D$3</f>
        <v>0</v>
      </c>
      <c r="F78" s="12">
        <f>+'BODEGON KATERIN'!$E$3</f>
        <v>0</v>
      </c>
      <c r="G78" s="12">
        <f>+'BODEGON KATERIN'!$F$3</f>
        <v>0</v>
      </c>
      <c r="H78" s="10">
        <f>+'BODEGON KATERIN'!$G$3</f>
        <v>0</v>
      </c>
      <c r="I78" t="s">
        <v>121</v>
      </c>
      <c r="J78" s="80">
        <f>MAX('BODEGON KATERIN'!A2:A1000)</f>
        <v>45840</v>
      </c>
    </row>
    <row r="79" spans="1:10" ht="19.95" customHeight="1" x14ac:dyDescent="0.3">
      <c r="A79" s="14">
        <v>68</v>
      </c>
      <c r="B79" s="58" t="str">
        <f>+'BODEGON LA ESQUINA DE LUIS'!$B$1</f>
        <v>BODEGON LA ESQUINA DE LUIS</v>
      </c>
      <c r="C79" s="67" t="str">
        <f>+'BODEGON LA ESQUINA DE LUIS'!$B$2</f>
        <v>DIANA CALDERON</v>
      </c>
      <c r="D79" s="9">
        <f>+'BODEGON LA ESQUINA DE LUIS'!$C$3</f>
        <v>136.53999999999996</v>
      </c>
      <c r="E79" s="11">
        <f>+'BODEGON LA ESQUINA DE LUIS'!$D$3</f>
        <v>0</v>
      </c>
      <c r="F79" s="12">
        <f>+'BODEGON LA ESQUINA DE LUIS'!$E$3</f>
        <v>0</v>
      </c>
      <c r="G79" s="12">
        <f>+'BODEGON LA ESQUINA DE LUIS'!$F$3</f>
        <v>0</v>
      </c>
      <c r="H79" s="10">
        <f>+'BODEGON LA ESQUINA DE LUIS'!$G$3</f>
        <v>0</v>
      </c>
      <c r="I79" t="s">
        <v>122</v>
      </c>
      <c r="J79" s="80">
        <f>MAX('BODEGON LA ESQUINA DE LUIS'!A2:A1000)</f>
        <v>45995</v>
      </c>
    </row>
    <row r="80" spans="1:10" ht="19.95" customHeight="1" x14ac:dyDescent="0.3">
      <c r="A80" s="14">
        <v>69</v>
      </c>
      <c r="B80" s="77" t="str">
        <f>+'BODEGON LINARES'!$B$1</f>
        <v>BODEGON LINARES</v>
      </c>
      <c r="C80" t="str">
        <f>+'BODEGON LINARES'!$B$2</f>
        <v>JUAN PABON</v>
      </c>
      <c r="D80" s="9">
        <f>+'BODEGON LINARES'!$C$3</f>
        <v>36.069999999999979</v>
      </c>
      <c r="E80" s="11">
        <f>+'BODEGON LINARES'!$D$3</f>
        <v>1</v>
      </c>
      <c r="F80" s="12">
        <f>+'BODEGON LINARES'!$E$3</f>
        <v>0</v>
      </c>
      <c r="G80" s="12">
        <f>+'BODEGON LINARES'!$F$3</f>
        <v>0</v>
      </c>
      <c r="H80" s="10">
        <f>+'BODEGON LINARES'!$G$3</f>
        <v>0</v>
      </c>
      <c r="I80" t="s">
        <v>122</v>
      </c>
      <c r="J80" s="80">
        <f>MAX('BODEGON LINARES'!A2:A1000)</f>
        <v>46052</v>
      </c>
    </row>
    <row r="81" spans="1:10" ht="19.95" customHeight="1" x14ac:dyDescent="0.3">
      <c r="A81" s="14">
        <v>70</v>
      </c>
      <c r="B81" s="58" t="str">
        <f>+'BODEGON LOS NONOS'!$B$1</f>
        <v>BODEGON LOS NONOS</v>
      </c>
      <c r="C81" s="67">
        <f>+'BODEGON LOS NONOS'!$B$2</f>
        <v>0</v>
      </c>
      <c r="D81" s="9">
        <f>+'BODEGON LOS NONOS'!$C$3</f>
        <v>2853.5899999999992</v>
      </c>
      <c r="E81" s="11">
        <f>+'BODEGON LOS NONOS'!$D$3</f>
        <v>0</v>
      </c>
      <c r="F81" s="12">
        <f>+'BODEGON LOS NONOS'!$E$3</f>
        <v>0</v>
      </c>
      <c r="G81" s="12">
        <f>+'BODEGON LOS NONOS'!$F$3</f>
        <v>0</v>
      </c>
      <c r="H81" s="10">
        <f>+'BODEGON LOS NONOS'!$G$3</f>
        <v>0</v>
      </c>
      <c r="I81" t="s">
        <v>121</v>
      </c>
      <c r="J81" s="80">
        <f>MAX('BODEGON LOS NONOS'!A2:A1000)</f>
        <v>46056</v>
      </c>
    </row>
    <row r="82" spans="1:10" ht="19.95" customHeight="1" x14ac:dyDescent="0.3">
      <c r="A82" s="14">
        <v>71</v>
      </c>
      <c r="B82" s="58" t="str">
        <f>+'BODEGON MACHIRI'!$B$1</f>
        <v>BODEGON MACHIRI</v>
      </c>
      <c r="C82" s="67">
        <f>+'BODEGON MACHIRI'!$B$2</f>
        <v>0</v>
      </c>
      <c r="D82" s="9">
        <f>+'BODEGON MACHIRI'!$C$3</f>
        <v>0</v>
      </c>
      <c r="E82" s="11">
        <f>+'BODEGON MACHIRI'!$D$3</f>
        <v>0</v>
      </c>
      <c r="F82" s="12">
        <f>+'BODEGON MACHIRI'!$E$3</f>
        <v>0</v>
      </c>
      <c r="G82" s="12">
        <f>+'BODEGON MACHIRI'!$F$3</f>
        <v>0</v>
      </c>
      <c r="H82" s="10">
        <f>+'BODEGON MACHIRI'!$G$3</f>
        <v>0</v>
      </c>
      <c r="I82" t="s">
        <v>126</v>
      </c>
      <c r="J82" s="80">
        <f>MAX('BODEGON MACHIRI'!A2:A1000)</f>
        <v>45839</v>
      </c>
    </row>
    <row r="83" spans="1:10" ht="19.95" customHeight="1" x14ac:dyDescent="0.3">
      <c r="A83" s="14">
        <v>72</v>
      </c>
      <c r="B83" s="58" t="str">
        <f>+'BODEGON MKM'!$B$1</f>
        <v>BODEGON MKM</v>
      </c>
      <c r="C83" s="67" t="str">
        <f>+'BODEGON MKM'!$B$2</f>
        <v>KARINA CHAO</v>
      </c>
      <c r="D83" s="9">
        <f>+'BODEGON MKM'!$C$3</f>
        <v>0.68999999999999773</v>
      </c>
      <c r="E83" s="11">
        <f>+'BODEGON MKM'!$D$3</f>
        <v>2</v>
      </c>
      <c r="F83" s="12">
        <f>+'BODEGON MKM'!$E$3</f>
        <v>0</v>
      </c>
      <c r="G83" s="12">
        <f>+'BODEGON MKM'!$F$3</f>
        <v>0</v>
      </c>
      <c r="H83" s="10">
        <f>+'BODEGON MKM'!$G$3</f>
        <v>0</v>
      </c>
      <c r="I83" t="s">
        <v>122</v>
      </c>
      <c r="J83" s="80">
        <f>MAX('BODEGON MKM'!A2:A1000)</f>
        <v>46056</v>
      </c>
    </row>
    <row r="84" spans="1:10" ht="19.95" customHeight="1" x14ac:dyDescent="0.3">
      <c r="A84" s="14">
        <v>73</v>
      </c>
      <c r="B84" s="58" t="str">
        <f>+'BODEGON SEVILLANA'!$B$1</f>
        <v>BODEGON SEVILLANA</v>
      </c>
      <c r="C84" s="67" t="str">
        <f>+'BODEGON SEVILLANA'!$B$2</f>
        <v>YUSMARVIC</v>
      </c>
      <c r="D84" s="9">
        <f>+'BODEGON SEVILLANA'!$C$3</f>
        <v>1198.2</v>
      </c>
      <c r="E84" s="11">
        <f>+'BODEGON SEVILLANA'!$D$3</f>
        <v>5</v>
      </c>
      <c r="F84" s="12">
        <f>+'BODEGON SEVILLANA'!$E$3</f>
        <v>0</v>
      </c>
      <c r="G84" s="12">
        <f>+'BODEGON SEVILLANA'!$F$3</f>
        <v>0</v>
      </c>
      <c r="H84" s="10">
        <f>+'BODEGON SEVILLANA'!$G$3</f>
        <v>0</v>
      </c>
      <c r="I84" t="s">
        <v>126</v>
      </c>
      <c r="J84" s="80">
        <f>MAX('BODEGON SEVILLANA'!A2:A1000)</f>
        <v>46056</v>
      </c>
    </row>
    <row r="85" spans="1:10" ht="19.95" customHeight="1" x14ac:dyDescent="0.3">
      <c r="A85" s="14">
        <v>74</v>
      </c>
      <c r="B85" s="58" t="str">
        <f>+'BODEGON TERESITA'!$B$1</f>
        <v>BODEGON TERESITA</v>
      </c>
      <c r="C85" s="67" t="str">
        <f>+'BODEGON TERESITA'!$B$2</f>
        <v>TERESA ALBARRACIN</v>
      </c>
      <c r="D85" s="9">
        <f>+'BODEGON TERESITA'!$C$3</f>
        <v>-0.16000000000003212</v>
      </c>
      <c r="E85" s="11">
        <f>+'BODEGON TERESITA'!$D$3</f>
        <v>0</v>
      </c>
      <c r="F85" s="12">
        <f>+'BODEGON TERESITA'!$E$3</f>
        <v>0</v>
      </c>
      <c r="G85" s="12">
        <f>+'BODEGON TERESITA'!$F$3</f>
        <v>0</v>
      </c>
      <c r="H85" s="10">
        <f>+'BODEGON TERESITA'!$G$3</f>
        <v>0</v>
      </c>
      <c r="I85" t="s">
        <v>122</v>
      </c>
      <c r="J85" s="80">
        <f>MAX('BODEGON TERESITA'!A2:A1000)</f>
        <v>46050</v>
      </c>
    </row>
    <row r="86" spans="1:10" ht="19.95" customHeight="1" x14ac:dyDescent="0.3">
      <c r="A86" s="14">
        <v>75</v>
      </c>
      <c r="B86" s="58" t="str">
        <f>+'BODEGON UNICO'!$B$1</f>
        <v>BODEGON UNICO</v>
      </c>
      <c r="C86" s="67">
        <f>+'BODEGON UNICO'!$B$2</f>
        <v>0</v>
      </c>
      <c r="D86" s="9">
        <f>+'BODEGON UNICO'!$C$3</f>
        <v>555.44999999999993</v>
      </c>
      <c r="E86" s="11">
        <f>+'BODEGON UNICO'!$D$3</f>
        <v>2</v>
      </c>
      <c r="F86" s="12">
        <f>+'BODEGON UNICO'!$E$3</f>
        <v>0</v>
      </c>
      <c r="G86" s="12">
        <f>+'BODEGON UNICO'!$F$3</f>
        <v>0</v>
      </c>
      <c r="H86" s="10">
        <f>+'BODEGON UNICO'!$G$3</f>
        <v>0</v>
      </c>
      <c r="I86" t="s">
        <v>121</v>
      </c>
      <c r="J86" s="80">
        <f>MAX('BODEGON UNICO'!A2:A1000)</f>
        <v>46049</v>
      </c>
    </row>
    <row r="87" spans="1:10" ht="19.95" customHeight="1" x14ac:dyDescent="0.3">
      <c r="A87" s="14">
        <v>76</v>
      </c>
      <c r="B87" s="58" t="str">
        <f>+'CAFE RACER'!$B$1</f>
        <v>CAFE RACER</v>
      </c>
      <c r="C87" s="67">
        <f>+'CAFE RACER'!$B$2</f>
        <v>0</v>
      </c>
      <c r="D87" s="9">
        <f>+'CAFE RACER'!$C$3</f>
        <v>434.46000000000026</v>
      </c>
      <c r="E87" s="11">
        <f>+'CAFE RACER'!$D$3</f>
        <v>3</v>
      </c>
      <c r="F87" s="12">
        <f>+'CAFE RACER'!$E$3</f>
        <v>0</v>
      </c>
      <c r="G87" s="12">
        <f>+'CAFE RACER'!$F$3</f>
        <v>0</v>
      </c>
      <c r="H87" s="10">
        <f>+'CAFE RACER'!$G$3</f>
        <v>0</v>
      </c>
      <c r="I87" t="s">
        <v>126</v>
      </c>
      <c r="J87" s="80">
        <f>MAX('CAFE RACER'!A2:A1000)</f>
        <v>46055</v>
      </c>
    </row>
    <row r="88" spans="1:10" ht="19.95" customHeight="1" x14ac:dyDescent="0.3">
      <c r="A88" s="14">
        <v>77</v>
      </c>
      <c r="B88" s="58" t="str">
        <f>+'CAMPO MARKET'!$B$1</f>
        <v>CAMPO MARKET</v>
      </c>
      <c r="C88" s="67" t="str">
        <f>+'CAMPO MARKET'!$B$2</f>
        <v>ESCARLET LOPEZ</v>
      </c>
      <c r="D88" s="9">
        <f>+'CAMPO MARKET'!$C$3</f>
        <v>184.72999999999996</v>
      </c>
      <c r="E88" s="11">
        <f>+'CAMPO MARKET'!$D$3</f>
        <v>0</v>
      </c>
      <c r="F88" s="12">
        <f>+'CAMPO MARKET'!$E$3</f>
        <v>0</v>
      </c>
      <c r="G88" s="12">
        <f>+'CAMPO MARKET'!$F$3</f>
        <v>0</v>
      </c>
      <c r="H88" s="10">
        <f>+'CAMPO MARKET'!$G$3</f>
        <v>0</v>
      </c>
      <c r="I88" t="s">
        <v>122</v>
      </c>
      <c r="J88" s="80">
        <f>MAX('CAMPO MARKET'!A2:A1000)</f>
        <v>46051</v>
      </c>
    </row>
    <row r="89" spans="1:10" ht="19.95" customHeight="1" x14ac:dyDescent="0.3">
      <c r="A89" s="14">
        <v>78</v>
      </c>
      <c r="B89" s="58" t="str">
        <f>+'CARNICERIA 2009'!$B$1</f>
        <v>CARNICERIA 2009</v>
      </c>
      <c r="C89" s="67">
        <f>+'CARNICERIA 2009'!$B$2</f>
        <v>0</v>
      </c>
      <c r="D89" s="9">
        <f>+'CARNICERIA 2009'!$C$3</f>
        <v>-2.1069999999999993</v>
      </c>
      <c r="E89" s="11">
        <f>+'CARNICERIA 2009'!$D$3</f>
        <v>0</v>
      </c>
      <c r="F89" s="12">
        <f>+'CARNICERIA 2009'!$E$3</f>
        <v>0</v>
      </c>
      <c r="G89" s="12">
        <f>+'CARNICERIA 2009'!$F$3</f>
        <v>0</v>
      </c>
      <c r="H89" s="10">
        <f>+'CARNICERIA 2009'!$G$3</f>
        <v>0</v>
      </c>
      <c r="I89" t="s">
        <v>121</v>
      </c>
      <c r="J89" s="80">
        <f>MAX('CARNICERIA 2009'!A2:A1000)</f>
        <v>46051</v>
      </c>
    </row>
    <row r="90" spans="1:10" ht="19.95" customHeight="1" x14ac:dyDescent="0.3">
      <c r="A90" s="14">
        <v>79</v>
      </c>
      <c r="B90" s="58" t="str">
        <f>+'CARNICERIA KARINA'!$B$1</f>
        <v>CARNICERIA KARINA</v>
      </c>
      <c r="C90" s="67" t="str">
        <f>+'CARNICERIA KARINA'!$B$2</f>
        <v>KARLA</v>
      </c>
      <c r="D90" s="9">
        <f>+'CARNICERIA KARINA'!$C$3</f>
        <v>126.62999999999997</v>
      </c>
      <c r="E90" s="11">
        <f>+'CARNICERIA KARINA'!$D$3</f>
        <v>0</v>
      </c>
      <c r="F90" s="12">
        <f>+'CARNICERIA KARINA'!$E$3</f>
        <v>0</v>
      </c>
      <c r="G90" s="12">
        <f>+'CARNICERIA KARINA'!$F$3</f>
        <v>0</v>
      </c>
      <c r="H90" s="10">
        <f>+'CARNICERIA KARINA'!$G$3</f>
        <v>0</v>
      </c>
      <c r="I90" t="s">
        <v>121</v>
      </c>
      <c r="J90" s="80">
        <f>MAX('CARNICERIA KARINA'!A2:A1000)</f>
        <v>46052</v>
      </c>
    </row>
    <row r="91" spans="1:10" ht="19.95" customHeight="1" x14ac:dyDescent="0.3">
      <c r="A91" s="14">
        <v>80</v>
      </c>
      <c r="B91" s="58" t="str">
        <f>+'CARNICERIA MARTA'!$B$1</f>
        <v>CARNICERIA MARTA</v>
      </c>
      <c r="C91" s="67">
        <f>+'CARNICERIA MARTA'!$B$2</f>
        <v>0</v>
      </c>
      <c r="D91" s="9">
        <f>+'CARNICERIA MARTA'!$C$3</f>
        <v>-1.0000000000001563E-2</v>
      </c>
      <c r="E91" s="11">
        <f>+'CARNICERIA MARTA'!$D$3</f>
        <v>0</v>
      </c>
      <c r="F91" s="12">
        <f>+'CARNICERIA MARTA'!$E$3</f>
        <v>0</v>
      </c>
      <c r="G91" s="12">
        <f>+'CARNICERIA MARTA'!$F$3</f>
        <v>0</v>
      </c>
      <c r="H91" s="10">
        <f>+'CARNICERIA MARTA'!$G$3</f>
        <v>0</v>
      </c>
      <c r="I91" t="s">
        <v>121</v>
      </c>
      <c r="J91" s="80">
        <f>MAX('CARNICERIA MARTA'!A2:A1000)</f>
        <v>45848</v>
      </c>
    </row>
    <row r="92" spans="1:10" ht="19.95" customHeight="1" x14ac:dyDescent="0.3">
      <c r="A92" s="14">
        <v>81</v>
      </c>
      <c r="B92" s="58" t="str">
        <f>+'CAROL KARDEIGON'!$B$1</f>
        <v>CAROL KARDEIGON</v>
      </c>
      <c r="C92" s="67">
        <f>+'CAROL KARDEIGON'!$B$2</f>
        <v>0</v>
      </c>
      <c r="D92" s="9">
        <f>+'CAROL KARDEIGON'!$C$3</f>
        <v>641.71</v>
      </c>
      <c r="E92" s="11">
        <f>+'CAROL KARDEIGON'!$D$3</f>
        <v>0</v>
      </c>
      <c r="F92" s="12">
        <f>+'CAROL KARDEIGON'!$E$3</f>
        <v>0</v>
      </c>
      <c r="G92" s="12">
        <f>+'CAROL KARDEIGON'!$F$3</f>
        <v>0</v>
      </c>
      <c r="H92" s="10">
        <f>+'CAROL KARDEIGON'!$G$3</f>
        <v>0</v>
      </c>
      <c r="I92" t="s">
        <v>122</v>
      </c>
      <c r="J92" s="80">
        <f>MAX('CAROL KARDEIGON'!A2:A1000)</f>
        <v>46052</v>
      </c>
    </row>
    <row r="93" spans="1:10" ht="19.95" customHeight="1" x14ac:dyDescent="0.3">
      <c r="A93" s="14">
        <v>82</v>
      </c>
      <c r="B93" s="58" t="str">
        <f>+'CASA EXPRESS'!$B$1</f>
        <v>CASA EXPRESS</v>
      </c>
      <c r="C93" s="67" t="str">
        <f>+'CASA EXPRESS'!$B$2</f>
        <v>DURAN</v>
      </c>
      <c r="D93" s="9">
        <f>+'CASA EXPRESS'!$C$3</f>
        <v>-1.0200000000000173</v>
      </c>
      <c r="E93" s="11">
        <f>+'CASA EXPRESS'!$D$3</f>
        <v>0</v>
      </c>
      <c r="F93" s="12">
        <f>+'CASA EXPRESS'!$E$3</f>
        <v>0</v>
      </c>
      <c r="G93" s="12">
        <f>+'CASA EXPRESS'!$F$3</f>
        <v>0</v>
      </c>
      <c r="H93" s="10">
        <f>+'CASA EXPRESS'!$G$3</f>
        <v>0</v>
      </c>
      <c r="I93" t="s">
        <v>121</v>
      </c>
      <c r="J93" s="80">
        <f>MAX('CASA EXPRESS'!A2:A1000)</f>
        <v>45993</v>
      </c>
    </row>
    <row r="94" spans="1:10" ht="19.95" customHeight="1" x14ac:dyDescent="0.3">
      <c r="A94" s="14">
        <v>83</v>
      </c>
      <c r="B94" s="58" t="str">
        <f>+'CCP PARAMILLO'!$B$1</f>
        <v>CCP PARAMILLO</v>
      </c>
      <c r="C94" s="67" t="str">
        <f>+'CCP PARAMILLO'!$B$2</f>
        <v>FREDDY JAUREGY</v>
      </c>
      <c r="D94" s="9">
        <f>+'CCP PARAMILLO'!$C$3</f>
        <v>118.61999999999998</v>
      </c>
      <c r="E94" s="11">
        <f>+'CCP PARAMILLO'!$D$3</f>
        <v>0</v>
      </c>
      <c r="F94" s="12">
        <f>+'CCP PARAMILLO'!$E$3</f>
        <v>0</v>
      </c>
      <c r="G94" s="12">
        <f>+'CCP PARAMILLO'!$F$3</f>
        <v>0</v>
      </c>
      <c r="H94" s="10">
        <f>+'CCP PARAMILLO'!$G$3</f>
        <v>9.84</v>
      </c>
      <c r="I94" t="s">
        <v>122</v>
      </c>
      <c r="J94" s="80">
        <f>MAX('CCP PARAMILLO'!A2:A1000)</f>
        <v>46035</v>
      </c>
    </row>
    <row r="95" spans="1:10" ht="19.95" customHeight="1" x14ac:dyDescent="0.3">
      <c r="A95" s="14">
        <v>84</v>
      </c>
      <c r="B95" s="58" t="str">
        <f>+'CECILIA EMPANADAS'!$B$1</f>
        <v>CECILIA EMPANADAS</v>
      </c>
      <c r="C95" s="67">
        <f>+'CECILIA EMPANADAS'!$B$2</f>
        <v>0</v>
      </c>
      <c r="D95" s="9">
        <f>+'CECILIA EMPANADAS'!$C$3</f>
        <v>29</v>
      </c>
      <c r="E95" s="11">
        <f>+'CECILIA EMPANADAS'!$D$3</f>
        <v>0</v>
      </c>
      <c r="F95" s="12">
        <f>+'CECILIA EMPANADAS'!$E$3</f>
        <v>0</v>
      </c>
      <c r="G95" s="12">
        <f>+'CECILIA EMPANADAS'!$F$3</f>
        <v>0</v>
      </c>
      <c r="H95" s="10">
        <f>+'CECILIA EMPANADAS'!$G$3</f>
        <v>0</v>
      </c>
      <c r="I95" t="s">
        <v>121</v>
      </c>
      <c r="J95" s="80">
        <f>MAX('CECILIA EMPANADAS'!A2:A1000)</f>
        <v>46052</v>
      </c>
    </row>
    <row r="96" spans="1:10" ht="19.95" customHeight="1" x14ac:dyDescent="0.3">
      <c r="A96" s="14">
        <v>85</v>
      </c>
      <c r="B96" s="58" t="str">
        <f>+CEMUCA!$B$1</f>
        <v>CEMUCA</v>
      </c>
      <c r="C96" s="67">
        <f>+CEMUCA!$B$2</f>
        <v>0</v>
      </c>
      <c r="D96" s="9">
        <f>+CEMUCA!$C$3</f>
        <v>0.25999999999999801</v>
      </c>
      <c r="E96" s="11">
        <f>+CEMUCA!$D$3</f>
        <v>0</v>
      </c>
      <c r="F96" s="12">
        <f>+CEMUCA!$E$3</f>
        <v>0</v>
      </c>
      <c r="G96" s="12">
        <f>+CEMUCA!$F$3</f>
        <v>0</v>
      </c>
      <c r="H96" s="10">
        <f>+CEMUCA!$G$3</f>
        <v>0</v>
      </c>
      <c r="I96" t="s">
        <v>122</v>
      </c>
      <c r="J96" s="80">
        <f>MAX(CEMUCA!A2:A1000)</f>
        <v>45942</v>
      </c>
    </row>
    <row r="97" spans="1:11" ht="19.95" customHeight="1" x14ac:dyDescent="0.3">
      <c r="A97" s="14">
        <v>86</v>
      </c>
      <c r="B97" s="58" t="str">
        <f>+'CHARCUTERIA LA TOICA'!$B$1</f>
        <v>CHARCUTERIA LA TOICA</v>
      </c>
      <c r="C97" s="67" t="str">
        <f>+'CHARCUTERIA LA TOICA'!$B$2</f>
        <v>YELSI CAMARGO</v>
      </c>
      <c r="D97" s="9">
        <f>+'CHARCUTERIA LA TOICA'!$C$3</f>
        <v>297.01000000000005</v>
      </c>
      <c r="E97" s="11">
        <f>+'CHARCUTERIA LA TOICA'!$D$3</f>
        <v>0</v>
      </c>
      <c r="F97" s="12">
        <f>+'CHARCUTERIA LA TOICA'!$E$3</f>
        <v>0</v>
      </c>
      <c r="G97" s="12">
        <f>+'CHARCUTERIA LA TOICA'!$F$3</f>
        <v>0</v>
      </c>
      <c r="H97" s="10">
        <f>+'CHARCUTERIA LA TOICA'!$G$3</f>
        <v>0</v>
      </c>
      <c r="I97" t="s">
        <v>122</v>
      </c>
      <c r="J97" s="80">
        <f>MAX('CHARCUTERIA LA TOICA'!A2:A1000)</f>
        <v>46052</v>
      </c>
    </row>
    <row r="98" spans="1:11" ht="19.95" customHeight="1" x14ac:dyDescent="0.3">
      <c r="A98" s="14">
        <v>87</v>
      </c>
      <c r="B98" s="58" t="str">
        <f>+'CHACARO CREAM'!$B$1</f>
        <v>CHACARO CREAM</v>
      </c>
      <c r="C98" s="67">
        <f>+'CHACARO CREAM'!$B$2</f>
        <v>0</v>
      </c>
      <c r="D98" s="9">
        <f>+'CHACARO CREAM'!$C$3</f>
        <v>0</v>
      </c>
      <c r="E98" s="11">
        <f>+'CHACARO CREAM'!$D$3</f>
        <v>1</v>
      </c>
      <c r="F98" s="12">
        <f>+'CHACARO CREAM'!$E$3</f>
        <v>0</v>
      </c>
      <c r="G98" s="12">
        <f>+'CHACARO CREAM'!$F$3</f>
        <v>0</v>
      </c>
      <c r="H98" s="10">
        <f>+'CHACARO CREAM'!$G$3</f>
        <v>0</v>
      </c>
      <c r="I98" t="s">
        <v>121</v>
      </c>
    </row>
    <row r="99" spans="1:11" ht="19.95" customHeight="1" x14ac:dyDescent="0.3">
      <c r="A99" s="14">
        <v>88</v>
      </c>
      <c r="B99" s="58" t="str">
        <f>+'COLEGIO SANTISIMA TRINIDAD'!$B$1</f>
        <v>COLEGIO SANTISIMA TRINIDAD</v>
      </c>
      <c r="C99" s="67">
        <f>+'COLEGIO SANTISIMA TRINIDAD'!$B$2</f>
        <v>0</v>
      </c>
      <c r="D99" s="9">
        <f>+'COLEGIO SANTISIMA TRINIDAD'!$C$3</f>
        <v>3.4200000000000017</v>
      </c>
      <c r="E99" s="11">
        <f>+'COLEGIO SANTISIMA TRINIDAD'!$D$3</f>
        <v>0</v>
      </c>
      <c r="F99" s="12">
        <f>+'COLEGIO SANTISIMA TRINIDAD'!$E$3</f>
        <v>0</v>
      </c>
      <c r="G99" s="12">
        <f>+'COLEGIO SANTISIMA TRINIDAD'!$F$3</f>
        <v>0</v>
      </c>
      <c r="H99" s="10">
        <f>+'COLEGIO SANTISIMA TRINIDAD'!$G$3</f>
        <v>0</v>
      </c>
      <c r="I99" t="s">
        <v>121</v>
      </c>
      <c r="J99" s="80">
        <f>MAX('COLEGIO SANTISIMA TRINIDAD'!A2:A1000)</f>
        <v>46052</v>
      </c>
    </row>
    <row r="100" spans="1:11" ht="19.95" customHeight="1" x14ac:dyDescent="0.3">
      <c r="A100" s="14">
        <v>89</v>
      </c>
      <c r="B100" s="58" t="str">
        <f>+'COLEGIO SANTO CRISTO'!$B$1</f>
        <v>COLEGIO SANTO CRISTO</v>
      </c>
      <c r="C100" s="67">
        <f>+'COLEGIO SANTO CRISTO'!$B$2</f>
        <v>0</v>
      </c>
      <c r="D100" s="9">
        <f>+'COLEGIO SANTO CRISTO'!$C$3</f>
        <v>0</v>
      </c>
      <c r="E100" s="11">
        <f>+'COLEGIO SANTO CRISTO'!$D$3</f>
        <v>0</v>
      </c>
      <c r="F100" s="12">
        <f>+'COLEGIO SANTO CRISTO'!$E$3</f>
        <v>0</v>
      </c>
      <c r="G100" s="12">
        <f>+'COLEGIO SANTO CRISTO'!$F$3</f>
        <v>0</v>
      </c>
      <c r="H100" s="10">
        <f>+'COLEGIO SANTO CRISTO'!$G$3</f>
        <v>0</v>
      </c>
      <c r="I100" t="s">
        <v>121</v>
      </c>
    </row>
    <row r="101" spans="1:11" ht="19.95" customHeight="1" x14ac:dyDescent="0.3">
      <c r="A101" s="14">
        <v>90</v>
      </c>
      <c r="B101" s="58" t="str">
        <f>+'COMERCIALIZADORA ALFONSO PEREZ'!$B$1</f>
        <v>COMERCIALIZADORA ALFONSO PEREZ</v>
      </c>
      <c r="C101" s="67" t="str">
        <f>+'COMERCIALIZADORA ALFONSO PEREZ'!$B$2</f>
        <v>ALONDRA PEREZ</v>
      </c>
      <c r="D101" s="9">
        <f>+'COMERCIALIZADORA ALFONSO PEREZ'!$C$3</f>
        <v>74.749999999999986</v>
      </c>
      <c r="E101" s="11">
        <f>+'COMERCIALIZADORA ALFONSO PEREZ'!$D$3</f>
        <v>0</v>
      </c>
      <c r="F101" s="12">
        <f>+'COMERCIALIZADORA ALFONSO PEREZ'!$E$3</f>
        <v>0</v>
      </c>
      <c r="G101" s="12">
        <f>+'COMERCIALIZADORA ALFONSO PEREZ'!$F$3</f>
        <v>0</v>
      </c>
      <c r="H101" s="10">
        <f>+'COMERCIALIZADORA ALFONSO PEREZ'!$G$3</f>
        <v>0</v>
      </c>
      <c r="I101" t="s">
        <v>121</v>
      </c>
      <c r="J101" s="80">
        <f>MAX('COMERCIALIZADORA ALFONSO PEREZ'!A2:A1000)</f>
        <v>46042</v>
      </c>
    </row>
    <row r="102" spans="1:11" ht="19.95" customHeight="1" x14ac:dyDescent="0.3">
      <c r="A102" s="14">
        <v>91</v>
      </c>
      <c r="B102" s="58" t="str">
        <f>+'COMERCIALIZADORA FLOREZ'!$B$1</f>
        <v>COMERCIALIZADORA FLOREZ</v>
      </c>
      <c r="C102" s="67">
        <f>+'COMERCIALIZADORA FLOREZ'!$B$2</f>
        <v>0</v>
      </c>
      <c r="D102" s="9">
        <f>+'COMERCIALIZADORA FLOREZ'!$C$3</f>
        <v>-4.345400000000609</v>
      </c>
      <c r="E102" s="11">
        <f>+'COMERCIALIZADORA FLOREZ'!$D$3</f>
        <v>0</v>
      </c>
      <c r="F102" s="12">
        <f>+'COMERCIALIZADORA FLOREZ'!$E$3</f>
        <v>0</v>
      </c>
      <c r="G102" s="12">
        <f>+'COMERCIALIZADORA FLOREZ'!$F$3</f>
        <v>0</v>
      </c>
      <c r="H102" s="10">
        <f>+'COMERCIALIZADORA FLOREZ'!$G$3</f>
        <v>0</v>
      </c>
      <c r="I102" t="s">
        <v>122</v>
      </c>
      <c r="J102" s="80">
        <f>MAX('COMERCIALIZADORA FLOREZ'!A2:A1000)</f>
        <v>46056</v>
      </c>
    </row>
    <row r="103" spans="1:11" ht="19.95" customHeight="1" x14ac:dyDescent="0.3">
      <c r="A103" s="14">
        <v>92</v>
      </c>
      <c r="B103" s="58" t="str">
        <f>+'COMERCIALIZADORA JEALKA'!$B$1</f>
        <v>COMERCIALIZADORA JEALKA</v>
      </c>
      <c r="C103" s="67" t="str">
        <f>+'COMERCIALIZADORA JEALKA'!$B$2</f>
        <v>GONZALO</v>
      </c>
      <c r="D103" s="9">
        <f>+'COMERCIALIZADORA JEALKA'!$C$3</f>
        <v>89.560000000000016</v>
      </c>
      <c r="E103" s="11">
        <f>+'COMERCIALIZADORA JEALKA'!$D$3</f>
        <v>0</v>
      </c>
      <c r="F103" s="12">
        <f>+'COMERCIALIZADORA JEALKA'!$E$3</f>
        <v>0</v>
      </c>
      <c r="G103" s="12">
        <f>+'COMERCIALIZADORA JEALKA'!$F$3</f>
        <v>0</v>
      </c>
      <c r="H103" s="10">
        <f>+'COMERCIALIZADORA JEALKA'!$G$3</f>
        <v>0</v>
      </c>
      <c r="I103" t="s">
        <v>122</v>
      </c>
      <c r="J103" s="80">
        <f>MAX('COMERCIALIZADORA JEALKA'!A2:A1000)</f>
        <v>46052</v>
      </c>
    </row>
    <row r="104" spans="1:11" ht="19.2" customHeight="1" x14ac:dyDescent="0.3">
      <c r="A104" s="14">
        <v>93</v>
      </c>
      <c r="B104" s="60" t="str">
        <f>+'COMERCIALIZADORA MULTIMASS'!$B$1</f>
        <v>COMERCIALIZADORA MULTIMASS</v>
      </c>
      <c r="C104" s="67" t="str">
        <f>+'COMERCIALIZADORA MULTIMASS'!$B$2</f>
        <v>KEVIN RAMIREZ</v>
      </c>
      <c r="D104" s="9">
        <f>+'COMERCIALIZADORA MULTIMASS'!$C$3</f>
        <v>84.500000000000014</v>
      </c>
      <c r="E104" s="11">
        <f>+'COMERCIALIZADORA MULTIMASS'!$D$3</f>
        <v>0</v>
      </c>
      <c r="F104" s="12">
        <f>+'COMERCIALIZADORA MULTIMASS'!$E$3</f>
        <v>0</v>
      </c>
      <c r="G104" s="12">
        <f>+'COMERCIALIZADORA MULTIMASS'!$F$3</f>
        <v>0</v>
      </c>
      <c r="H104" s="10">
        <f>+'COMERCIALIZADORA MULTIMASS'!$G$3</f>
        <v>0</v>
      </c>
      <c r="I104" t="s">
        <v>122</v>
      </c>
      <c r="J104" s="80">
        <f>MAX('COMERCIALIZADORA MULTIMASS'!A2:A1000)</f>
        <v>46056</v>
      </c>
    </row>
    <row r="105" spans="1:11" ht="19.2" customHeight="1" x14ac:dyDescent="0.3">
      <c r="A105" s="14">
        <v>94</v>
      </c>
      <c r="B105" s="58" t="str">
        <f>+'COMERCIALIZADORA ORZY RUZY'!$B$1</f>
        <v>COMERCIALIZADORA ORZY RUZY</v>
      </c>
      <c r="C105" s="67" t="str">
        <f>+'COMERCIALIZADORA ORZY RUZY'!$B$2</f>
        <v>GLADYS RUIZ</v>
      </c>
      <c r="D105" s="9">
        <f>+'COMERCIALIZADORA ORZY RUZY'!$C$3</f>
        <v>0</v>
      </c>
      <c r="E105" s="11">
        <f>+'COMERCIALIZADORA ORZY RUZY'!$D$3</f>
        <v>0</v>
      </c>
      <c r="F105" s="12">
        <f>+'COMERCIALIZADORA ORZY RUZY'!$E$3</f>
        <v>0</v>
      </c>
      <c r="G105" s="12">
        <f>+'COMERCIALIZADORA ORZY RUZY'!$F$3</f>
        <v>0</v>
      </c>
      <c r="H105" s="10">
        <f>+'ABASTO ANTONY'!$G$3</f>
        <v>0</v>
      </c>
      <c r="I105" t="s">
        <v>121</v>
      </c>
      <c r="J105" s="80">
        <f>MAX('COMERCIALIZADORA ORZY RUZY'!A2:A1000)</f>
        <v>45933</v>
      </c>
    </row>
    <row r="106" spans="1:11" ht="19.95" customHeight="1" x14ac:dyDescent="0.3">
      <c r="A106" s="14">
        <v>95</v>
      </c>
      <c r="B106" s="58" t="str">
        <f>+'COMERCIALIZADORA YUDI'!$B$1</f>
        <v>COMERCIALIZADORA YUDI</v>
      </c>
      <c r="C106" s="67">
        <f>+'COMERCIALIZADORA YUDI'!$B$2</f>
        <v>0</v>
      </c>
      <c r="D106" s="9">
        <f>+'COMERCIALIZADORA YUDI'!$C$3</f>
        <v>962.39999999999918</v>
      </c>
      <c r="E106" s="11">
        <f>+'COMERCIALIZADORA YUDI'!$D$3</f>
        <v>0</v>
      </c>
      <c r="F106" s="12">
        <f>+'COMERCIALIZADORA YUDI'!$E$3</f>
        <v>0</v>
      </c>
      <c r="G106" s="12">
        <f>+'COMERCIALIZADORA YUDI'!$F$3</f>
        <v>0</v>
      </c>
      <c r="H106" s="10">
        <f>+'COMERCIALIZADORA YUDI'!$G$3</f>
        <v>0</v>
      </c>
      <c r="I106" t="s">
        <v>121</v>
      </c>
      <c r="J106" s="80">
        <f>MAX('COMERCIALIZADORA YUDI'!A2:A1000)</f>
        <v>46056</v>
      </c>
      <c r="K106" s="75" t="s">
        <v>497</v>
      </c>
    </row>
    <row r="107" spans="1:11" ht="19.95" customHeight="1" x14ac:dyDescent="0.3">
      <c r="A107" s="14">
        <v>96</v>
      </c>
      <c r="B107" s="58" t="str">
        <f>+COMPINCHOS!$B$1</f>
        <v>COMPINCHOS</v>
      </c>
      <c r="C107" s="67">
        <f>+COMPINCHOS!$B$2</f>
        <v>0</v>
      </c>
      <c r="D107" s="9">
        <f>+COMPINCHOS!$C$3</f>
        <v>-1.9999999999996021E-2</v>
      </c>
      <c r="E107" s="11">
        <f>+COMPINCHOS!$D$3</f>
        <v>0</v>
      </c>
      <c r="F107" s="12">
        <f>+COMPINCHOS!$E$3</f>
        <v>0</v>
      </c>
      <c r="G107" s="12">
        <f>+COMPINCHOS!$F$3</f>
        <v>0</v>
      </c>
      <c r="H107" s="10">
        <f>+COMPINCHOS!$G$3</f>
        <v>0</v>
      </c>
      <c r="I107" t="s">
        <v>121</v>
      </c>
      <c r="J107" s="80">
        <f>MAX(COMPINCHOS!A2:A1000)</f>
        <v>45988</v>
      </c>
    </row>
    <row r="108" spans="1:11" ht="19.95" customHeight="1" x14ac:dyDescent="0.3">
      <c r="A108" s="14">
        <v>97</v>
      </c>
      <c r="B108" s="58" t="str">
        <f>+'COPAS DE PACO'!$B$1</f>
        <v>COPAS DE PACO</v>
      </c>
      <c r="C108" s="67">
        <f>+'COPAS DE PACO'!$B$2</f>
        <v>0</v>
      </c>
      <c r="D108" s="9">
        <f>+'COPAS DE PACO'!$C$3</f>
        <v>1239.8</v>
      </c>
      <c r="E108" s="11">
        <f>+'COPAS DE PACO'!$D$3</f>
        <v>30</v>
      </c>
      <c r="F108" s="12">
        <f>+'COPAS DE PACO'!$E$3</f>
        <v>0</v>
      </c>
      <c r="G108" s="12">
        <f>+'COPAS DE PACO'!$F$3</f>
        <v>0</v>
      </c>
      <c r="H108" s="10">
        <f>+'COPAS DE PACO'!$G$3</f>
        <v>0</v>
      </c>
      <c r="I108" t="s">
        <v>126</v>
      </c>
      <c r="J108" s="80">
        <f>MAX('COPAS DE PACO'!A2:A1000)</f>
        <v>46002</v>
      </c>
    </row>
    <row r="109" spans="1:11" ht="19.95" customHeight="1" x14ac:dyDescent="0.3">
      <c r="A109" s="14">
        <v>98</v>
      </c>
      <c r="B109" s="58" t="str">
        <f>+'CONSUELO MENDOZA'!$B$1</f>
        <v>CONSUELO MENDOZA</v>
      </c>
      <c r="C109" s="67">
        <f>+'CONSUELO MENDOZA'!$B$2</f>
        <v>0</v>
      </c>
      <c r="D109" s="9">
        <f>+'CONSUELO MENDOZA'!$C$3</f>
        <v>1.4210854715202004E-14</v>
      </c>
      <c r="E109" s="11">
        <f>+'CONSUELO MENDOZA'!$D$3</f>
        <v>-2</v>
      </c>
      <c r="F109" s="12">
        <f>+'CONSUELO MENDOZA'!$E$3</f>
        <v>0</v>
      </c>
      <c r="G109" s="12">
        <f>+'CONSUELO MENDOZA'!$F$3</f>
        <v>0</v>
      </c>
      <c r="H109" s="10">
        <f>+'CONSUELO MENDOZA'!$G$3</f>
        <v>0</v>
      </c>
      <c r="I109" t="s">
        <v>122</v>
      </c>
      <c r="J109" s="80">
        <f>MAX('CONSUELO MENDOZA'!A2:A1000)</f>
        <v>46043</v>
      </c>
    </row>
    <row r="110" spans="1:11" ht="19.95" customHeight="1" x14ac:dyDescent="0.3">
      <c r="A110" s="14">
        <v>99</v>
      </c>
      <c r="B110" s="58" t="str">
        <f>+'CREACIONES YAKY'!$B$1</f>
        <v>CREACIONES YAKY</v>
      </c>
      <c r="C110" s="67" t="str">
        <f>+'CREACIONES YAKY'!$B$2</f>
        <v>YAKELIN VILLAMIZAR</v>
      </c>
      <c r="D110" s="9">
        <f>+'CREACIONES YAKY'!$C$3</f>
        <v>0</v>
      </c>
      <c r="E110" s="11">
        <f>+'CREACIONES YAKY'!$D$3</f>
        <v>2</v>
      </c>
      <c r="F110" s="12">
        <f>+'CREACIONES YAKY'!$E$3</f>
        <v>0</v>
      </c>
      <c r="G110" s="12">
        <f>+'CREACIONES YAKY'!$F$3</f>
        <v>0</v>
      </c>
      <c r="H110" s="10">
        <f>+'CREACIONES YAKY'!$G$3</f>
        <v>0</v>
      </c>
      <c r="I110" t="s">
        <v>122</v>
      </c>
      <c r="J110" s="80">
        <f>MAX('CREACIONES YAKY'!A2:A1000)</f>
        <v>45920</v>
      </c>
    </row>
    <row r="111" spans="1:11" ht="19.95" customHeight="1" x14ac:dyDescent="0.3">
      <c r="A111" s="14">
        <v>100</v>
      </c>
      <c r="B111" s="58" t="str">
        <f>+'DANIEL VERSIONES DURAN'!$B$1</f>
        <v>DANIEL VERSIONES DURAN</v>
      </c>
      <c r="C111" s="67">
        <f>+'DANIEL VERSIONES DURAN'!$B$2</f>
        <v>0</v>
      </c>
      <c r="D111" s="9">
        <f>+'DANIEL VERSIONES DURAN'!$C$3</f>
        <v>0</v>
      </c>
      <c r="E111" s="11">
        <f>+'DANIEL VERSIONES DURAN'!$D$3</f>
        <v>0</v>
      </c>
      <c r="F111" s="12">
        <f>+'DANIEL VERSIONES DURAN'!$E$3</f>
        <v>0</v>
      </c>
      <c r="G111" s="12">
        <f>+'DANIEL VERSIONES DURAN'!$F$3</f>
        <v>0</v>
      </c>
      <c r="H111" s="10">
        <f>+'DANIEL VERSIONES DURAN'!$G$3</f>
        <v>0</v>
      </c>
      <c r="I111" t="s">
        <v>121</v>
      </c>
      <c r="J111" s="80">
        <f>MAX('DANIEL VERSIONES DURAN'!A2:A1000)</f>
        <v>45904</v>
      </c>
    </row>
    <row r="112" spans="1:11" ht="19.95" customHeight="1" x14ac:dyDescent="0.3">
      <c r="A112" s="14">
        <v>101</v>
      </c>
      <c r="B112" s="58" t="str">
        <f>+'DARIANA ESCALANTE'!$B$1</f>
        <v>DARIANA ESCALANTE</v>
      </c>
      <c r="C112" s="67">
        <f>+'DARIANA ESCALANTE'!$B$2</f>
        <v>0</v>
      </c>
      <c r="D112" s="9">
        <f>+'DARIANA ESCALANTE'!$C$3</f>
        <v>86.22</v>
      </c>
      <c r="E112" s="11">
        <f>+'DARIANA ESCALANTE'!$D$3</f>
        <v>0</v>
      </c>
      <c r="F112" s="12">
        <f>+'DARIANA ESCALANTE'!$E$3</f>
        <v>-2</v>
      </c>
      <c r="G112" s="12">
        <f>+'DARIANA ESCALANTE'!$F$3</f>
        <v>-3</v>
      </c>
      <c r="H112" s="10">
        <f>+'DARIANA ESCALANTE'!$G$3</f>
        <v>0</v>
      </c>
      <c r="I112" t="s">
        <v>121</v>
      </c>
      <c r="J112" s="80">
        <f>MAX('DARIANA ESCALANTE'!A2:A1000)</f>
        <v>46052</v>
      </c>
    </row>
    <row r="113" spans="1:10" ht="19.95" customHeight="1" x14ac:dyDescent="0.3">
      <c r="A113" s="14">
        <v>102</v>
      </c>
      <c r="B113" s="58" t="str">
        <f>+'DAVID DIAZ'!$B$1</f>
        <v>DAVID DIAZ</v>
      </c>
      <c r="C113" s="67">
        <f>+'DAVID DIAZ'!$B$2</f>
        <v>0</v>
      </c>
      <c r="D113" s="9">
        <f>+'DAVID DIAZ'!$C$3</f>
        <v>153.90999999999971</v>
      </c>
      <c r="E113" s="11">
        <f>+'DAVID DIAZ'!$D$3</f>
        <v>2</v>
      </c>
      <c r="F113" s="12">
        <f>+'DAVID DIAZ'!$E$3</f>
        <v>1</v>
      </c>
      <c r="G113" s="12">
        <f>+'DAVID DIAZ'!$F$3</f>
        <v>0</v>
      </c>
      <c r="H113" s="10">
        <f>+'DAVID DIAZ'!$G$3</f>
        <v>0</v>
      </c>
      <c r="I113" t="s">
        <v>122</v>
      </c>
      <c r="J113" s="80">
        <f>MAX('DAVID DIAZ'!A2:A1000)</f>
        <v>46055</v>
      </c>
    </row>
    <row r="114" spans="1:10" ht="19.95" customHeight="1" x14ac:dyDescent="0.3">
      <c r="A114" s="14">
        <v>103</v>
      </c>
      <c r="B114" s="58" t="str">
        <f>+'DAVID MORALES'!$B$1</f>
        <v>DAVID MORALES</v>
      </c>
      <c r="C114" s="67">
        <f>+'DAVID MORALES'!$B$2</f>
        <v>0</v>
      </c>
      <c r="D114" s="9">
        <f>+'DAVID MORALES'!$C$3</f>
        <v>358.03000000000009</v>
      </c>
      <c r="E114" s="11">
        <f>+'DAVID MORALES'!$D$3</f>
        <v>7</v>
      </c>
      <c r="F114" s="12">
        <f>+'DAVID MORALES'!$E$3</f>
        <v>0</v>
      </c>
      <c r="G114" s="12">
        <f>+'DAVID MORALES'!$F$3</f>
        <v>0</v>
      </c>
      <c r="H114" s="10">
        <f>+'DAVID MORALES'!$G$3</f>
        <v>0</v>
      </c>
      <c r="I114" t="s">
        <v>128</v>
      </c>
      <c r="J114" s="80">
        <f>MAX('DAVID MORALES'!A2:A1000)</f>
        <v>46056</v>
      </c>
    </row>
    <row r="115" spans="1:10" ht="19.95" customHeight="1" x14ac:dyDescent="0.3">
      <c r="A115" s="14">
        <v>104</v>
      </c>
      <c r="B115" s="58" t="str">
        <f>+'MINIABASTO SANTO CRISTO'!$B$1</f>
        <v>MINIABASTO SANTO CRISTO</v>
      </c>
      <c r="C115" s="67" t="str">
        <f>+'MINIABASTO SANTO CRISTO'!$B$2</f>
        <v>LUIS DELGADO</v>
      </c>
      <c r="D115" s="9">
        <f>+'MINIABASTO SANTO CRISTO'!$C$3</f>
        <v>263.03399999999999</v>
      </c>
      <c r="E115" s="11">
        <f>+'MINIABASTO SANTO CRISTO'!$D$3</f>
        <v>0</v>
      </c>
      <c r="F115" s="12">
        <f>+'MINIABASTO SANTO CRISTO'!$E$3</f>
        <v>0</v>
      </c>
      <c r="G115" s="12">
        <f>+'MINIABASTO SANTO CRISTO'!$F$3</f>
        <v>0</v>
      </c>
      <c r="H115" s="10">
        <f>+'MINIABASTO SANTO CRISTO'!$G$3</f>
        <v>0</v>
      </c>
      <c r="I115" t="s">
        <v>121</v>
      </c>
      <c r="J115" s="80">
        <f>MAX('MINIABASTO SANTO CRISTO'!A2:A1000)</f>
        <v>46056</v>
      </c>
    </row>
    <row r="116" spans="1:10" ht="19.95" customHeight="1" x14ac:dyDescent="0.3">
      <c r="A116" s="14">
        <v>105</v>
      </c>
      <c r="B116" s="58" t="str">
        <f>+'DE PANA'!$B$1</f>
        <v>DE PANA</v>
      </c>
      <c r="C116" s="67" t="str">
        <f>+'DE PANA'!$B$2</f>
        <v>KEVIN HERNANDEZ</v>
      </c>
      <c r="D116" s="9">
        <f>+'DE PANA'!$C$3</f>
        <v>-1.4210854715202004E-14</v>
      </c>
      <c r="E116" s="11">
        <f>+'DE PANA'!$D$3</f>
        <v>0</v>
      </c>
      <c r="F116" s="12">
        <f>+'DE PANA'!$E$3</f>
        <v>0</v>
      </c>
      <c r="G116" s="12">
        <f>+'DE PANA'!$F$3</f>
        <v>0</v>
      </c>
      <c r="H116" s="10">
        <f>+'DE PANA'!$G$3</f>
        <v>0</v>
      </c>
      <c r="I116" t="s">
        <v>122</v>
      </c>
      <c r="J116" s="80">
        <f>MAX('DE PANA'!A2:A1000)</f>
        <v>45996</v>
      </c>
    </row>
    <row r="117" spans="1:10" ht="19.95" customHeight="1" x14ac:dyDescent="0.3">
      <c r="A117" s="14">
        <v>106</v>
      </c>
      <c r="B117" s="58" t="str">
        <f>+'DELMIRA RAMIREZ'!$B$1</f>
        <v>DELMIRA RAMIREZ</v>
      </c>
      <c r="C117" s="67">
        <f>+'DELMIRA RAMIREZ'!$B$2</f>
        <v>0</v>
      </c>
      <c r="D117" s="9">
        <f>+'DELMIRA RAMIREZ'!$C$3</f>
        <v>30.61999999999999</v>
      </c>
      <c r="E117" s="11">
        <f>+'DELMIRA RAMIREZ'!$D$3</f>
        <v>0</v>
      </c>
      <c r="F117" s="12">
        <f>+'DELMIRA RAMIREZ'!$E$3</f>
        <v>0</v>
      </c>
      <c r="G117" s="12">
        <f>+'DELMIRA RAMIREZ'!$F$3</f>
        <v>0</v>
      </c>
      <c r="H117" s="10">
        <f>+'DELMIRA RAMIREZ'!$G$3</f>
        <v>0</v>
      </c>
      <c r="I117" t="s">
        <v>122</v>
      </c>
      <c r="J117" s="80">
        <f>MAX('DELMIRA RAMIREZ'!A2:A1000)</f>
        <v>46037</v>
      </c>
    </row>
    <row r="118" spans="1:10" ht="19.95" customHeight="1" x14ac:dyDescent="0.3">
      <c r="A118" s="14">
        <v>107</v>
      </c>
      <c r="B118" s="58" t="str">
        <f>+'DISTRIBUIDO DE DOS'!$B$1</f>
        <v>DISTRIBUIDO DE DOS</v>
      </c>
      <c r="C118" s="67">
        <f>+'DISTRIBUIDO DE DOS'!$B$2</f>
        <v>0</v>
      </c>
      <c r="D118" s="9">
        <f>+'DISTRIBUIDO DE DOS'!$C$3</f>
        <v>0</v>
      </c>
      <c r="E118" s="11">
        <f>+'DISTRIBUIDO DE DOS'!$D$3</f>
        <v>0</v>
      </c>
      <c r="F118" s="12">
        <f>+'DISTRIBUIDO DE DOS'!$E$3</f>
        <v>0</v>
      </c>
      <c r="G118" s="12">
        <f>+'DISTRIBUIDO DE DOS'!$F$3</f>
        <v>0</v>
      </c>
      <c r="H118" s="10">
        <f>+'DISTRIBUIDO DE DOS'!$G$3</f>
        <v>0</v>
      </c>
      <c r="I118" t="s">
        <v>121</v>
      </c>
      <c r="J118" s="80">
        <f>MAX('DISTRIBUIDO DE DOS'!A2:A1000)</f>
        <v>46056</v>
      </c>
    </row>
    <row r="119" spans="1:10" ht="19.95" customHeight="1" x14ac:dyDescent="0.3">
      <c r="A119" s="14">
        <v>108</v>
      </c>
      <c r="B119" s="58" t="str">
        <f>+'DISTRIBUIDORA LUCHENI'!$B$1</f>
        <v>DISTRIBUIDORA LUCHENI</v>
      </c>
      <c r="C119" s="67" t="str">
        <f>+'DISTRIBUIDORA LUCHENI'!$B$2</f>
        <v>YORMAN COLMENARES</v>
      </c>
      <c r="D119" s="9">
        <f>+'DISTRIBUIDORA LUCHENI'!$C$3</f>
        <v>0</v>
      </c>
      <c r="E119" s="11">
        <f>+'DISTRIBUIDORA LUCHENI'!$D$3</f>
        <v>0</v>
      </c>
      <c r="F119" s="12">
        <f>+'DISTRIBUIDORA LUCHENI'!$E$3</f>
        <v>2</v>
      </c>
      <c r="G119" s="12">
        <f>+'DISTRIBUIDORA LUCHENI'!$F$3</f>
        <v>0</v>
      </c>
      <c r="H119" s="10">
        <f>+'DISTRIBUIDORA LUCHENI'!$G$3</f>
        <v>0</v>
      </c>
      <c r="I119" t="s">
        <v>122</v>
      </c>
      <c r="J119" s="80">
        <f>MAX('DISTRIBUIDORA LUCHENI'!A2:A1000)</f>
        <v>46017</v>
      </c>
    </row>
    <row r="120" spans="1:10" ht="19.95" customHeight="1" x14ac:dyDescent="0.3">
      <c r="A120" s="14">
        <v>109</v>
      </c>
      <c r="B120" s="58" t="str">
        <f>+'DISTRIPOLLO LOS ANDES'!$B$1</f>
        <v>DISTRIPOLLO LOS ANDES</v>
      </c>
      <c r="C120" s="67" t="str">
        <f>+'DISTRIPOLLO LOS ANDES'!$B$2</f>
        <v xml:space="preserve">JUAN CARLOS CHACON </v>
      </c>
      <c r="D120" s="9">
        <f>+'DISTRIPOLLO LOS ANDES'!$C$3</f>
        <v>211.32000000000002</v>
      </c>
      <c r="E120" s="11">
        <f>+'DISTRIPOLLO LOS ANDES'!$D$3</f>
        <v>0</v>
      </c>
      <c r="F120" s="12">
        <f>+'DISTRIPOLLO LOS ANDES'!$E$3</f>
        <v>0</v>
      </c>
      <c r="G120" s="12">
        <f>+'DISTRIPOLLO LOS ANDES'!$F$3</f>
        <v>0</v>
      </c>
      <c r="H120" s="10">
        <f>+'DISTRIPOLLO LOS ANDES'!$G$3</f>
        <v>0</v>
      </c>
      <c r="I120" t="s">
        <v>121</v>
      </c>
      <c r="J120" s="80">
        <f>MAX('DISTRIPOLLO LOS ANDES'!A2:A1000)</f>
        <v>46049</v>
      </c>
    </row>
    <row r="121" spans="1:10" ht="19.95" customHeight="1" x14ac:dyDescent="0.3">
      <c r="A121" s="14">
        <v>110</v>
      </c>
      <c r="B121" s="58" t="str">
        <f>+'DON LEO'!$B$1</f>
        <v>DON LEO</v>
      </c>
      <c r="C121" s="67">
        <f>+'DON LEO'!$B$2</f>
        <v>0</v>
      </c>
      <c r="D121" s="9">
        <f>+'DON LEO'!$C$3</f>
        <v>7.8900000000000503</v>
      </c>
      <c r="E121" s="11">
        <f>+'DON LEO'!$D$3</f>
        <v>1</v>
      </c>
      <c r="F121" s="12">
        <f>+'DON LEO'!$E$3</f>
        <v>0</v>
      </c>
      <c r="G121" s="12">
        <f>+'DON LEO'!$F$3</f>
        <v>0</v>
      </c>
      <c r="H121" s="10">
        <f>+'DON LEO'!$G$3</f>
        <v>0</v>
      </c>
      <c r="I121" t="s">
        <v>121</v>
      </c>
      <c r="J121" s="80">
        <f>MAX('DON LEO'!A2:A1000)</f>
        <v>46056</v>
      </c>
    </row>
    <row r="122" spans="1:10" ht="19.95" customHeight="1" x14ac:dyDescent="0.3">
      <c r="A122" s="14">
        <v>111</v>
      </c>
      <c r="B122" s="58" t="str">
        <f>+'DON HECTOR'!$B$1</f>
        <v>DON HECTOR</v>
      </c>
      <c r="C122" s="67">
        <f>+'DON HECTOR'!$B$2</f>
        <v>0</v>
      </c>
      <c r="D122" s="9">
        <f>+'DON HECTOR'!$C$3</f>
        <v>0</v>
      </c>
      <c r="E122" s="11">
        <f>+'DON HECTOR'!$D$3</f>
        <v>0</v>
      </c>
      <c r="F122" s="12">
        <f>+'DON HECTOR'!$E$3</f>
        <v>0</v>
      </c>
      <c r="G122" s="12">
        <f>+'DON HECTOR'!$F$3</f>
        <v>0</v>
      </c>
      <c r="H122" s="10">
        <f>+'DON HECTOR'!$G$3</f>
        <v>0</v>
      </c>
      <c r="I122" t="s">
        <v>121</v>
      </c>
      <c r="J122" s="80">
        <f>MAX('DON HECTOR'!A2:A1000)</f>
        <v>45831</v>
      </c>
    </row>
    <row r="123" spans="1:10" ht="19.95" customHeight="1" x14ac:dyDescent="0.3">
      <c r="A123" s="14">
        <v>112</v>
      </c>
      <c r="B123" s="119" t="str">
        <f>+'DONDE MIGUEL'!$B$1</f>
        <v>DONDE MIGUEL</v>
      </c>
      <c r="C123" s="67">
        <f>+'DONDE MIGUEL'!$B$2</f>
        <v>0</v>
      </c>
      <c r="D123" s="9">
        <f>+'DONDE MIGUEL'!$C$3</f>
        <v>858.40999999999985</v>
      </c>
      <c r="E123" s="11">
        <f>+'DONDE MIGUEL'!$D$3</f>
        <v>1</v>
      </c>
      <c r="F123" s="12">
        <f>+'DONDE MIGUEL'!$E$3</f>
        <v>0</v>
      </c>
      <c r="G123" s="12">
        <f>+'DONDE MIGUEL'!$F$3</f>
        <v>0</v>
      </c>
      <c r="H123" s="10">
        <f>+'DONDE MIGUEL'!$G$3</f>
        <v>0</v>
      </c>
      <c r="I123" t="s">
        <v>122</v>
      </c>
    </row>
    <row r="124" spans="1:10" ht="19.95" customHeight="1" x14ac:dyDescent="0.3">
      <c r="A124" s="14">
        <v>113</v>
      </c>
      <c r="B124" s="58" t="str">
        <f>+'DONDE QUIERA FOOD HOUSE'!$B$1</f>
        <v>DONDE QUIERA FOOD HOUSE</v>
      </c>
      <c r="C124" s="67" t="str">
        <f>+'DONDE QUIERA FOOD HOUSE'!$B$2</f>
        <v>RAFAEL RUIZ</v>
      </c>
      <c r="D124" s="9">
        <f>+'DONDE QUIERA FOOD HOUSE'!$C$3</f>
        <v>11.64</v>
      </c>
      <c r="E124" s="11">
        <f>+'DONDE QUIERA FOOD HOUSE'!$D$3</f>
        <v>0</v>
      </c>
      <c r="F124" s="12">
        <f>+'DONDE QUIERA FOOD HOUSE'!$E$3</f>
        <v>0</v>
      </c>
      <c r="G124" s="12">
        <f>+'DONDE QUIERA FOOD HOUSE'!$F$3</f>
        <v>0</v>
      </c>
      <c r="H124" s="10">
        <f>+'DONDE QUIERA FOOD HOUSE'!$G$3</f>
        <v>0</v>
      </c>
      <c r="I124" t="s">
        <v>122</v>
      </c>
      <c r="J124" s="80">
        <f>MAX('DONDE QUIERA FOOD HOUSE'!A2:A1000)</f>
        <v>46052</v>
      </c>
    </row>
    <row r="125" spans="1:10" ht="19.95" customHeight="1" x14ac:dyDescent="0.3">
      <c r="A125" s="14">
        <v>114</v>
      </c>
      <c r="B125" s="58" t="str">
        <f>+'DONDE YENNY'!$B$1</f>
        <v>DONDE YENNY</v>
      </c>
      <c r="C125" s="67" t="str">
        <f>+'DONDE YENNY'!$B$2</f>
        <v>YENNY CASANDUA</v>
      </c>
      <c r="D125" s="9">
        <f>+'DONDE YENNY'!$C$3</f>
        <v>177.81999999999994</v>
      </c>
      <c r="E125" s="11">
        <f>+'DONDE YENNY'!$D$3</f>
        <v>0</v>
      </c>
      <c r="F125" s="12">
        <f>+'DONDE YENNY'!$E$3</f>
        <v>0</v>
      </c>
      <c r="G125" s="12">
        <f>+'DONDE YENNY'!$F$3</f>
        <v>0</v>
      </c>
      <c r="H125" s="10">
        <f>+'DONDE YENNY'!$G$3</f>
        <v>0</v>
      </c>
      <c r="I125" t="s">
        <v>122</v>
      </c>
      <c r="J125" s="80">
        <f>MAX('DONDE YENNY'!A2:A1000)</f>
        <v>46051</v>
      </c>
    </row>
    <row r="126" spans="1:10" ht="19.95" customHeight="1" x14ac:dyDescent="0.3">
      <c r="A126" s="14">
        <v>115</v>
      </c>
      <c r="B126" s="58" t="str">
        <f>+'DORIS CAICEDO'!$B$1</f>
        <v>DORIS CAICEDO</v>
      </c>
      <c r="C126" s="67">
        <f>+'DORIS CAICEDO'!$B$2</f>
        <v>0</v>
      </c>
      <c r="D126" s="9">
        <f>+'DORIS CAICEDO'!$C$3</f>
        <v>-75.66</v>
      </c>
      <c r="E126" s="11">
        <f>+'DORIS CAICEDO'!$D$3</f>
        <v>0</v>
      </c>
      <c r="F126" s="12">
        <f>+'DORIS CAICEDO'!$E$3</f>
        <v>0</v>
      </c>
      <c r="G126" s="12">
        <f>+'DORIS CAICEDO'!$F$3</f>
        <v>0</v>
      </c>
      <c r="H126" s="10">
        <f>+'DORIS CAICEDO'!$G$3</f>
        <v>0</v>
      </c>
      <c r="I126" t="s">
        <v>121</v>
      </c>
      <c r="J126" s="80">
        <f>MAX('DORIS CAICEDO'!A2:A1000)</f>
        <v>46055</v>
      </c>
    </row>
    <row r="127" spans="1:10" ht="19.95" customHeight="1" x14ac:dyDescent="0.3">
      <c r="A127" s="14">
        <v>116</v>
      </c>
      <c r="B127" s="58" t="str">
        <f>+'DORIS MOGOLLON'!$B$1</f>
        <v>DORIS MOGOLLON</v>
      </c>
      <c r="C127" s="67">
        <f>+'DORIS MOGOLLON'!$B$2</f>
        <v>0</v>
      </c>
      <c r="D127" s="9">
        <f>+'DORIS MOGOLLON'!$C$3</f>
        <v>239.26</v>
      </c>
      <c r="E127" s="11">
        <f>+'DORIS MOGOLLON'!$D$3</f>
        <v>0</v>
      </c>
      <c r="F127" s="12">
        <f>+'DORIS MOGOLLON'!$E$3</f>
        <v>0</v>
      </c>
      <c r="G127" s="12">
        <f>+'DORIS MOGOLLON'!$F$3</f>
        <v>0</v>
      </c>
      <c r="H127" s="10">
        <f>+'DORIS MOGOLLON'!$G$3</f>
        <v>0</v>
      </c>
      <c r="I127" t="s">
        <v>122</v>
      </c>
      <c r="J127" s="80">
        <f>MAX('DORIS MOGOLLON'!A2:A1000)</f>
        <v>46052</v>
      </c>
    </row>
    <row r="128" spans="1:10" ht="19.95" customHeight="1" x14ac:dyDescent="0.3">
      <c r="A128" s="14">
        <v>117</v>
      </c>
      <c r="B128" s="58" t="str">
        <f>+'EDICSON HERRERA'!$B$1</f>
        <v>EDICSON HERRERA</v>
      </c>
      <c r="C128" s="67">
        <f>+'EDICSON HERRERA'!$B$2</f>
        <v>0</v>
      </c>
      <c r="D128" s="9">
        <f>+'EDICSON HERRERA'!$C$3</f>
        <v>-1.9999999999967599E-2</v>
      </c>
      <c r="E128" s="11">
        <f>+'EDICSON HERRERA'!$D$3</f>
        <v>0</v>
      </c>
      <c r="F128" s="12">
        <f>+'EDICSON HERRERA'!$E$3</f>
        <v>0</v>
      </c>
      <c r="G128" s="12">
        <f>+'EDICSON HERRERA'!$F$3</f>
        <v>0</v>
      </c>
      <c r="H128" s="10">
        <f>+'EDICSON HERRERA'!$G$3</f>
        <v>0</v>
      </c>
      <c r="I128" t="s">
        <v>122</v>
      </c>
      <c r="J128" s="80">
        <f>MAX('EDICSON HERRERA'!A2:A1000)</f>
        <v>45938</v>
      </c>
    </row>
    <row r="129" spans="1:10" ht="19.95" customHeight="1" x14ac:dyDescent="0.3">
      <c r="A129" s="14">
        <v>118</v>
      </c>
      <c r="B129" s="58" t="str">
        <f>+'EDUAR GARCIA'!$B$1</f>
        <v>EDUAR GARCIA</v>
      </c>
      <c r="C129" s="67" t="str">
        <f>+'EDUAR GARCIA'!$B$2</f>
        <v xml:space="preserve">GENERICOS </v>
      </c>
      <c r="D129" s="9">
        <f>+'EDUAR GARCIA'!$C$3</f>
        <v>0.12999999999999545</v>
      </c>
      <c r="E129" s="11">
        <f>+'EDUAR GARCIA'!$D$3</f>
        <v>0</v>
      </c>
      <c r="F129" s="12">
        <f>+'EDUAR GARCIA'!$E$3</f>
        <v>0</v>
      </c>
      <c r="G129" s="12">
        <f>+'EDUAR GARCIA'!$F$3</f>
        <v>0</v>
      </c>
      <c r="H129" s="10">
        <f>+'EDUAR GARCIA'!$G$3</f>
        <v>0</v>
      </c>
      <c r="I129" t="s">
        <v>121</v>
      </c>
      <c r="J129" s="80">
        <f>MAX('EDUAR GARCIA'!A2:A1000)</f>
        <v>46010</v>
      </c>
    </row>
    <row r="130" spans="1:10" ht="19.95" customHeight="1" x14ac:dyDescent="0.3">
      <c r="A130" s="14">
        <v>119</v>
      </c>
      <c r="B130" s="58" t="str">
        <f>+'EL ATAJO CAFE'!$B$1</f>
        <v>EL ATAJO CAFE</v>
      </c>
      <c r="C130" s="67" t="str">
        <f>+'EL ATAJO CAFE'!$B$2</f>
        <v>NERSA CONTRERAS</v>
      </c>
      <c r="D130" s="9">
        <f>+'EL ATAJO CAFE'!$C$3</f>
        <v>61.11999999999999</v>
      </c>
      <c r="E130" s="11">
        <f>+'EL ATAJO CAFE'!$D$3</f>
        <v>0</v>
      </c>
      <c r="F130" s="12">
        <f>+'EL ATAJO CAFE'!$E$3</f>
        <v>0</v>
      </c>
      <c r="G130" s="12">
        <f>+'EL ATAJO CAFE'!$F$3</f>
        <v>0</v>
      </c>
      <c r="H130" s="10">
        <f>+'EL ATAJO CAFE'!$G$3</f>
        <v>0</v>
      </c>
      <c r="I130" t="s">
        <v>122</v>
      </c>
      <c r="J130" s="80">
        <f>MAX('EL ATAJO CAFE'!A2:A1000)</f>
        <v>46043</v>
      </c>
    </row>
    <row r="131" spans="1:10" ht="19.95" customHeight="1" x14ac:dyDescent="0.3">
      <c r="A131" s="14">
        <v>120</v>
      </c>
      <c r="B131" s="58" t="str">
        <f>+'EL GRONE GOMEZ'!$B$1</f>
        <v>EL GRONE GOMEZ</v>
      </c>
      <c r="C131" s="67" t="str">
        <f>+'EL GRONE GOMEZ'!$B$2</f>
        <v>JESUS GOMEZ</v>
      </c>
      <c r="D131" s="9">
        <f>+'EL GRONE GOMEZ'!$C$3</f>
        <v>84.370000000000104</v>
      </c>
      <c r="E131" s="11">
        <f>+'EL GRONE GOMEZ'!$D$3</f>
        <v>0</v>
      </c>
      <c r="F131" s="12">
        <f>+'EL GRONE GOMEZ'!$E$3</f>
        <v>0</v>
      </c>
      <c r="G131" s="12">
        <f>+'EL GRONE GOMEZ'!$F$3</f>
        <v>0</v>
      </c>
      <c r="H131" s="10">
        <f>+'EL GRONE GOMEZ'!$G$3</f>
        <v>0</v>
      </c>
      <c r="I131" t="s">
        <v>122</v>
      </c>
      <c r="J131" s="80">
        <f>MAX('EL GRONE GOMEZ'!A2:A1000)</f>
        <v>46038</v>
      </c>
    </row>
    <row r="132" spans="1:10" ht="19.95" customHeight="1" x14ac:dyDescent="0.3">
      <c r="A132" s="14">
        <v>121</v>
      </c>
      <c r="B132" s="58" t="str">
        <f>+'EL REY CACHAPA'!$B$1</f>
        <v>EL REY CACHAPA</v>
      </c>
      <c r="C132" s="67">
        <f>+'EL REY CACHAPA'!$B$2</f>
        <v>0</v>
      </c>
      <c r="D132" s="9">
        <f>+'EL REY CACHAPA'!$C$3</f>
        <v>-0.83000000000001251</v>
      </c>
      <c r="E132" s="11">
        <f>+'EL REY CACHAPA'!$D$3</f>
        <v>0</v>
      </c>
      <c r="F132" s="12">
        <f>+'EL REY CACHAPA'!$E$3</f>
        <v>0</v>
      </c>
      <c r="G132" s="12">
        <f>+'EL REY CACHAPA'!$F$3</f>
        <v>0</v>
      </c>
      <c r="H132" s="10">
        <f>+'EL REY CACHAPA'!$G$3</f>
        <v>0</v>
      </c>
      <c r="I132" t="s">
        <v>121</v>
      </c>
      <c r="J132" s="80">
        <f>MAX('EL REY CACHAPA'!A2:A1000)</f>
        <v>46045</v>
      </c>
    </row>
    <row r="133" spans="1:10" ht="19.95" customHeight="1" x14ac:dyDescent="0.3">
      <c r="A133" s="14">
        <v>122</v>
      </c>
      <c r="B133" s="58" t="str">
        <f>+'EL RINCON DEL DULCE'!$B$1</f>
        <v>EL RINCON DEL DULCE</v>
      </c>
      <c r="C133" s="67" t="str">
        <f>+'EL RINCON DEL DULCE'!$B$2</f>
        <v>PEDRO GARCIA</v>
      </c>
      <c r="D133" s="9">
        <f>+'EL RINCON DEL DULCE'!$C$3</f>
        <v>-3.0000000000029114E-2</v>
      </c>
      <c r="E133" s="11">
        <f>+'EL RINCON DEL DULCE'!$D$3</f>
        <v>0</v>
      </c>
      <c r="F133" s="12">
        <f>+'EL RINCON DEL DULCE'!$E$3</f>
        <v>0</v>
      </c>
      <c r="G133" s="12">
        <f>+'EL RINCON DEL DULCE'!$F$3</f>
        <v>0</v>
      </c>
      <c r="H133" s="10">
        <f>+'EL RINCON DEL DULCE'!$G$3</f>
        <v>0</v>
      </c>
      <c r="I133" t="s">
        <v>122</v>
      </c>
      <c r="J133" s="80">
        <f>MAX('EL RINCON DEL DULCE'!A2:A1000)</f>
        <v>45996</v>
      </c>
    </row>
    <row r="134" spans="1:10" ht="19.95" customHeight="1" x14ac:dyDescent="0.3">
      <c r="A134" s="14">
        <v>123</v>
      </c>
      <c r="B134" s="58" t="str">
        <f>+'EMPRENDIMIENTO EDGAR'!$B$1</f>
        <v>EMPRENDIMIENTO EDGAR</v>
      </c>
      <c r="C134" s="67">
        <f>+'EMPRENDIMIENTO EDGAR'!$B$2</f>
        <v>0</v>
      </c>
      <c r="D134" s="9">
        <f>+'EMPRENDIMIENTO EDGAR'!$C$3</f>
        <v>0</v>
      </c>
      <c r="E134" s="11">
        <f>+'EMPRENDIMIENTO EDGAR'!$D$3</f>
        <v>0</v>
      </c>
      <c r="F134" s="12">
        <f>+'EMPRENDIMIENTO EDGAR'!$E$3</f>
        <v>0</v>
      </c>
      <c r="G134" s="12">
        <f>+'EMPRENDIMIENTO EDGAR'!$F$3</f>
        <v>0</v>
      </c>
      <c r="H134" s="10">
        <f>+'EMPRENDIMIENTO EDGAR'!$G$3</f>
        <v>0</v>
      </c>
      <c r="I134" t="s">
        <v>121</v>
      </c>
      <c r="J134" s="80">
        <f>MAX('EMPRENDIMIENTO EDGAR'!A2:A1000)</f>
        <v>45834</v>
      </c>
    </row>
    <row r="135" spans="1:10" ht="19.95" customHeight="1" x14ac:dyDescent="0.3">
      <c r="A135" s="14">
        <v>124</v>
      </c>
      <c r="B135" s="58" t="str">
        <f>+'EMPANADA ANA RAMIREZ'!$B$1</f>
        <v>EMPANADA ANA RAMIREZ</v>
      </c>
      <c r="C135" s="67">
        <f>+'EMPANADA ANA RAMIREZ'!$B$2</f>
        <v>0</v>
      </c>
      <c r="D135" s="9">
        <f>+'EMPANADA ANA RAMIREZ'!$C$3</f>
        <v>0</v>
      </c>
      <c r="E135" s="11">
        <f>+'EMPANADA ANA RAMIREZ'!$D$3</f>
        <v>0</v>
      </c>
      <c r="F135" s="12">
        <f>+'EMPANADA ANA RAMIREZ'!$E$3</f>
        <v>0</v>
      </c>
      <c r="G135" s="12">
        <f>+'EMPANADA ANA RAMIREZ'!$F$3</f>
        <v>0</v>
      </c>
      <c r="H135" s="10">
        <f>+'EMPANADA ANA RAMIREZ'!$G$3</f>
        <v>0</v>
      </c>
      <c r="I135" t="s">
        <v>121</v>
      </c>
      <c r="J135" s="80">
        <f>MAX('EMPANADA ANA RAMIREZ'!A2:A1000)</f>
        <v>45926</v>
      </c>
    </row>
    <row r="136" spans="1:10" ht="19.95" customHeight="1" x14ac:dyDescent="0.3">
      <c r="A136" s="14">
        <v>125</v>
      </c>
      <c r="B136" s="119" t="str">
        <f>+'EMPANADA BELKIS ZAMBRANO'!$B$1</f>
        <v>EMPANADA BELKIS ZAMBRANO</v>
      </c>
      <c r="C136" s="67">
        <f>+'EMPANADA BELKIS ZAMBRANO'!$B$2</f>
        <v>0</v>
      </c>
      <c r="D136" s="9">
        <f>+'EMPANADA BELKIS ZAMBRANO'!$C$3</f>
        <v>0</v>
      </c>
      <c r="E136" s="11">
        <f>+'EMPANADA BELKIS ZAMBRANO'!$D$3</f>
        <v>0</v>
      </c>
      <c r="F136" s="12">
        <f>+'EMPANADA BELKIS ZAMBRANO'!$E$3</f>
        <v>0</v>
      </c>
      <c r="G136" s="12">
        <f>+'EMPANADA BELKIS ZAMBRANO'!$F$3</f>
        <v>0</v>
      </c>
      <c r="H136" s="10">
        <f>+'EMPANADA BELKIS ZAMBRANO'!$G$3</f>
        <v>0</v>
      </c>
      <c r="I136" t="s">
        <v>121</v>
      </c>
    </row>
    <row r="137" spans="1:10" ht="19.95" customHeight="1" x14ac:dyDescent="0.3">
      <c r="A137" s="14">
        <v>126</v>
      </c>
      <c r="B137" s="58" t="str">
        <f>+'EMPANA LAS NONAS'!$B$1</f>
        <v>EMPANADAS LAS NONAS</v>
      </c>
      <c r="C137" s="67">
        <f>+'EMPANA LAS NONAS'!$B$2</f>
        <v>0</v>
      </c>
      <c r="D137" s="9">
        <f>+'EMPANA LAS NONAS'!$C$3</f>
        <v>42.22999999999999</v>
      </c>
      <c r="E137" s="11">
        <f>+'EMPANA LAS NONAS'!$D$3</f>
        <v>0</v>
      </c>
      <c r="F137" s="12">
        <f>+'EMPANA LAS NONAS'!$E$3</f>
        <v>0</v>
      </c>
      <c r="G137" s="12">
        <f>+'EMPANA LAS NONAS'!$F$3</f>
        <v>0</v>
      </c>
      <c r="H137" s="10">
        <f>+'EMPANA LAS NONAS'!$G$3</f>
        <v>0</v>
      </c>
      <c r="I137" t="s">
        <v>121</v>
      </c>
      <c r="J137" s="80">
        <f>MAX('EMPANA LAS NONAS'!A2:A1000)</f>
        <v>46055</v>
      </c>
    </row>
    <row r="138" spans="1:10" ht="19.95" customHeight="1" x14ac:dyDescent="0.3">
      <c r="A138" s="14"/>
      <c r="B138" s="119" t="str">
        <f>+'EMPANADA LIAM'!$B$1</f>
        <v>EMPANADA LIAM</v>
      </c>
      <c r="C138" s="67">
        <f>+'EMPANADA LIAM'!$B$2</f>
        <v>0</v>
      </c>
      <c r="D138" s="9">
        <f>+'EMPANADA LIAM'!$C$3</f>
        <v>0</v>
      </c>
      <c r="E138" s="11">
        <f>+'EMPANADA LIAM'!$D$3</f>
        <v>0</v>
      </c>
      <c r="F138" s="12">
        <f>+'EMPANADA LIAM'!$E$3</f>
        <v>0</v>
      </c>
      <c r="G138" s="12">
        <f>+'EMPANADA LIAM'!$F$3</f>
        <v>0</v>
      </c>
      <c r="H138" s="10">
        <f>+'EMPANADA LIAM'!$G$3</f>
        <v>0</v>
      </c>
      <c r="I138" t="s">
        <v>121</v>
      </c>
    </row>
    <row r="139" spans="1:10" ht="19.95" customHeight="1" x14ac:dyDescent="0.3">
      <c r="A139" s="14">
        <v>127</v>
      </c>
      <c r="B139" s="58" t="str">
        <f>+'EMPANA SANTA TERESA'!$B$1</f>
        <v>EMPANA SANTA TERESA</v>
      </c>
      <c r="C139" s="67">
        <f>+'EMPANA SANTA TERESA'!$B$2</f>
        <v>0</v>
      </c>
      <c r="D139" s="9">
        <f>+'EMPANA SANTA TERESA'!$C$3</f>
        <v>-0.78000000000000114</v>
      </c>
      <c r="E139" s="11">
        <f>+'EMPANA SANTA TERESA'!$D$3</f>
        <v>0</v>
      </c>
      <c r="F139" s="12">
        <f>+'EMPANA SANTA TERESA'!$E$3</f>
        <v>0</v>
      </c>
      <c r="G139" s="12">
        <f>+'EMPANA SANTA TERESA'!$F$3</f>
        <v>0</v>
      </c>
      <c r="H139" s="10">
        <f>+'EMPANA SANTA TERESA'!$G$3</f>
        <v>0</v>
      </c>
      <c r="I139" t="s">
        <v>121</v>
      </c>
      <c r="J139" s="80">
        <f>MAX('EMPANA SANTA TERESA'!A2:A1000)</f>
        <v>45869</v>
      </c>
    </row>
    <row r="140" spans="1:10" ht="19.95" customHeight="1" x14ac:dyDescent="0.3">
      <c r="A140" s="14">
        <v>128</v>
      </c>
      <c r="B140" s="58" t="str">
        <f>+'EMPRENDIMIENTO LARRY'!$B$1</f>
        <v>EMPRENDIMIENTO LARRY</v>
      </c>
      <c r="C140" s="67" t="str">
        <f>+'EMPRENDIMIENTO LARRY'!$B$2</f>
        <v>LARRY SANCHEZ</v>
      </c>
      <c r="D140" s="9">
        <f>+'EMPRENDIMIENTO LARRY'!$C$3</f>
        <v>449.97</v>
      </c>
      <c r="E140" s="11">
        <f>+'EMPRENDIMIENTO LARRY'!$D$3</f>
        <v>3</v>
      </c>
      <c r="F140" s="12">
        <f>+'EMPRENDIMIENTO LARRY'!$E$3</f>
        <v>0</v>
      </c>
      <c r="G140" s="12">
        <f>+'EMPRENDIMIENTO LARRY'!$F$3</f>
        <v>0</v>
      </c>
      <c r="H140" s="10">
        <f>+'EMPRENDIMIENTO LARRY'!$G$3</f>
        <v>0</v>
      </c>
      <c r="I140" t="s">
        <v>121</v>
      </c>
      <c r="J140" s="80">
        <f>MAX('EMPRENDIMIENTO LARRY'!A2:A1000)</f>
        <v>46050</v>
      </c>
    </row>
    <row r="141" spans="1:10" ht="19.95" customHeight="1" x14ac:dyDescent="0.3">
      <c r="A141" s="14">
        <v>129</v>
      </c>
      <c r="B141" s="58" t="str">
        <f>+'EMPRENDIMIENTO MAIBEL'!$B$1</f>
        <v>EMPRENDIMIENTO MAIBEL</v>
      </c>
      <c r="C141" s="67" t="str">
        <f>+'EMPRENDIMIENTO MAIBEL'!$B$2</f>
        <v>MAIBEL MOLINA</v>
      </c>
      <c r="D141" s="9">
        <f>+'EMPRENDIMIENTO MAIBEL'!$C$3</f>
        <v>-9.9999999998914291E-3</v>
      </c>
      <c r="E141" s="11">
        <f>+'EMPRENDIMIENTO MAIBEL'!$D$3</f>
        <v>1</v>
      </c>
      <c r="F141" s="12">
        <f>+'EMPRENDIMIENTO MAIBEL'!$E$3</f>
        <v>-1</v>
      </c>
      <c r="G141" s="12">
        <f>+'EMPRENDIMIENTO MAIBEL'!$F$3</f>
        <v>0</v>
      </c>
      <c r="H141" s="10">
        <f>+'EMPRENDIMIENTO MAIBEL'!$G$3</f>
        <v>0</v>
      </c>
      <c r="I141" t="s">
        <v>121</v>
      </c>
      <c r="J141" s="80">
        <f>MAX('EMPRENDIMIENTO MAIBEL'!A2:A1000)</f>
        <v>46050</v>
      </c>
    </row>
    <row r="142" spans="1:10" ht="19.95" customHeight="1" x14ac:dyDescent="0.3">
      <c r="A142" s="14">
        <v>130</v>
      </c>
      <c r="B142" s="58" t="str">
        <f>+'EMPRENDIMIENTO MANZO'!$B$1</f>
        <v>EMPRENDIMIENTO MANZO</v>
      </c>
      <c r="C142" s="67">
        <f>+'EMPRENDIMIENTO MANZO'!$B$2</f>
        <v>0</v>
      </c>
      <c r="D142" s="9">
        <f>+'EMPRENDIMIENTO MANZO'!$C$3</f>
        <v>0.77999999999998693</v>
      </c>
      <c r="E142" s="11">
        <f>+'EMPRENDIMIENTO MANZO'!$D$3</f>
        <v>0</v>
      </c>
      <c r="F142" s="12">
        <f>+'EMPRENDIMIENTO MANZO'!$E$3</f>
        <v>0</v>
      </c>
      <c r="G142" s="12">
        <f>+'EMPRENDIMIENTO MANZO'!$F$3</f>
        <v>0</v>
      </c>
      <c r="H142" s="10">
        <f>+'EMPRENDIMIENTO MANZO'!$G$3</f>
        <v>0</v>
      </c>
      <c r="I142" t="s">
        <v>121</v>
      </c>
      <c r="J142" s="80">
        <f>MAX('EMPRENDIMIENTO MANZO'!A2:A1000)</f>
        <v>46052</v>
      </c>
    </row>
    <row r="143" spans="1:10" ht="19.95" customHeight="1" x14ac:dyDescent="0.3">
      <c r="A143" s="14">
        <v>131</v>
      </c>
      <c r="B143" s="58" t="str">
        <f>+'EMPRENDIMIENTO MARIA ROMERO'!$B$1</f>
        <v>EMPRENDIMIENTO MARIA ROMERO</v>
      </c>
      <c r="C143" s="67">
        <f>+'EMPRENDIMIENTO MARIA ROMERO'!$B$2</f>
        <v>0</v>
      </c>
      <c r="D143" s="9">
        <f>+'EMPRENDIMIENTO MARIA ROMERO'!$C$3</f>
        <v>1.0000000000019327E-2</v>
      </c>
      <c r="E143" s="11">
        <f>+'EMPRENDIMIENTO MARIA ROMERO'!$D$3</f>
        <v>0</v>
      </c>
      <c r="F143" s="12">
        <f>+'EMPRENDIMIENTO MARIA ROMERO'!$E$3</f>
        <v>0</v>
      </c>
      <c r="G143" s="12">
        <f>+'EMPRENDIMIENTO MARIA ROMERO'!$F$3</f>
        <v>0</v>
      </c>
      <c r="H143" s="10">
        <f>+'EMPRENDIMIENTO MARIA ROMERO'!$G$3</f>
        <v>0</v>
      </c>
      <c r="I143" t="s">
        <v>121</v>
      </c>
      <c r="J143" s="80">
        <f>MAX('EMPRENDIMIENTO MARIA ROMERO'!A2:A1000)</f>
        <v>46051</v>
      </c>
    </row>
    <row r="144" spans="1:10" ht="19.95" customHeight="1" x14ac:dyDescent="0.3">
      <c r="A144" s="14">
        <v>132</v>
      </c>
      <c r="B144" s="58" t="str">
        <f>+'EMPRENDIMIENTO MIRLEY'!$B$1</f>
        <v>EMPRENDIMIENTO MIRLEY</v>
      </c>
      <c r="C144" s="67">
        <f>+'EMPRENDIMIENTO MIRLEY'!$B$2</f>
        <v>0</v>
      </c>
      <c r="D144" s="9">
        <f>+'EMPRENDIMIENTO MIRLEY'!$C$3</f>
        <v>239.20999999999992</v>
      </c>
      <c r="E144" s="11">
        <f>+'EMPRENDIMIENTO MIRLEY'!$D$3</f>
        <v>-1</v>
      </c>
      <c r="F144" s="12">
        <f>+'EMPRENDIMIENTO MIRLEY'!$E$3</f>
        <v>0</v>
      </c>
      <c r="G144" s="12">
        <f>+'EMPRENDIMIENTO MIRLEY'!$F$3</f>
        <v>-1</v>
      </c>
      <c r="H144" s="10">
        <f>+'EMPRENDIMIENTO MIRLEY'!$G$3</f>
        <v>0</v>
      </c>
      <c r="I144" t="s">
        <v>121</v>
      </c>
      <c r="J144" s="80">
        <f>MAX('EMPRENDIMIENTO MIRLEY'!A2:A1000)</f>
        <v>46056</v>
      </c>
    </row>
    <row r="145" spans="1:12" ht="19.95" customHeight="1" x14ac:dyDescent="0.3">
      <c r="A145" s="14">
        <v>133</v>
      </c>
      <c r="B145" s="58" t="str">
        <f>+'EMPRENDIMIENTO RAKEL ROJAS'!$B$1</f>
        <v>EMPRENDIMIENTO RAKEL ROJAS</v>
      </c>
      <c r="C145" s="67">
        <f>+'EMPRENDIMIENTO RAKEL ROJAS'!$B$2</f>
        <v>0</v>
      </c>
      <c r="D145" s="9">
        <f>+'EMPRENDIMIENTO RAKEL ROJAS'!$C$3</f>
        <v>-6</v>
      </c>
      <c r="E145" s="11">
        <f>+'EMPRENDIMIENTO RAKEL ROJAS'!$D$3</f>
        <v>0</v>
      </c>
      <c r="F145" s="12">
        <f>+'EMPRENDIMIENTO RAKEL ROJAS'!$E$3</f>
        <v>0</v>
      </c>
      <c r="G145" s="12">
        <f>+'EMPRENDIMIENTO RAKEL ROJAS'!$F$3</f>
        <v>0</v>
      </c>
      <c r="H145" s="10">
        <f>+'EMPRENDIMIENTO RAKEL ROJAS'!$G$3</f>
        <v>0</v>
      </c>
      <c r="I145" t="s">
        <v>121</v>
      </c>
      <c r="J145" s="80">
        <f>MAX('EMPRENDIMIENTO RAKEL ROJAS'!A2:A1000)</f>
        <v>45881</v>
      </c>
    </row>
    <row r="146" spans="1:12" ht="19.95" customHeight="1" x14ac:dyDescent="0.3">
      <c r="A146" s="14">
        <v>134</v>
      </c>
      <c r="B146" s="58" t="str">
        <f>+'EMPRENDIMIENTO YAHIBE MOLINA'!$B$1</f>
        <v>EMPRENDIMIENTO YAHIBE MOLINA</v>
      </c>
      <c r="C146" s="67">
        <f>+'EMPRENDIMIENTO YAHIBE MOLINA'!$B$2</f>
        <v>0</v>
      </c>
      <c r="D146" s="9">
        <f>+'EMPRENDIMIENTO YAHIBE MOLINA'!$C$3</f>
        <v>96.650000000000048</v>
      </c>
      <c r="E146" s="11">
        <f>+'EMPRENDIMIENTO YAHIBE MOLINA'!$D$3</f>
        <v>0</v>
      </c>
      <c r="F146" s="12">
        <f>+'EMPRENDIMIENTO YAHIBE MOLINA'!$E$3</f>
        <v>0</v>
      </c>
      <c r="G146" s="12">
        <f>+'EMPRENDIMIENTO YAHIBE MOLINA'!$F$3</f>
        <v>0</v>
      </c>
      <c r="H146" s="10">
        <f>+'EMPRENDIMIENTO YAHIBE MOLINA'!$G$3</f>
        <v>0</v>
      </c>
      <c r="I146" t="s">
        <v>121</v>
      </c>
      <c r="J146" s="80">
        <f>MAX('EMPRENDIMIENTO YAHIBE MOLINA'!A2:A1000)</f>
        <v>46056</v>
      </c>
    </row>
    <row r="147" spans="1:12" ht="19.95" customHeight="1" x14ac:dyDescent="0.3">
      <c r="A147" s="14">
        <v>135</v>
      </c>
      <c r="B147" s="119" t="str">
        <f>+'EMPRENDIMIENTO YOSMAR GANBOA'!$B$1</f>
        <v>EMPRENDIMIENTO YOSMAR GANBOA</v>
      </c>
      <c r="C147" s="67">
        <f>+'EMPRENDIMIENTO YOSMAR GANBOA'!$B$2</f>
        <v>0</v>
      </c>
      <c r="D147" s="9">
        <f>+'EMPRENDIMIENTO YOSMAR GANBOA'!$C$3</f>
        <v>170.79000000000002</v>
      </c>
      <c r="E147" s="11">
        <f>+'EMPRENDIMIENTO YOSMAR GANBOA'!$D$3</f>
        <v>0</v>
      </c>
      <c r="F147" s="12">
        <f>+'EMPRENDIMIENTO YOSMAR GANBOA'!$E$3</f>
        <v>0</v>
      </c>
      <c r="G147" s="12">
        <f>+'EMPRENDIMIENTO YOSMAR GANBOA'!$F$3</f>
        <v>0</v>
      </c>
      <c r="H147" s="10">
        <f>+'EMPRENDIMIENTO YOSMAR GANBOA'!$G$3</f>
        <v>0</v>
      </c>
      <c r="I147" t="s">
        <v>122</v>
      </c>
    </row>
    <row r="148" spans="1:12" ht="19.95" customHeight="1" x14ac:dyDescent="0.3">
      <c r="A148" s="14">
        <v>136</v>
      </c>
      <c r="B148" s="58" t="str">
        <f>+'ERIKA DIAMANTE EXPRESS'!$B$1</f>
        <v>ERIKA DIAMANTE EXPRESS</v>
      </c>
      <c r="C148" s="67">
        <f>+'ERIKA DIAMANTE EXPRESS'!$B$2</f>
        <v>0</v>
      </c>
      <c r="D148" s="9">
        <f>+'ERIKA DIAMANTE EXPRESS'!$C$3</f>
        <v>0</v>
      </c>
      <c r="E148" s="11">
        <f>+'ERIKA DIAMANTE EXPRESS'!$D$3</f>
        <v>0</v>
      </c>
      <c r="F148" s="12">
        <f>+'ERIKA DIAMANTE EXPRESS'!$E$3</f>
        <v>0</v>
      </c>
      <c r="G148" s="12">
        <f>+'ERIKA DIAMANTE EXPRESS'!$F$3</f>
        <v>0</v>
      </c>
      <c r="H148" s="10">
        <f>+'ERIKA DIAMANTE EXPRESS'!$G$3</f>
        <v>0</v>
      </c>
      <c r="I148" t="s">
        <v>126</v>
      </c>
      <c r="J148" s="80">
        <f>MAX('ERIKA DIAMANTE EXPRESS'!A2:A1000)</f>
        <v>45981</v>
      </c>
    </row>
    <row r="149" spans="1:12" ht="19.95" customHeight="1" x14ac:dyDescent="0.3">
      <c r="A149" s="14">
        <v>137</v>
      </c>
      <c r="B149" s="119" t="str">
        <f>+'EVENTO SENIAT'!$B$1</f>
        <v>EVENTO SENIAT</v>
      </c>
      <c r="C149" s="67">
        <f>+'EVENTO SENIAT'!$B$2</f>
        <v>0</v>
      </c>
      <c r="D149" s="9">
        <f>+'EVENTO SENIAT'!$C$3</f>
        <v>0</v>
      </c>
      <c r="E149" s="11">
        <f>+'EVENTO SENIAT'!$D$3</f>
        <v>40</v>
      </c>
      <c r="F149" s="12">
        <f>+'EVENTO SENIAT'!$E$3</f>
        <v>0</v>
      </c>
      <c r="G149" s="12">
        <f>+'EVENTO SENIAT'!$F$3</f>
        <v>0</v>
      </c>
      <c r="H149" s="10">
        <f>+'EVENTO SENIAT'!$G$3</f>
        <v>0</v>
      </c>
      <c r="I149" t="s">
        <v>126</v>
      </c>
      <c r="J149" s="80">
        <f>MAX('EVENTO SENIAT'!A2:A1000)</f>
        <v>46011</v>
      </c>
    </row>
    <row r="150" spans="1:12" ht="19.95" customHeight="1" x14ac:dyDescent="0.3">
      <c r="A150" s="14">
        <v>138</v>
      </c>
      <c r="B150" s="104" t="str">
        <f>+'EVENTUAL NELSON'!$B$1</f>
        <v>EVENTUAL NELSON</v>
      </c>
      <c r="C150" s="67">
        <f>+'EVENTUAL NELSON'!$B$2</f>
        <v>0</v>
      </c>
      <c r="D150" s="9">
        <f>+'EVENTUAL NELSON'!$C$3</f>
        <v>-1.0000000000005116E-2</v>
      </c>
      <c r="E150" s="11">
        <f>+'EVENTUAL NELSON'!$D$3</f>
        <v>0</v>
      </c>
      <c r="F150" s="12">
        <f>+'EVENTUAL NELSON'!$E$3</f>
        <v>0</v>
      </c>
      <c r="G150" s="12">
        <f>+'EVENTUAL NELSON'!$F$3</f>
        <v>0</v>
      </c>
      <c r="H150" s="10">
        <f>+'EVENTUAL NELSON'!$G$3</f>
        <v>0</v>
      </c>
      <c r="I150" t="s">
        <v>121</v>
      </c>
    </row>
    <row r="151" spans="1:12" ht="19.95" customHeight="1" x14ac:dyDescent="0.3">
      <c r="A151" s="14">
        <v>139</v>
      </c>
      <c r="B151" s="58" t="str">
        <f>+'FARMA BIEN'!$B$1</f>
        <v>FARMA BIEN</v>
      </c>
      <c r="C151" s="67">
        <f>+'FARMA BIEN'!$B$2</f>
        <v>0</v>
      </c>
      <c r="D151" s="9">
        <f>+'FARMA BIEN'!$C$3</f>
        <v>239.07999999999998</v>
      </c>
      <c r="E151" s="11">
        <f>+'FARMA BIEN'!$D$3</f>
        <v>0</v>
      </c>
      <c r="F151" s="12">
        <f>+'FARMA BIEN'!$E$3</f>
        <v>0</v>
      </c>
      <c r="G151" s="12">
        <f>+'FARMA BIEN'!$F$3</f>
        <v>0</v>
      </c>
      <c r="H151" s="10">
        <f>+'FARMA BIEN'!$G$3</f>
        <v>22.43</v>
      </c>
      <c r="I151" t="s">
        <v>121</v>
      </c>
      <c r="J151" s="80">
        <f>MAX('FARMA BIEN'!A2:A1000)</f>
        <v>46051</v>
      </c>
      <c r="L151" s="17"/>
    </row>
    <row r="152" spans="1:12" ht="19.95" customHeight="1" x14ac:dyDescent="0.3">
      <c r="A152" s="14">
        <v>140</v>
      </c>
      <c r="B152" s="58" t="str">
        <f>+FISICO!$B$1</f>
        <v>FISICO</v>
      </c>
      <c r="C152" s="67" t="str">
        <f>+FISICO!$B$2</f>
        <v>JHONATAN</v>
      </c>
      <c r="D152" s="9">
        <f>+FISICO!$C$3</f>
        <v>8.5400000000000009</v>
      </c>
      <c r="E152" s="11">
        <f>+FISICO!$D$3</f>
        <v>0</v>
      </c>
      <c r="F152" s="12">
        <f>+FISICO!$E$3</f>
        <v>0</v>
      </c>
      <c r="G152" s="12">
        <f>+FISICO!$F$3</f>
        <v>0</v>
      </c>
      <c r="H152" s="10">
        <f>+FISICO!$G$3</f>
        <v>0</v>
      </c>
      <c r="I152" t="s">
        <v>121</v>
      </c>
      <c r="J152" s="80">
        <f>MAX(FISICO!A2:A1000)</f>
        <v>46001</v>
      </c>
      <c r="L152" s="17"/>
    </row>
    <row r="153" spans="1:12" ht="19.95" customHeight="1" x14ac:dyDescent="0.3">
      <c r="A153" s="14">
        <v>141</v>
      </c>
      <c r="B153" s="58" t="str">
        <f>+'FLOR ASOGATA'!$B$1</f>
        <v>FLOR ASOGATA</v>
      </c>
      <c r="C153" s="67">
        <f>+'FLOR ASOGATA'!$B$2</f>
        <v>0</v>
      </c>
      <c r="D153" s="9">
        <f>+'FLOR ASOGATA'!$C$3</f>
        <v>0</v>
      </c>
      <c r="E153" s="11">
        <f>+'FLOR ASOGATA'!$D$3</f>
        <v>0</v>
      </c>
      <c r="F153" s="12">
        <f>+'FLOR ASOGATA'!$E$3</f>
        <v>0</v>
      </c>
      <c r="G153" s="12">
        <f>+'FLOR ASOGATA'!$F$3</f>
        <v>0</v>
      </c>
      <c r="H153" s="10">
        <f>+'FLOR ASOGATA'!$G$3</f>
        <v>0</v>
      </c>
      <c r="I153" t="s">
        <v>126</v>
      </c>
      <c r="J153" s="80">
        <f>MAX('FLOR ASOGATA'!A2:A1000)</f>
        <v>45962</v>
      </c>
      <c r="L153" s="17"/>
    </row>
    <row r="154" spans="1:12" ht="19.95" customHeight="1" x14ac:dyDescent="0.3">
      <c r="A154" s="14">
        <v>142</v>
      </c>
      <c r="B154" s="58" t="str">
        <f>+'FLORES DEL TRIGO'!$B$1</f>
        <v>FLORES DEL TRIGO</v>
      </c>
      <c r="C154" s="67" t="str">
        <f>+'FLORES DEL TRIGO'!$B$2</f>
        <v xml:space="preserve">CRISTIAN HERNANDEZ </v>
      </c>
      <c r="D154" s="9">
        <f>+'FLORES DEL TRIGO'!$C$3</f>
        <v>17.249999999999996</v>
      </c>
      <c r="E154" s="11">
        <f>+'FLORES DEL TRIGO'!$D$3</f>
        <v>1</v>
      </c>
      <c r="F154" s="12">
        <f>+'FLORES DEL TRIGO'!$E$3</f>
        <v>0</v>
      </c>
      <c r="G154" s="12">
        <f>+'FLORES DEL TRIGO'!$F$3</f>
        <v>0</v>
      </c>
      <c r="H154" s="10">
        <f>+'FLORES DEL TRIGO'!$G$3</f>
        <v>0</v>
      </c>
      <c r="I154" t="s">
        <v>122</v>
      </c>
      <c r="J154" s="80">
        <f>MAX('FLORES DEL TRIGO'!A2:A1000)</f>
        <v>46036</v>
      </c>
    </row>
    <row r="155" spans="1:12" ht="19.95" customHeight="1" x14ac:dyDescent="0.3">
      <c r="A155" s="14"/>
      <c r="B155" s="119" t="str">
        <f>+'FLORESK &amp; CAFE'!$B$1</f>
        <v>FLORESK &amp; CAFE</v>
      </c>
      <c r="C155" s="67">
        <f>+'FLORESK &amp; CAFE'!$B$2</f>
        <v>0</v>
      </c>
      <c r="D155" s="9">
        <f>+'FLORESK &amp; CAFE'!$C$3</f>
        <v>15.7</v>
      </c>
      <c r="E155" s="11">
        <f>+'FLORESK &amp; CAFE'!$D$3</f>
        <v>1</v>
      </c>
      <c r="F155" s="12">
        <f>+'FLORESK &amp; CAFE'!$E$3</f>
        <v>0</v>
      </c>
      <c r="G155" s="12">
        <f>+'FLORESK &amp; CAFE'!$F$3</f>
        <v>0</v>
      </c>
      <c r="H155" s="10">
        <f>+'FLORESK &amp; CAFE'!$G$3</f>
        <v>0</v>
      </c>
      <c r="I155" t="s">
        <v>121</v>
      </c>
    </row>
    <row r="156" spans="1:12" ht="19.95" customHeight="1" x14ac:dyDescent="0.3">
      <c r="A156" s="14">
        <v>143</v>
      </c>
      <c r="B156" s="58" t="str">
        <f>+FOCACIA!$B$1</f>
        <v>FOCACIA</v>
      </c>
      <c r="C156" s="67" t="str">
        <f>+FOCACIA!$B$2</f>
        <v>FRANKLIN FOCACIO</v>
      </c>
      <c r="D156" s="9">
        <f>+FOCACIA!$C$3</f>
        <v>73.770000000000039</v>
      </c>
      <c r="E156" s="11">
        <f>+FOCACIA!$D$3</f>
        <v>0</v>
      </c>
      <c r="F156" s="12">
        <f>+FOCACIA!$E$3</f>
        <v>0</v>
      </c>
      <c r="G156" s="12">
        <f>+FOCACIA!$F$3</f>
        <v>0</v>
      </c>
      <c r="H156" s="10">
        <f>+FOCACIA!$G$3</f>
        <v>0</v>
      </c>
      <c r="I156" t="s">
        <v>121</v>
      </c>
      <c r="J156" s="80">
        <f>MAX(FOCACIA!A2:A1000)</f>
        <v>46051</v>
      </c>
    </row>
    <row r="157" spans="1:12" ht="19.95" customHeight="1" x14ac:dyDescent="0.3">
      <c r="A157" s="14">
        <v>144</v>
      </c>
      <c r="B157" s="58" t="str">
        <f>+'FRESCURA DE MI TIERRA'!$B$1</f>
        <v>FRESCURA DE MI TIERRA</v>
      </c>
      <c r="C157" s="67" t="str">
        <f>+'FRESCURA DE MI TIERRA'!$B$2</f>
        <v>RAMON</v>
      </c>
      <c r="D157" s="9">
        <f>+'FRESCURA DE MI TIERRA'!$C$3</f>
        <v>286.04000000000002</v>
      </c>
      <c r="E157" s="11">
        <f>+'FRESCURA DE MI TIERRA'!$D$3</f>
        <v>0</v>
      </c>
      <c r="F157" s="12">
        <f>+'FRESCURA DE MI TIERRA'!$E$3</f>
        <v>0</v>
      </c>
      <c r="G157" s="12">
        <f>+'FRESCURA DE MI TIERRA'!$F$3</f>
        <v>0</v>
      </c>
      <c r="H157" s="10">
        <f>+'FRESCURA DE MI TIERRA'!$G$3</f>
        <v>0</v>
      </c>
      <c r="I157" t="s">
        <v>122</v>
      </c>
      <c r="J157" s="80">
        <f>MAX('FRESCURA DE MI TIERRA'!A2:A1000)</f>
        <v>46037</v>
      </c>
    </row>
    <row r="158" spans="1:12" ht="19.95" customHeight="1" x14ac:dyDescent="0.3">
      <c r="A158" s="14">
        <v>145</v>
      </c>
      <c r="B158" s="119" t="str">
        <f>+'FRIGORIFICO GABISCAR'!$B$1</f>
        <v>FRIGORIFICO GABISCAR</v>
      </c>
      <c r="C158" s="67">
        <f>+'FRIGORIFICO GABISCAR'!$B$2</f>
        <v>0</v>
      </c>
      <c r="D158" s="9">
        <f>+'FRIGORIFICO GABISCAR'!$C$3</f>
        <v>208.03999999999996</v>
      </c>
      <c r="E158" s="11">
        <f>+'FRIGORIFICO GABISCAR'!$D$3</f>
        <v>0</v>
      </c>
      <c r="F158" s="12">
        <f>+'FRIGORIFICO GABISCAR'!$E$3</f>
        <v>0</v>
      </c>
      <c r="G158" s="12">
        <f>+'FRIGORIFICO GABISCAR'!$F$3</f>
        <v>0</v>
      </c>
      <c r="H158" s="10">
        <f>+'FRIGORIFICO GABISCAR'!$G$3</f>
        <v>0</v>
      </c>
      <c r="I158" t="s">
        <v>122</v>
      </c>
      <c r="J158" s="80">
        <f>MAX('FRIGORIFICO GABISCAR'!A2:A1000)</f>
        <v>46052</v>
      </c>
    </row>
    <row r="159" spans="1:12" ht="19.95" customHeight="1" x14ac:dyDescent="0.3">
      <c r="A159" s="14">
        <v>146</v>
      </c>
      <c r="B159" s="58" t="str">
        <f>+'FRIGORIFICO OROZCO'!$B$1</f>
        <v>FRIGORIFICO OROZCO</v>
      </c>
      <c r="C159" s="67">
        <f>+'FRIGORIFICO OROZCO'!$B$2</f>
        <v>0</v>
      </c>
      <c r="D159" s="9">
        <f>+'FRIGORIFICO OROZCO'!$C$3</f>
        <v>9.0000000000012292E-2</v>
      </c>
      <c r="E159" s="11">
        <f>+'FRIGORIFICO OROZCO'!$D$3</f>
        <v>0</v>
      </c>
      <c r="F159" s="12">
        <f>+'FRIGORIFICO OROZCO'!$E$3</f>
        <v>0</v>
      </c>
      <c r="G159" s="12">
        <f>+'FRIGORIFICO OROZCO'!$F$3</f>
        <v>0</v>
      </c>
      <c r="H159" s="10">
        <f>+'FRIGORIFICO OROZCO'!$G$3</f>
        <v>0</v>
      </c>
      <c r="I159" t="s">
        <v>122</v>
      </c>
      <c r="J159" s="80">
        <f>MAX('FRIGORIFICO OROZCO'!A2:A1000)</f>
        <v>46042</v>
      </c>
    </row>
    <row r="160" spans="1:12" ht="19.95" customHeight="1" x14ac:dyDescent="0.3">
      <c r="A160" s="14">
        <v>147</v>
      </c>
      <c r="B160" s="58" t="str">
        <f>+'FRUTAS Y VERDURAS DON OMAR'!$B$1</f>
        <v>FRUTAS Y VERDURAS DON OMAR</v>
      </c>
      <c r="C160" s="67">
        <f>+'FRUTAS Y VERDURAS DON OMAR'!$B$2</f>
        <v>0</v>
      </c>
      <c r="D160" s="9">
        <f>+'FRUTAS Y VERDURAS DON OMAR'!$C$3</f>
        <v>-0.12999999999995282</v>
      </c>
      <c r="E160" s="11">
        <f>+'FRUTAS Y VERDURAS DON OMAR'!$D$3</f>
        <v>0</v>
      </c>
      <c r="F160" s="12">
        <f>+'FRUTAS Y VERDURAS DON OMAR'!$E$3</f>
        <v>0</v>
      </c>
      <c r="G160" s="12">
        <f>+'FRUTAS Y VERDURAS DON OMAR'!$F$3</f>
        <v>0</v>
      </c>
      <c r="H160" s="10">
        <f>+'FRUTAS Y VERDURAS DON OMAR'!$G$3</f>
        <v>0</v>
      </c>
      <c r="I160" t="s">
        <v>121</v>
      </c>
    </row>
    <row r="161" spans="1:10" ht="19.95" customHeight="1" x14ac:dyDescent="0.3">
      <c r="A161" s="14">
        <v>148</v>
      </c>
      <c r="B161" s="58" t="str">
        <f>+'FRUTAS Y VERDURAS PALO GORDO'!$B$1</f>
        <v>FRUTAS Y VERDURAS PALO GORDO</v>
      </c>
      <c r="C161" s="67" t="str">
        <f>+'FRUTAS Y VERDURAS PALO GORDO'!$B$2</f>
        <v>DARCY CONTRERAS</v>
      </c>
      <c r="D161" s="9">
        <f>+'FRUTAS Y VERDURAS PALO GORDO'!$C$3</f>
        <v>0.96000000000001151</v>
      </c>
      <c r="E161" s="11">
        <f>+'FRUTAS Y VERDURAS PALO GORDO'!$D$3</f>
        <v>0</v>
      </c>
      <c r="F161" s="12">
        <f>+'FRUTAS Y VERDURAS PALO GORDO'!$E$3</f>
        <v>0</v>
      </c>
      <c r="G161" s="12">
        <f>+'FRUTAS Y VERDURAS PALO GORDO'!$F$3</f>
        <v>0</v>
      </c>
      <c r="H161" s="10">
        <f>+'FRUTAS Y VERDURAS PALO GORDO'!$G$3</f>
        <v>0</v>
      </c>
      <c r="I161" t="s">
        <v>122</v>
      </c>
      <c r="J161" s="80">
        <f>MAX('FRUTAS Y VERDURAS PALO GORDO'!A2:A1000)</f>
        <v>46009</v>
      </c>
    </row>
    <row r="162" spans="1:10" ht="19.95" customHeight="1" x14ac:dyDescent="0.3">
      <c r="A162" s="14">
        <v>149</v>
      </c>
      <c r="B162" s="58" t="str">
        <f>+'FRUTERIA LA COLINA'!$B$1</f>
        <v>FRUTERIA LA COLINA</v>
      </c>
      <c r="C162" s="67" t="str">
        <f>+'FRUTERIA LA COLINA'!$B$2</f>
        <v>MAIKOL CONTRERAS</v>
      </c>
      <c r="D162" s="9">
        <f>+'FRUTERIA LA COLINA'!$C$3</f>
        <v>12.61</v>
      </c>
      <c r="E162" s="11">
        <f>+'FRUTERIA LA COLINA'!$D$3</f>
        <v>0</v>
      </c>
      <c r="F162" s="12">
        <f>+'FRUTERIA LA COLINA'!$E$3</f>
        <v>0</v>
      </c>
      <c r="G162" s="12">
        <f>+'FRUTERIA LA COLINA'!$F$3</f>
        <v>0</v>
      </c>
      <c r="H162" s="10">
        <f>+'FRUTERIA LA COLINA'!$G$3</f>
        <v>0</v>
      </c>
      <c r="I162" t="s">
        <v>122</v>
      </c>
      <c r="J162" s="80">
        <f>MAX('FRUTERIA LA COLINA'!A2:A1000)</f>
        <v>45995</v>
      </c>
    </row>
    <row r="163" spans="1:10" ht="19.95" customHeight="1" x14ac:dyDescent="0.3">
      <c r="A163" s="14">
        <v>150</v>
      </c>
      <c r="B163" s="58" t="str">
        <f>+'FRUTERIA MI PEQUENA AURIYASMIN'!$B$1</f>
        <v>FRUTERIA MI PEQUENA AURIYASMIN</v>
      </c>
      <c r="C163" s="67">
        <f>+'FRUTERIA MI PEQUENA AURIYASMIN'!$B$2</f>
        <v>0</v>
      </c>
      <c r="D163" s="9">
        <f>+'FRUTERIA MI PEQUENA AURIYASMIN'!$C$3</f>
        <v>0</v>
      </c>
      <c r="E163" s="11">
        <f>+'FRUTERIA MI PEQUENA AURIYASMIN'!$D$3</f>
        <v>0</v>
      </c>
      <c r="F163" s="12">
        <f>+'FRUTERIA MI PEQUENA AURIYASMIN'!$E$3</f>
        <v>0</v>
      </c>
      <c r="G163" s="12">
        <f>+'FRUTERIA MI PEQUENA AURIYASMIN'!$F$3</f>
        <v>0</v>
      </c>
      <c r="H163" s="10">
        <f>+'FRUTERIA MI PEQUENA AURIYASMIN'!$G$3</f>
        <v>0</v>
      </c>
      <c r="I163" t="s">
        <v>122</v>
      </c>
      <c r="J163" s="80">
        <f>MAX('FRUTERIA MI PEQUENA AURIYASMIN'!A2:A1000)</f>
        <v>45961</v>
      </c>
    </row>
    <row r="164" spans="1:10" ht="19.95" customHeight="1" x14ac:dyDescent="0.3">
      <c r="A164" s="14">
        <v>151</v>
      </c>
      <c r="B164" s="58" t="str">
        <f>+FRUTITAS!$B$1</f>
        <v>FRUTITAS</v>
      </c>
      <c r="C164" s="67" t="str">
        <f>+FRUTITAS!$B$2</f>
        <v>LORENA MENDEZ</v>
      </c>
      <c r="D164" s="9">
        <f>+FRUTITAS!$C$3</f>
        <v>-1.9999999999999574E-2</v>
      </c>
      <c r="E164" s="11">
        <f>+FRUTITAS!$D$3</f>
        <v>0</v>
      </c>
      <c r="F164" s="12">
        <f>+FRUTITAS!$E$3</f>
        <v>0</v>
      </c>
      <c r="G164" s="12">
        <f>+FRUTITAS!$F$3</f>
        <v>0</v>
      </c>
      <c r="H164" s="10">
        <f>+FRUTITAS!$G$3</f>
        <v>0</v>
      </c>
      <c r="I164" t="s">
        <v>122</v>
      </c>
      <c r="J164" s="80">
        <f>MAX(FRUTITAS!A2:A1000)</f>
        <v>45842</v>
      </c>
    </row>
    <row r="165" spans="1:10" ht="19.95" customHeight="1" x14ac:dyDescent="0.3">
      <c r="A165" s="14">
        <v>152</v>
      </c>
      <c r="B165" s="119" t="str">
        <f>+'FUSION SPORT BAR'!$B$1</f>
        <v>FUSION SPORT BAR</v>
      </c>
      <c r="C165" s="67">
        <f>+'FUSION SPORT BAR'!$B$2</f>
        <v>0</v>
      </c>
      <c r="D165" s="9">
        <f>+'FUSION SPORT BAR'!$C$3</f>
        <v>476.88</v>
      </c>
      <c r="E165" s="11">
        <f>+'FUSION SPORT BAR'!$D$3</f>
        <v>0</v>
      </c>
      <c r="F165" s="12">
        <f>+'FUSION SPORT BAR'!$E$3</f>
        <v>0</v>
      </c>
      <c r="G165" s="12">
        <f>+'FUSION SPORT BAR'!$F$3</f>
        <v>0</v>
      </c>
      <c r="H165" s="10">
        <f>+'FUSION SPORT BAR'!$G$3</f>
        <v>0</v>
      </c>
      <c r="I165" t="s">
        <v>126</v>
      </c>
    </row>
    <row r="166" spans="1:10" ht="19.95" customHeight="1" x14ac:dyDescent="0.3">
      <c r="A166" s="14"/>
      <c r="B166" s="119" t="str">
        <f>+'GABRIELA LANDINEZ'!$B$1</f>
        <v>GABRIELA LANDINEZ</v>
      </c>
      <c r="C166" s="67">
        <f>+'GABRIELA LANDINEZ'!$B$2</f>
        <v>0</v>
      </c>
      <c r="D166" s="9">
        <f>+'GABRIELA LANDINEZ'!$C$3</f>
        <v>17.28</v>
      </c>
      <c r="E166" s="11">
        <f>+'GABRIELA LANDINEZ'!$D$3</f>
        <v>0</v>
      </c>
      <c r="F166" s="12">
        <f>+'GABRIELA LANDINEZ'!$E$3</f>
        <v>0</v>
      </c>
      <c r="G166" s="12">
        <f>+'GABRIELA LANDINEZ'!$F$3</f>
        <v>0</v>
      </c>
      <c r="H166" s="10">
        <f>+'GABRIELA LANDINEZ'!$G$3</f>
        <v>0</v>
      </c>
      <c r="I166" t="s">
        <v>122</v>
      </c>
    </row>
    <row r="167" spans="1:10" ht="19.95" customHeight="1" x14ac:dyDescent="0.3">
      <c r="A167" s="14">
        <v>153</v>
      </c>
      <c r="B167" s="58" t="str">
        <f>+'GERZON CHACON GUERRERO'!$B$1</f>
        <v>GERZON CHACON GUERRERO</v>
      </c>
      <c r="C167" s="67">
        <f>+'GERZON CHACON GUERRERO'!$B$2</f>
        <v>0</v>
      </c>
      <c r="D167" s="9">
        <f>+'GERZON CHACON GUERRERO'!$C$3</f>
        <v>52.630000000000052</v>
      </c>
      <c r="E167" s="11">
        <f>+'GERZON CHACON GUERRERO'!$D$3</f>
        <v>0</v>
      </c>
      <c r="F167" s="12">
        <f>+'GERZON CHACON GUERRERO'!$E$3</f>
        <v>0</v>
      </c>
      <c r="G167" s="12">
        <f>+'GERZON CHACON GUERRERO'!$F$3</f>
        <v>0</v>
      </c>
      <c r="H167" s="10">
        <f>+'GERZON CHACON GUERRERO'!$G$3</f>
        <v>0</v>
      </c>
      <c r="I167" t="s">
        <v>121</v>
      </c>
      <c r="J167" s="80">
        <f>MAX('GERZON CHACON GUERRERO'!A2:A1000)</f>
        <v>46051</v>
      </c>
    </row>
    <row r="168" spans="1:10" ht="19.95" customHeight="1" x14ac:dyDescent="0.3">
      <c r="A168" s="14">
        <v>154</v>
      </c>
      <c r="B168" s="58" t="str">
        <f>+'GLADIS PERNIA'!$B$1</f>
        <v>GLADIS PERNIA</v>
      </c>
      <c r="C168" s="67" t="str">
        <f>+'GLADIS PERNIA'!$B$2</f>
        <v xml:space="preserve">TOLDO VERDE </v>
      </c>
      <c r="D168" s="9">
        <f>+'GLADIS PERNIA'!$C$3</f>
        <v>1.279999999999994</v>
      </c>
      <c r="E168" s="11">
        <f>+'GLADIS PERNIA'!$D$3</f>
        <v>0</v>
      </c>
      <c r="F168" s="12">
        <f>+'GLADIS PERNIA'!$E$3</f>
        <v>0</v>
      </c>
      <c r="G168" s="12">
        <f>+'GLADIS PERNIA'!$F$3</f>
        <v>0</v>
      </c>
      <c r="H168" s="10">
        <f>+'GLADIS PERNIA'!$G$3</f>
        <v>0</v>
      </c>
      <c r="I168" t="s">
        <v>122</v>
      </c>
      <c r="J168" s="80">
        <f>MAX('GLADIS PERNIA'!A2:A1000)</f>
        <v>46049</v>
      </c>
    </row>
    <row r="169" spans="1:10" ht="19.95" customHeight="1" x14ac:dyDescent="0.3">
      <c r="A169" s="14">
        <v>155</v>
      </c>
      <c r="B169" s="58" t="str">
        <f>+'GLORIA RAMIREZ'!$B$1</f>
        <v>GLORIA RAMIREZ</v>
      </c>
      <c r="C169" s="67">
        <f>+'GLORIA RAMIREZ'!$B$2</f>
        <v>0</v>
      </c>
      <c r="D169" s="9">
        <f>+'GLORIA RAMIREZ'!$C$3</f>
        <v>-1.1699999999999982</v>
      </c>
      <c r="E169" s="11">
        <f>+'GLORIA RAMIREZ'!$D$3</f>
        <v>0</v>
      </c>
      <c r="F169" s="12">
        <f>+'GLORIA RAMIREZ'!$E$3</f>
        <v>0</v>
      </c>
      <c r="G169" s="12">
        <f>+'GLORIA RAMIREZ'!$F$3</f>
        <v>0</v>
      </c>
      <c r="H169" s="10">
        <f>+'GLORIA RAMIREZ'!$G$3</f>
        <v>0</v>
      </c>
      <c r="I169" t="s">
        <v>122</v>
      </c>
      <c r="J169" s="80">
        <f>MAX('GLORIA RAMIREZ'!A2:A1000)</f>
        <v>46038</v>
      </c>
    </row>
    <row r="170" spans="1:10" ht="19.95" customHeight="1" x14ac:dyDescent="0.3">
      <c r="A170" s="14">
        <v>156</v>
      </c>
      <c r="B170" s="58" t="str">
        <f>+'GREYSI JAUREGUI'!$B$1</f>
        <v>GREYSI JAUREGUI</v>
      </c>
      <c r="C170" s="67">
        <f>+'GREYSI JAUREGUI'!$B$2</f>
        <v>0</v>
      </c>
      <c r="D170" s="9">
        <f>+'GREYSI JAUREGUI'!$C$3</f>
        <v>117.70999999999994</v>
      </c>
      <c r="E170" s="11">
        <f>+'GREYSI JAUREGUI'!$D$3</f>
        <v>0</v>
      </c>
      <c r="F170" s="12">
        <f>+'GREYSI JAUREGUI'!$E$3</f>
        <v>0</v>
      </c>
      <c r="G170" s="12">
        <f>+'GREYSI JAUREGUI'!$F$3</f>
        <v>0</v>
      </c>
      <c r="H170" s="10">
        <f>+'GREYSI JAUREGUI'!$G$3</f>
        <v>0</v>
      </c>
      <c r="I170" t="s">
        <v>121</v>
      </c>
      <c r="J170" s="80">
        <f>MAX('GREYSI JAUREGUI'!A2:A1000)</f>
        <v>46051</v>
      </c>
    </row>
    <row r="171" spans="1:10" ht="19.95" customHeight="1" x14ac:dyDescent="0.3">
      <c r="A171" s="14">
        <v>157</v>
      </c>
      <c r="B171" s="58" t="str">
        <f>+'HAMBURGUESAS DONDE YERAL'!$B$1</f>
        <v>HAMBURGUESAS DONDE YERAL</v>
      </c>
      <c r="C171" s="67" t="str">
        <f>+'HAMBURGUESAS DONDE YERAL'!$B$2</f>
        <v>YERALDIN BAEZ</v>
      </c>
      <c r="D171" s="9">
        <f>+'HAMBURGUESAS DONDE YERAL'!$C$3</f>
        <v>26.389999999999983</v>
      </c>
      <c r="E171" s="11">
        <f>+'HAMBURGUESAS DONDE YERAL'!$D$3</f>
        <v>0</v>
      </c>
      <c r="F171" s="12">
        <f>+'HAMBURGUESAS DONDE YERAL'!$E$3</f>
        <v>0</v>
      </c>
      <c r="G171" s="12">
        <f>+'HAMBURGUESAS DONDE YERAL'!$F$3</f>
        <v>0</v>
      </c>
      <c r="H171" s="10">
        <f>+'HAMBURGUESAS DONDE YERAL'!$G$3</f>
        <v>0</v>
      </c>
      <c r="I171" t="s">
        <v>122</v>
      </c>
      <c r="J171" s="80">
        <f>MAX('HAMBURGUESAS DONDE YERAL'!A2:A1000)</f>
        <v>46031</v>
      </c>
    </row>
    <row r="172" spans="1:10" ht="19.95" customHeight="1" x14ac:dyDescent="0.3">
      <c r="A172" s="14">
        <v>158</v>
      </c>
      <c r="B172" s="58" t="str">
        <f>+'HAMBURGUESAS KIKE'!$B$1</f>
        <v>HAMBURGUESAS KIKE</v>
      </c>
      <c r="C172" s="67">
        <f>+'HAMBURGUESAS KIKE'!$B$2</f>
        <v>0</v>
      </c>
      <c r="D172" s="9">
        <f>+'HAMBURGUESAS KIKE'!$C$3</f>
        <v>0</v>
      </c>
      <c r="E172" s="11">
        <f>+'HAMBURGUESAS KIKE'!$D$3</f>
        <v>0</v>
      </c>
      <c r="F172" s="12">
        <f>+'HAMBURGUESAS KIKE'!$E$3</f>
        <v>0</v>
      </c>
      <c r="G172" s="12">
        <f>+'HAMBURGUESAS KIKE'!$F$3</f>
        <v>0</v>
      </c>
      <c r="H172" s="10">
        <f>+'HAMBURGUESAS KIKE'!$G$3</f>
        <v>0</v>
      </c>
      <c r="I172" t="s">
        <v>126</v>
      </c>
      <c r="J172" s="80">
        <f>MAX('HAMBURGUESAS KIKE'!A2:A1000)</f>
        <v>45983</v>
      </c>
    </row>
    <row r="173" spans="1:10" ht="19.95" customHeight="1" x14ac:dyDescent="0.3">
      <c r="A173" s="14">
        <v>159</v>
      </c>
      <c r="B173" s="119" t="str">
        <f>+'HELADERIA CRETA'!$B$1</f>
        <v>HELADERIA CRETA</v>
      </c>
      <c r="C173" s="67">
        <f>+'HELADERIA CRETA'!$B$2</f>
        <v>0</v>
      </c>
      <c r="D173" s="9">
        <f>+'HELADERIA CRETA'!$C$3</f>
        <v>-0.5</v>
      </c>
      <c r="E173" s="11">
        <f>+'HELADERIA CRETA'!$D$3</f>
        <v>0</v>
      </c>
      <c r="F173" s="12">
        <f>+'HELADERIA CRETA'!$E$3</f>
        <v>0</v>
      </c>
      <c r="G173" s="12">
        <f>+'HELADERIA CRETA'!$F$3</f>
        <v>0</v>
      </c>
      <c r="H173" s="10">
        <f>+'HELADERIA CRETA'!$G$3</f>
        <v>0</v>
      </c>
      <c r="I173" t="s">
        <v>121</v>
      </c>
    </row>
    <row r="174" spans="1:10" ht="19.95" customHeight="1" x14ac:dyDescent="0.3">
      <c r="A174" s="14"/>
      <c r="B174" s="119" t="str">
        <f>+'HELADERIA HAPPY DAY'!$B$1</f>
        <v>HELADERIA HAPPY DAY</v>
      </c>
      <c r="C174" s="67" t="str">
        <f>+'HELADERIA HAPPY DAY'!$B$2</f>
        <v>ALBA ZAMBRANO</v>
      </c>
      <c r="D174" s="9">
        <f>+'HELADERIA HAPPY DAY'!$C$3</f>
        <v>0</v>
      </c>
      <c r="E174" s="11">
        <f>+'HELADERIA HAPPY DAY'!$D$3</f>
        <v>1</v>
      </c>
      <c r="F174" s="12">
        <f>+'HELADERIA HAPPY DAY'!$E$3</f>
        <v>0</v>
      </c>
      <c r="G174" s="12">
        <f>+'HELADERIA HAPPY DAY'!$F$3</f>
        <v>0</v>
      </c>
      <c r="H174" s="10">
        <f>+'HELADERIA HAPPY DAY'!$G$3</f>
        <v>0</v>
      </c>
      <c r="I174" t="s">
        <v>122</v>
      </c>
    </row>
    <row r="175" spans="1:10" ht="19.95" customHeight="1" x14ac:dyDescent="0.3">
      <c r="A175" s="14">
        <v>160</v>
      </c>
      <c r="B175" s="58" t="str">
        <f>+'HENRY PARRA'!$B$1</f>
        <v>HENRY PARRA</v>
      </c>
      <c r="C175" s="67">
        <f>+'HENRY PARRA'!$B$2</f>
        <v>0</v>
      </c>
      <c r="D175" s="9">
        <f>+'HENRY PARRA'!$C$3</f>
        <v>53.73</v>
      </c>
      <c r="E175" s="11">
        <f>+'HENRY PARRA'!$D$3</f>
        <v>1</v>
      </c>
      <c r="F175" s="12">
        <f>+'HENRY PARRA'!$E$3</f>
        <v>0</v>
      </c>
      <c r="G175" s="12">
        <f>+'HENRY PARRA'!$F$3</f>
        <v>0</v>
      </c>
      <c r="H175" s="10">
        <f>+'HENRY PARRA'!$G$3</f>
        <v>0</v>
      </c>
      <c r="I175" t="s">
        <v>126</v>
      </c>
      <c r="J175" s="80">
        <f>MAX('HENRY PARRA'!A2:A1000)</f>
        <v>45988</v>
      </c>
    </row>
    <row r="176" spans="1:10" ht="19.95" customHeight="1" x14ac:dyDescent="0.3">
      <c r="A176" s="14">
        <v>161</v>
      </c>
      <c r="B176" s="58" t="str">
        <f>+'HIPER BODEGON'!$B$1</f>
        <v>HIPER BODEGON</v>
      </c>
      <c r="C176" s="67">
        <f>+'HIPER BODEGON'!$B$2</f>
        <v>0</v>
      </c>
      <c r="D176" s="9">
        <f>+'HIPER BODEGON'!$C$3</f>
        <v>266.4799999999999</v>
      </c>
      <c r="E176" s="11">
        <f>+'HIPER BODEGON'!$D$3</f>
        <v>1</v>
      </c>
      <c r="F176" s="12">
        <f>+'HIPER BODEGON'!$E$3</f>
        <v>0</v>
      </c>
      <c r="G176" s="12">
        <f>+'HIPER BODEGON'!$F$3</f>
        <v>0</v>
      </c>
      <c r="H176" s="10">
        <f>+'HIPER BODEGON'!$G$3</f>
        <v>0</v>
      </c>
      <c r="I176" t="s">
        <v>121</v>
      </c>
      <c r="J176" s="80">
        <f>MAX('HIPER BODEGON'!A2:A1000)</f>
        <v>46031</v>
      </c>
    </row>
    <row r="177" spans="1:10" ht="19.95" customHeight="1" x14ac:dyDescent="0.3">
      <c r="A177" s="14">
        <v>162</v>
      </c>
      <c r="B177" s="58" t="str">
        <f>+'HIPER FRESS'!$B$1</f>
        <v>HIPER FRESH</v>
      </c>
      <c r="C177" s="67">
        <f>+'HIPER FRESS'!$B$2</f>
        <v>0</v>
      </c>
      <c r="D177" s="9">
        <f>+'HIPER FRESS'!$C$3</f>
        <v>1668.4599999999996</v>
      </c>
      <c r="E177" s="11">
        <f>+'HIPER FRESS'!$D$3</f>
        <v>22</v>
      </c>
      <c r="F177" s="12">
        <f>+'HIPER FRESS'!$E$3</f>
        <v>0</v>
      </c>
      <c r="G177" s="12">
        <f>+'HIPER FRESS'!$F$3</f>
        <v>0</v>
      </c>
      <c r="H177" s="10">
        <f>+'HIPER FRESS'!$G$3</f>
        <v>0</v>
      </c>
      <c r="I177" t="s">
        <v>126</v>
      </c>
      <c r="J177" s="80">
        <f>MAX('HIPER FRESS'!A2:A1000)</f>
        <v>46055</v>
      </c>
    </row>
    <row r="178" spans="1:10" ht="19.95" customHeight="1" x14ac:dyDescent="0.3">
      <c r="A178" s="14">
        <v>163</v>
      </c>
      <c r="B178" s="58" t="str">
        <f>+'HOTEL LA RAMADA'!$B$1</f>
        <v>HOTEL LA RAMADA</v>
      </c>
      <c r="C178" s="67">
        <f>+'HOTEL LA RAMADA'!$B$2</f>
        <v>0</v>
      </c>
      <c r="D178" s="9">
        <f>+'HOTEL LA RAMADA'!$C$3</f>
        <v>0.5</v>
      </c>
      <c r="E178" s="11">
        <f>+'HOTEL LA RAMADA'!$D$3</f>
        <v>0</v>
      </c>
      <c r="F178" s="12">
        <f>+'HOTEL LA RAMADA'!$E$3</f>
        <v>0</v>
      </c>
      <c r="G178" s="12">
        <f>+'HOTEL LA RAMADA'!$F$3</f>
        <v>0</v>
      </c>
      <c r="H178" s="10">
        <f>+'HOTEL LA RAMADA'!$G$3</f>
        <v>0</v>
      </c>
      <c r="I178" t="s">
        <v>121</v>
      </c>
      <c r="J178" s="80">
        <f>MAX('HOTEL LA RAMADA'!A2:A1000)</f>
        <v>46020</v>
      </c>
    </row>
    <row r="179" spans="1:10" ht="19.95" customHeight="1" x14ac:dyDescent="0.3">
      <c r="A179" s="14">
        <v>164</v>
      </c>
      <c r="B179" s="58" t="str">
        <f>+'INVERSIONES DIMARIA'!$B$1</f>
        <v>INVERSIONES DIMARIA</v>
      </c>
      <c r="C179" s="67" t="str">
        <f>+'INVERSIONES DIMARIA'!$B$2</f>
        <v>MILAGROS</v>
      </c>
      <c r="D179" s="9">
        <f>+'INVERSIONES DIMARIA'!$C$3</f>
        <v>7.1899999999999862</v>
      </c>
      <c r="E179" s="11">
        <f>+'INVERSIONES DIMARIA'!$D$3</f>
        <v>0</v>
      </c>
      <c r="F179" s="12">
        <f>+'INVERSIONES DIMARIA'!$E$3</f>
        <v>0</v>
      </c>
      <c r="G179" s="12">
        <f>+'INVERSIONES DIMARIA'!$F$3</f>
        <v>0</v>
      </c>
      <c r="H179" s="10">
        <f>+'INVERSIONES DIMARIA'!$G$3</f>
        <v>0</v>
      </c>
      <c r="I179" t="s">
        <v>121</v>
      </c>
      <c r="J179" s="80">
        <f>MAX('INVERSIONES DIMARIA'!A2:A1000)</f>
        <v>46056</v>
      </c>
    </row>
    <row r="180" spans="1:10" ht="19.95" customHeight="1" x14ac:dyDescent="0.3">
      <c r="A180" s="14">
        <v>165</v>
      </c>
      <c r="B180" s="58" t="str">
        <f>+'INVERSIONES ELY'!$B$1</f>
        <v>INVERSIONES ELY</v>
      </c>
      <c r="C180" s="67">
        <f>+'INVERSIONES ELY'!$B$2</f>
        <v>0</v>
      </c>
      <c r="D180" s="9">
        <f>+'INVERSIONES ELY'!$C$3</f>
        <v>17.479999999999997</v>
      </c>
      <c r="E180" s="11">
        <f>+'INVERSIONES ELY'!$D$3</f>
        <v>1</v>
      </c>
      <c r="F180" s="12">
        <f>+'INVERSIONES ELY'!$E$3</f>
        <v>0</v>
      </c>
      <c r="G180" s="12">
        <f>+'INVERSIONES ELY'!$F$3</f>
        <v>0</v>
      </c>
      <c r="H180" s="10">
        <f>+'INVERSIONES ELY'!$G$3</f>
        <v>0</v>
      </c>
      <c r="I180" t="s">
        <v>121</v>
      </c>
      <c r="J180" s="80">
        <f>MAX('INVERSIONES ELY'!A2:A1000)</f>
        <v>46051</v>
      </c>
    </row>
    <row r="181" spans="1:10" ht="19.95" customHeight="1" x14ac:dyDescent="0.3">
      <c r="A181" s="14">
        <v>166</v>
      </c>
      <c r="B181" s="58" t="str">
        <f>+'INVERSIONES MEID'!$B$1</f>
        <v>INVERSIONES MEID</v>
      </c>
      <c r="C181" s="67" t="str">
        <f>+'INVERSIONES MEID'!$B$2</f>
        <v>MILEIDY</v>
      </c>
      <c r="D181" s="9">
        <f>+'INVERSIONES MEID'!$C$3</f>
        <v>14.680000000000014</v>
      </c>
      <c r="E181" s="11">
        <f>+'INVERSIONES MEID'!$D$3</f>
        <v>0</v>
      </c>
      <c r="F181" s="12">
        <f>+'INVERSIONES MEID'!$E$3</f>
        <v>0</v>
      </c>
      <c r="G181" s="12">
        <f>+'INVERSIONES MEID'!$F$3</f>
        <v>0</v>
      </c>
      <c r="H181" s="10">
        <f>+'INVERSIONES MEID'!$G$3</f>
        <v>0</v>
      </c>
      <c r="I181" t="s">
        <v>122</v>
      </c>
      <c r="J181" s="80">
        <f>MAX('INVERSIONES MEID'!A2:A1000)</f>
        <v>45966</v>
      </c>
    </row>
    <row r="182" spans="1:10" ht="19.95" customHeight="1" x14ac:dyDescent="0.3">
      <c r="A182" s="14">
        <v>167</v>
      </c>
      <c r="B182" s="58" t="str">
        <f>+'INVERSIONES Y VARIEDADES YENIFE'!$B$1</f>
        <v>INVERSIONES Y VARIEDADES YENIFE</v>
      </c>
      <c r="C182" s="67" t="str">
        <f>+'INVERSIONES Y VARIEDADES YENIFE'!$B$2</f>
        <v>YENIFER DE MONTANA</v>
      </c>
      <c r="D182" s="9">
        <f>+'INVERSIONES Y VARIEDADES YENIFE'!$C$3</f>
        <v>10.660000000000011</v>
      </c>
      <c r="E182" s="11">
        <f>+'INVERSIONES Y VARIEDADES YENIFE'!$D$3</f>
        <v>0</v>
      </c>
      <c r="F182" s="12">
        <f>+'INVERSIONES Y VARIEDADES YENIFE'!$E$3</f>
        <v>0</v>
      </c>
      <c r="G182" s="12">
        <f>+'INVERSIONES Y VARIEDADES YENIFE'!$F$3</f>
        <v>0</v>
      </c>
      <c r="H182" s="10">
        <f>+'INVERSIONES Y VARIEDADES YENIFE'!$G$3</f>
        <v>0</v>
      </c>
      <c r="I182" t="s">
        <v>122</v>
      </c>
      <c r="J182" s="80">
        <f>MAX('INVERSIONES Y VARIEDADES YENIFE'!A2:A1000)</f>
        <v>46052</v>
      </c>
    </row>
    <row r="183" spans="1:10" ht="19.95" customHeight="1" x14ac:dyDescent="0.3">
      <c r="A183" s="14">
        <v>168</v>
      </c>
      <c r="B183" s="58" t="str">
        <f>+'INVERSIONES VIPLAST'!$B$1</f>
        <v>INVERSIONES VIPLAST</v>
      </c>
      <c r="C183" s="67" t="str">
        <f>+'INVERSIONES VIPLAST'!$B$2</f>
        <v>YENNY TORRES</v>
      </c>
      <c r="D183" s="9">
        <f>+'INVERSIONES VIPLAST'!$C$3</f>
        <v>20.34</v>
      </c>
      <c r="E183" s="11">
        <f>+'INVERSIONES VIPLAST'!$D$3</f>
        <v>1</v>
      </c>
      <c r="F183" s="12">
        <f>+'INVERSIONES VIPLAST'!$E$3</f>
        <v>1</v>
      </c>
      <c r="G183" s="12">
        <f>+'INVERSIONES VIPLAST'!$F$3</f>
        <v>0</v>
      </c>
      <c r="H183" s="10">
        <f>+'INVERSIONES VIPLAST'!$G$3</f>
        <v>0</v>
      </c>
      <c r="I183" t="s">
        <v>122</v>
      </c>
      <c r="J183" s="80">
        <f>MAX('INVERSIONES VIPLAST'!A2:A1000)</f>
        <v>46045</v>
      </c>
    </row>
    <row r="184" spans="1:10" ht="19.95" customHeight="1" x14ac:dyDescent="0.3">
      <c r="A184" s="14">
        <v>169</v>
      </c>
      <c r="B184" s="58" t="str">
        <f>+'INVERFRUVE SANTANDER'!$B$1</f>
        <v>INVERFRUVE SANTANDER</v>
      </c>
      <c r="C184" s="67" t="str">
        <f>+'INVERFRUVE SANTANDER'!$B$2</f>
        <v>JESUS SANTANDER</v>
      </c>
      <c r="D184" s="9">
        <f>+'INVERFRUVE SANTANDER'!$C$3</f>
        <v>85.090000000000032</v>
      </c>
      <c r="E184" s="11">
        <f>+'INVERFRUVE SANTANDER'!$D$3</f>
        <v>0</v>
      </c>
      <c r="F184" s="12">
        <f>+'INVERFRUVE SANTANDER'!$E$3</f>
        <v>0</v>
      </c>
      <c r="G184" s="12">
        <f>+'INVERFRUVE SANTANDER'!$F$3</f>
        <v>0</v>
      </c>
      <c r="H184" s="10">
        <f>+'INVERFRUVE SANTANDER'!$G$3</f>
        <v>0</v>
      </c>
      <c r="I184" t="s">
        <v>122</v>
      </c>
      <c r="J184" s="80">
        <f>MAX('INVERFRUVE SANTANDER'!A2:A1000)</f>
        <v>46052</v>
      </c>
    </row>
    <row r="185" spans="1:10" ht="19.95" customHeight="1" x14ac:dyDescent="0.3">
      <c r="A185" s="14">
        <v>170</v>
      </c>
      <c r="B185" s="58" t="str">
        <f>+'JACKSON VILLAMIZAR'!$B$1</f>
        <v>JACKSON VILLAMIZAR</v>
      </c>
      <c r="C185" s="67">
        <f>+'JACKSON VILLAMIZAR'!$B$2</f>
        <v>0</v>
      </c>
      <c r="D185" s="9">
        <f>+'JACKSON VILLAMIZAR'!$C$3</f>
        <v>1.9999999999996909E-2</v>
      </c>
      <c r="E185" s="11">
        <f>+'JACKSON VILLAMIZAR'!$D$3</f>
        <v>0</v>
      </c>
      <c r="F185" s="12">
        <f>+'JACKSON VILLAMIZAR'!$E$3</f>
        <v>0</v>
      </c>
      <c r="G185" s="12">
        <f>+'JACKSON VILLAMIZAR'!$F$3</f>
        <v>0</v>
      </c>
      <c r="H185" s="10">
        <f>+'JACKSON VILLAMIZAR'!$G$3</f>
        <v>0</v>
      </c>
      <c r="I185" t="s">
        <v>121</v>
      </c>
      <c r="J185" s="80">
        <f>MAX('JACKSON VILLAMIZAR'!A2:A1000)</f>
        <v>45916</v>
      </c>
    </row>
    <row r="186" spans="1:10" ht="19.95" customHeight="1" x14ac:dyDescent="0.3">
      <c r="A186" s="14"/>
      <c r="B186" s="119" t="str">
        <f>+'JAVIER TERCERIADO'!$B$1</f>
        <v>JAVIER TERCERIADO</v>
      </c>
      <c r="C186" s="67">
        <f>+'JAVIER TERCERIADO'!$B$2</f>
        <v>0</v>
      </c>
      <c r="D186" s="9">
        <f>+'JAVIER TERCERIADO'!$C$3</f>
        <v>125.27999999999997</v>
      </c>
      <c r="E186" s="11">
        <f>+'JAVIER TERCERIADO'!$D$3</f>
        <v>0</v>
      </c>
      <c r="F186" s="12">
        <f>+'JAVIER TERCERIADO'!$E$3</f>
        <v>0</v>
      </c>
      <c r="G186" s="12">
        <f>+'JAVIER TERCERIADO'!$F$3</f>
        <v>0</v>
      </c>
      <c r="H186" s="10">
        <f>+'JAVIER TERCERIADO'!$G$3</f>
        <v>0</v>
      </c>
      <c r="I186" t="s">
        <v>539</v>
      </c>
    </row>
    <row r="187" spans="1:10" ht="19.95" customHeight="1" x14ac:dyDescent="0.3">
      <c r="A187" s="14">
        <v>171</v>
      </c>
      <c r="B187" s="58" t="str">
        <f>+'JESUS SANTANDER'!$B$1</f>
        <v>JESUS SANTANDER</v>
      </c>
      <c r="C187" s="67">
        <f>+'JESUS SANTANDER'!$B$2</f>
        <v>0</v>
      </c>
      <c r="D187" s="9">
        <f>+'JESUS SANTANDER'!$C$3</f>
        <v>0</v>
      </c>
      <c r="E187" s="11">
        <f>+'JESUS SANTANDER'!$D$3</f>
        <v>0</v>
      </c>
      <c r="F187" s="12">
        <f>+'JESUS SANTANDER'!$E$3</f>
        <v>0</v>
      </c>
      <c r="G187" s="12">
        <f>+'JESUS SANTANDER'!$F$3</f>
        <v>0</v>
      </c>
      <c r="H187" s="10">
        <f>+'JESUS SANTANDER'!$G$3</f>
        <v>0</v>
      </c>
      <c r="I187" t="s">
        <v>121</v>
      </c>
      <c r="J187" s="80">
        <f>MAX('JESUS SANTANDER'!A2:A1000)</f>
        <v>45820</v>
      </c>
    </row>
    <row r="188" spans="1:10" ht="19.95" customHeight="1" x14ac:dyDescent="0.3">
      <c r="A188" s="14">
        <v>172</v>
      </c>
      <c r="B188" s="58" t="str">
        <f>+'JESUS PARRA'!$B$1</f>
        <v>JESUS PARRA</v>
      </c>
      <c r="C188" s="67">
        <f>+'JESUS PARRA'!$B$2</f>
        <v>0</v>
      </c>
      <c r="D188" s="9">
        <f>+'JESUS PARRA'!$C$3</f>
        <v>181.76</v>
      </c>
      <c r="E188" s="11">
        <f>+'JESUS PARRA'!$D$3</f>
        <v>3</v>
      </c>
      <c r="F188" s="12">
        <f>+'JESUS PARRA'!$E$3</f>
        <v>0</v>
      </c>
      <c r="G188" s="12">
        <f>+'JESUS PARRA'!$F$3</f>
        <v>0</v>
      </c>
      <c r="H188" s="10">
        <f>+'JESUS PARRA'!$G$3</f>
        <v>0</v>
      </c>
      <c r="I188" t="s">
        <v>128</v>
      </c>
      <c r="J188" s="80">
        <f>MAX('JESUS PARRA'!A2:A1000)</f>
        <v>46038</v>
      </c>
    </row>
    <row r="189" spans="1:10" ht="19.95" customHeight="1" x14ac:dyDescent="0.3">
      <c r="A189" s="14">
        <v>173</v>
      </c>
      <c r="B189" s="58" t="str">
        <f>+'JHON COLMENARES'!$B$1</f>
        <v>JHON COLMENARES</v>
      </c>
      <c r="C189" s="67">
        <f>+'JHON COLMENARES'!$B$2</f>
        <v>0</v>
      </c>
      <c r="D189" s="9">
        <f>+'JHON COLMENARES'!$C$3</f>
        <v>69.410000000000011</v>
      </c>
      <c r="E189" s="11">
        <f>+'JHON COLMENARES'!$D$3</f>
        <v>6</v>
      </c>
      <c r="F189" s="12">
        <f>+'JHON COLMENARES'!$E$3</f>
        <v>0</v>
      </c>
      <c r="G189" s="12">
        <f>+'JHON COLMENARES'!$F$3</f>
        <v>0</v>
      </c>
      <c r="H189" s="10">
        <f>+'JHON COLMENARES'!$G$3</f>
        <v>0</v>
      </c>
      <c r="I189" t="s">
        <v>128</v>
      </c>
      <c r="J189" s="80">
        <f>MAX('JHON COLMENARES'!A2:A1000)</f>
        <v>46056</v>
      </c>
    </row>
    <row r="190" spans="1:10" ht="19.95" customHeight="1" x14ac:dyDescent="0.3">
      <c r="A190" s="14">
        <v>174</v>
      </c>
      <c r="B190" s="58" t="str">
        <f>+'JHONDER COLMENARES'!$B$1</f>
        <v>JHONDER COLMENARES</v>
      </c>
      <c r="C190" s="67">
        <f>+'JHONDER COLMENARES'!$B$2</f>
        <v>0</v>
      </c>
      <c r="D190" s="9">
        <f>+'JHONDER COLMENARES'!$C$3</f>
        <v>13.310000000000002</v>
      </c>
      <c r="E190" s="11">
        <f>+'JHONDER COLMENARES'!$D$3</f>
        <v>2</v>
      </c>
      <c r="F190" s="12">
        <f>+'JHONDER COLMENARES'!$E$3</f>
        <v>0</v>
      </c>
      <c r="G190" s="12">
        <f>+'JHONDER COLMENARES'!$F$3</f>
        <v>0</v>
      </c>
      <c r="H190" s="10">
        <f>+'JHONDER COLMENARES'!$G$3</f>
        <v>0</v>
      </c>
      <c r="I190" t="s">
        <v>128</v>
      </c>
      <c r="J190" s="80">
        <f>MAX('JHONDER COLMENARES'!A2:A1000)</f>
        <v>46045</v>
      </c>
    </row>
    <row r="191" spans="1:10" ht="19.95" customHeight="1" x14ac:dyDescent="0.3">
      <c r="A191" s="14"/>
      <c r="B191" s="119" t="str">
        <f>+'JONATAN ALEXIS BARON QUEZADA'!$B$1</f>
        <v>JONATAN ALEXIS BARON QUEZADA</v>
      </c>
      <c r="C191" s="67">
        <f>+'JONATAN ALEXIS BARON QUEZADA'!$B$2</f>
        <v>0</v>
      </c>
      <c r="D191" s="9">
        <f>+'JONATAN ALEXIS BARON QUEZADA'!$C$3</f>
        <v>192.77</v>
      </c>
      <c r="E191" s="11">
        <f>+'JONATAN ALEXIS BARON QUEZADA'!$D$3</f>
        <v>0</v>
      </c>
      <c r="F191" s="12">
        <f>+'JONATAN ALEXIS BARON QUEZADA'!$E$3</f>
        <v>0</v>
      </c>
      <c r="G191" s="12">
        <f>+'JONATAN ALEXIS BARON QUEZADA'!$F$3</f>
        <v>0</v>
      </c>
      <c r="H191" s="10">
        <f>+'JONATAN ALEXIS BARON QUEZADA'!$G$3</f>
        <v>0</v>
      </c>
      <c r="I191" t="s">
        <v>121</v>
      </c>
    </row>
    <row r="192" spans="1:10" ht="19.95" customHeight="1" x14ac:dyDescent="0.3">
      <c r="A192" s="14">
        <v>175</v>
      </c>
      <c r="B192" s="58" t="str">
        <f>+'JOLIVERO LUNA OSTOS'!$B$1</f>
        <v>JOLIVERO LUNA OSTOS</v>
      </c>
      <c r="C192" s="67">
        <f>+'JOLIVERO LUNA OSTOS'!$B$2</f>
        <v>0</v>
      </c>
      <c r="D192" s="9">
        <f>+'JOLIVERO LUNA OSTOS'!$C$3</f>
        <v>27.829999999999981</v>
      </c>
      <c r="E192" s="11">
        <f>+'JOLIVERO LUNA OSTOS'!$D$3</f>
        <v>0</v>
      </c>
      <c r="F192" s="12">
        <f>+'JOLIVERO LUNA OSTOS'!$E$3</f>
        <v>0</v>
      </c>
      <c r="G192" s="12">
        <f>+'JOLIVERO LUNA OSTOS'!$F$3</f>
        <v>0</v>
      </c>
      <c r="H192" s="10">
        <f>+'JOLIVERO LUNA OSTOS'!$G$3</f>
        <v>0</v>
      </c>
      <c r="I192" t="s">
        <v>121</v>
      </c>
      <c r="J192" s="80">
        <f>MAX('JOLIVERO LUNA OSTOS'!A2:A1000)</f>
        <v>46049</v>
      </c>
    </row>
    <row r="193" spans="1:10" ht="19.95" customHeight="1" x14ac:dyDescent="0.3">
      <c r="A193" s="14">
        <v>176</v>
      </c>
      <c r="B193" s="58" t="str">
        <f>+'JOSE CONTRERAS'!$B$1</f>
        <v>JOSE CONTRERAS</v>
      </c>
      <c r="C193" s="67">
        <f>+'JOSE CONTRERAS'!$B$2</f>
        <v>0</v>
      </c>
      <c r="D193" s="9">
        <f>+'JOSE CONTRERAS'!$C$3</f>
        <v>26.689999999999962</v>
      </c>
      <c r="E193" s="11">
        <f>+'JOSE CONTRERAS'!$D$3</f>
        <v>0</v>
      </c>
      <c r="F193" s="12">
        <f>+'JOSE CONTRERAS'!$E$3</f>
        <v>0</v>
      </c>
      <c r="G193" s="12">
        <f>+'JOSE CONTRERAS'!$F$3</f>
        <v>0</v>
      </c>
      <c r="H193" s="10">
        <f>+'JOSE CONTRERAS'!$G$3</f>
        <v>0</v>
      </c>
      <c r="I193" t="s">
        <v>121</v>
      </c>
      <c r="J193" s="80">
        <f>MAX('JOSE CONTRERAS'!A2:A1000)</f>
        <v>46056</v>
      </c>
    </row>
    <row r="194" spans="1:10" ht="19.95" customHeight="1" x14ac:dyDescent="0.3">
      <c r="A194" s="14">
        <v>177</v>
      </c>
      <c r="B194" s="58" t="str">
        <f>+'JUMBO DOG'!$B$1</f>
        <v>JUMBO DOG</v>
      </c>
      <c r="C194" s="67">
        <f>+'JUMBO DOG'!$B$2</f>
        <v>0</v>
      </c>
      <c r="D194" s="9">
        <f>+'JUMBO DOG'!$C$3</f>
        <v>800.88000000000011</v>
      </c>
      <c r="E194" s="11">
        <f>+'JUMBO DOG'!$D$3</f>
        <v>0</v>
      </c>
      <c r="F194" s="12">
        <f>+'JUMBO DOG'!$E$3</f>
        <v>0</v>
      </c>
      <c r="G194" s="12">
        <f>+'JUMBO DOG'!$F$3</f>
        <v>0</v>
      </c>
      <c r="H194" s="10">
        <f>+'JUMBO DOG'!$G$3</f>
        <v>0</v>
      </c>
      <c r="I194" t="s">
        <v>121</v>
      </c>
      <c r="J194" s="80">
        <f>MAX('JUMBO DOG'!A2:A1000)</f>
        <v>46051</v>
      </c>
    </row>
    <row r="195" spans="1:10" ht="19.95" customHeight="1" x14ac:dyDescent="0.3">
      <c r="A195" s="14">
        <v>178</v>
      </c>
      <c r="B195" s="58" t="str">
        <f>+'KACTUS BODEGON'!$B$1</f>
        <v>KACTUS BODEGON</v>
      </c>
      <c r="C195" s="67">
        <f>+'KACTUS BODEGON'!$B$2</f>
        <v>0</v>
      </c>
      <c r="D195" s="9">
        <f>+'KACTUS BODEGON'!$C$3</f>
        <v>509.99000000000018</v>
      </c>
      <c r="E195" s="11">
        <f>+'KACTUS BODEGON'!$D$3</f>
        <v>0</v>
      </c>
      <c r="F195" s="12">
        <f>+'KACTUS BODEGON'!$E$3</f>
        <v>0</v>
      </c>
      <c r="G195" s="12">
        <f>+'KACTUS BODEGON'!$F$3</f>
        <v>-1</v>
      </c>
      <c r="H195" s="10">
        <f>+'KACTUS BODEGON'!$G$3</f>
        <v>0</v>
      </c>
      <c r="I195" t="s">
        <v>121</v>
      </c>
      <c r="J195" s="80">
        <f>MAX('KACTUS BODEGON'!A2:A1000)</f>
        <v>46056</v>
      </c>
    </row>
    <row r="196" spans="1:10" ht="19.95" customHeight="1" x14ac:dyDescent="0.3">
      <c r="A196" s="14">
        <v>179</v>
      </c>
      <c r="B196" s="119" t="str">
        <f>+'KAREN PRADO'!$B$1</f>
        <v>KAREN PRADO</v>
      </c>
      <c r="C196" s="67">
        <f>+'KAREN PRADO'!$B$2</f>
        <v>0</v>
      </c>
      <c r="D196" s="9">
        <f>+'KAREN PRADO'!$C$3</f>
        <v>17.32</v>
      </c>
      <c r="E196" s="11">
        <f>+'KAREN PRADO'!$D$3</f>
        <v>0</v>
      </c>
      <c r="F196" s="12">
        <f>+'KAREN PRADO'!$E$3</f>
        <v>0</v>
      </c>
      <c r="G196" s="12">
        <f>+'KAREN PRADO'!$F$3</f>
        <v>0</v>
      </c>
      <c r="H196" s="10">
        <f>+'KAREN PRADO'!$G$3</f>
        <v>0</v>
      </c>
      <c r="I196" t="s">
        <v>121</v>
      </c>
    </row>
    <row r="197" spans="1:10" ht="19.95" customHeight="1" x14ac:dyDescent="0.3">
      <c r="A197" s="14">
        <v>180</v>
      </c>
      <c r="B197" s="58" t="str">
        <f>+'KARLA ISAZA'!$B$1</f>
        <v>KARLA ISAZA</v>
      </c>
      <c r="C197" s="67">
        <f>+'KARLA ISAZA'!$B$2</f>
        <v>0</v>
      </c>
      <c r="D197" s="9">
        <f>+'KARLA ISAZA'!$C$3</f>
        <v>-0.87000000000001165</v>
      </c>
      <c r="E197" s="11">
        <f>+'KARLA ISAZA'!$D$3</f>
        <v>1</v>
      </c>
      <c r="F197" s="12">
        <f>+'KARLA ISAZA'!$E$3</f>
        <v>0</v>
      </c>
      <c r="G197" s="12">
        <f>+'KARLA ISAZA'!$F$3</f>
        <v>-1</v>
      </c>
      <c r="H197" s="10">
        <f>+'KARLA ISAZA'!$G$3</f>
        <v>0</v>
      </c>
      <c r="I197" t="s">
        <v>121</v>
      </c>
      <c r="J197" s="80">
        <f>MAX('KARLA ISAZA'!A2:A1000)</f>
        <v>45960</v>
      </c>
    </row>
    <row r="198" spans="1:10" ht="19.95" customHeight="1" x14ac:dyDescent="0.3">
      <c r="A198" s="14">
        <v>181</v>
      </c>
      <c r="B198" s="58" t="str">
        <f>+'KARINA B.GOS BODEGON'!$B$1</f>
        <v>KARINA B.GOS BODEGON</v>
      </c>
      <c r="C198" s="67">
        <f>+'KARINA B.GOS BODEGON'!$B$2</f>
        <v>0</v>
      </c>
      <c r="D198" s="9">
        <f>+'KARINA B.GOS BODEGON'!$C$3</f>
        <v>648.32000000000005</v>
      </c>
      <c r="E198" s="11">
        <f>+'KARINA B.GOS BODEGON'!$D$3</f>
        <v>0</v>
      </c>
      <c r="F198" s="12">
        <f>+'KARINA B.GOS BODEGON'!$E$3</f>
        <v>0</v>
      </c>
      <c r="G198" s="12">
        <f>+'KARINA B.GOS BODEGON'!$F$3</f>
        <v>0</v>
      </c>
      <c r="H198" s="10">
        <f>+'KARINA B.GOS BODEGON'!$G$3</f>
        <v>0</v>
      </c>
      <c r="I198" t="s">
        <v>126</v>
      </c>
      <c r="J198" s="80">
        <f>MAX('KARINA B.GOS BODEGON'!A2:A1000)</f>
        <v>46057</v>
      </c>
    </row>
    <row r="199" spans="1:10" ht="19.95" customHeight="1" x14ac:dyDescent="0.3">
      <c r="A199" s="14">
        <v>182</v>
      </c>
      <c r="B199" s="58" t="str">
        <f>+'KARINA MARQUEZ'!$B$1</f>
        <v>KARINA MARQUEZ</v>
      </c>
      <c r="C199" s="67" t="str">
        <f>+'KARINA MARQUEZ'!$B$2</f>
        <v>CAUCHERA</v>
      </c>
      <c r="D199" s="9">
        <f>+'KARINA MARQUEZ'!$C$3</f>
        <v>-1.9999999999997797E-2</v>
      </c>
      <c r="E199" s="11">
        <f>+'KARINA MARQUEZ'!$D$3</f>
        <v>0</v>
      </c>
      <c r="F199" s="12">
        <f>+'KARINA MARQUEZ'!$E$3</f>
        <v>1</v>
      </c>
      <c r="G199" s="12">
        <f>+'KARINA MARQUEZ'!$F$3</f>
        <v>0</v>
      </c>
      <c r="H199" s="10">
        <f>+'KARINA MARQUEZ'!$G$3</f>
        <v>0</v>
      </c>
      <c r="I199" t="s">
        <v>122</v>
      </c>
      <c r="J199" s="80">
        <f>MAX('KARINA MARQUEZ'!A2:A1000)</f>
        <v>45881</v>
      </c>
    </row>
    <row r="200" spans="1:10" ht="19.95" customHeight="1" x14ac:dyDescent="0.3">
      <c r="A200" s="14">
        <v>183</v>
      </c>
      <c r="B200" s="58" t="str">
        <f>+'KEVIN MARQUEZ'!$B$1</f>
        <v>KEVIN MARQUEZ</v>
      </c>
      <c r="C200" s="67">
        <f>+'KEVIN MARQUEZ'!$B$2</f>
        <v>0</v>
      </c>
      <c r="D200" s="9">
        <f>+'KEVIN MARQUEZ'!$C$3</f>
        <v>0.66500000000009152</v>
      </c>
      <c r="E200" s="11">
        <f>+'KEVIN MARQUEZ'!$D$3</f>
        <v>0</v>
      </c>
      <c r="F200" s="12">
        <f>+'KEVIN MARQUEZ'!$E$3</f>
        <v>0</v>
      </c>
      <c r="G200" s="12">
        <f>+'KEVIN MARQUEZ'!$F$3</f>
        <v>0</v>
      </c>
      <c r="H200" s="10">
        <f>+'KEVIN MARQUEZ'!$G$3</f>
        <v>0</v>
      </c>
      <c r="I200" t="s">
        <v>122</v>
      </c>
      <c r="J200" s="80">
        <f>MAX('KEVIN MARQUEZ'!A2:A1000)</f>
        <v>46055</v>
      </c>
    </row>
    <row r="201" spans="1:10" ht="19.95" customHeight="1" x14ac:dyDescent="0.3">
      <c r="A201" s="14">
        <v>184</v>
      </c>
      <c r="B201" s="58" t="str">
        <f>+'KIOSCO AZUL'!$B$1</f>
        <v>KIOSCO AZUL</v>
      </c>
      <c r="C201" s="67" t="str">
        <f>+'KIOSCO AZUL'!$B$2</f>
        <v>NIEVES HERNANDEZ</v>
      </c>
      <c r="D201" s="9">
        <f>+'KIOSCO AZUL'!$C$3</f>
        <v>0</v>
      </c>
      <c r="E201" s="11">
        <f>+'KIOSCO AZUL'!$D$3</f>
        <v>0</v>
      </c>
      <c r="F201" s="12">
        <f>+'KIOSCO AZUL'!$E$3</f>
        <v>0</v>
      </c>
      <c r="G201" s="12">
        <f>+'KIOSCO AZUL'!$F$3</f>
        <v>0</v>
      </c>
      <c r="H201" s="10">
        <f>+'KIOSCO AZUL'!$G$3</f>
        <v>0</v>
      </c>
      <c r="I201" t="s">
        <v>122</v>
      </c>
      <c r="J201" s="80">
        <f>MAX('KIOSCO AZUL'!A2:A1000)</f>
        <v>46043</v>
      </c>
    </row>
    <row r="202" spans="1:10" ht="19.95" customHeight="1" x14ac:dyDescent="0.3">
      <c r="A202" s="14">
        <v>185</v>
      </c>
      <c r="B202" s="58" t="str">
        <f>+'KIOSCO BLANCO'!$B$1</f>
        <v>KIOSCO BLANCO</v>
      </c>
      <c r="C202" s="67" t="str">
        <f>+'KIOSCO BLANCO'!$B$2</f>
        <v>YUSMARI ARRIETA</v>
      </c>
      <c r="D202" s="9">
        <f>+'KIOSCO BLANCO'!$C$3</f>
        <v>0</v>
      </c>
      <c r="E202" s="11">
        <f>+'KIOSCO BLANCO'!$D$3</f>
        <v>0</v>
      </c>
      <c r="F202" s="12">
        <f>+'KIOSCO BLANCO'!$E$3</f>
        <v>1</v>
      </c>
      <c r="G202" s="12">
        <f>+'KIOSCO BLANCO'!$F$3</f>
        <v>0</v>
      </c>
      <c r="H202" s="10">
        <f>+'KIOSCO BLANCO'!$G$3</f>
        <v>0</v>
      </c>
      <c r="I202" t="s">
        <v>122</v>
      </c>
      <c r="J202" s="80">
        <f>MAX('KIOSCO BLANCO'!A2:A1000)</f>
        <v>46050</v>
      </c>
    </row>
    <row r="203" spans="1:10" ht="19.95" customHeight="1" x14ac:dyDescent="0.3">
      <c r="A203" s="14">
        <v>186</v>
      </c>
      <c r="B203" s="58" t="str">
        <f>+'KIOSCO FRAO'!$B$1</f>
        <v>KIOSCO FRAO</v>
      </c>
      <c r="C203" s="67" t="str">
        <f>+'KIOSCO FRAO'!$B$2</f>
        <v>ALEJANDRO</v>
      </c>
      <c r="D203" s="9">
        <f>+'KIOSCO FRAO'!$C$3</f>
        <v>0</v>
      </c>
      <c r="E203" s="11">
        <f>+'KIOSCO FRAO'!$D$3</f>
        <v>0</v>
      </c>
      <c r="F203" s="12">
        <f>+'KIOSCO FRAO'!$E$3</f>
        <v>0</v>
      </c>
      <c r="G203" s="12">
        <f>+'KIOSCO FRAO'!$F$3</f>
        <v>0</v>
      </c>
      <c r="H203" s="10">
        <f>+'KIOSCO FRAO'!$G$3</f>
        <v>0</v>
      </c>
      <c r="I203" t="s">
        <v>121</v>
      </c>
      <c r="J203" s="80">
        <f>MAX('KIOSCO FRAO'!A2:A1000)</f>
        <v>45826</v>
      </c>
    </row>
    <row r="204" spans="1:10" ht="19.95" customHeight="1" x14ac:dyDescent="0.3">
      <c r="A204" s="14">
        <v>187</v>
      </c>
      <c r="B204" s="58" t="str">
        <f>+'KIOSCO FRANKLIN'!$B$1</f>
        <v>KIOSCO FRANKLIN</v>
      </c>
      <c r="C204" s="67" t="str">
        <f>+'KIOSCO FRANKLIN'!$B$2</f>
        <v>FRANKLIN RODRIGUEZ</v>
      </c>
      <c r="D204" s="9">
        <f>+'KIOSCO FRANKLIN'!$C$3</f>
        <v>5.0000000000000107</v>
      </c>
      <c r="E204" s="11">
        <f>+'KIOSCO FRANKLIN'!$D$3</f>
        <v>0</v>
      </c>
      <c r="F204" s="12">
        <f>+'KIOSCO FRANKLIN'!$E$3</f>
        <v>0</v>
      </c>
      <c r="G204" s="12">
        <f>+'KIOSCO FRANKLIN'!$F$3</f>
        <v>0</v>
      </c>
      <c r="H204" s="10">
        <f>+'KIOSCO FRANKLIN'!$G$3</f>
        <v>0</v>
      </c>
      <c r="I204" t="s">
        <v>121</v>
      </c>
      <c r="J204" s="80">
        <f>MAX('KIOSCO FRANKLIN'!A2:A1000)</f>
        <v>46052</v>
      </c>
    </row>
    <row r="205" spans="1:10" ht="19.95" customHeight="1" x14ac:dyDescent="0.3">
      <c r="A205" s="14">
        <v>188</v>
      </c>
      <c r="B205" s="58" t="str">
        <f>+'KIOSCO LIAN'!$B$1</f>
        <v>KIOSCO LIAN</v>
      </c>
      <c r="C205" s="67">
        <f>+'KIOSCO LIAN'!$B$2</f>
        <v>0</v>
      </c>
      <c r="D205" s="9">
        <f>+'KIOSCO LIAN'!$C$3</f>
        <v>0</v>
      </c>
      <c r="E205" s="11">
        <f>+'KIOSCO LIAN'!$D$3</f>
        <v>0</v>
      </c>
      <c r="F205" s="12">
        <f>+'KIOSCO LIAN'!$E$3</f>
        <v>0</v>
      </c>
      <c r="G205" s="12">
        <f>+'KIOSCO LIAN'!$F$3</f>
        <v>0</v>
      </c>
      <c r="H205" s="10">
        <f>+'KIOSCO LIAN'!$G$3</f>
        <v>0</v>
      </c>
      <c r="I205" t="s">
        <v>121</v>
      </c>
      <c r="J205" s="80">
        <f>MAX('KIOSCO LIAN'!A2:A1000)</f>
        <v>0</v>
      </c>
    </row>
    <row r="206" spans="1:10" ht="19.95" customHeight="1" x14ac:dyDescent="0.3">
      <c r="A206" s="14">
        <v>189</v>
      </c>
      <c r="B206" s="58" t="str">
        <f>+'KIOSCO N 5'!$B$1</f>
        <v>KIOSCO N 5</v>
      </c>
      <c r="C206" s="67" t="str">
        <f>+'KIOSCO N 5'!$B$2</f>
        <v>YOLANDA FLORES</v>
      </c>
      <c r="D206" s="9">
        <f>+'KIOSCO N 5'!$C$3</f>
        <v>9.9999999999997868E-2</v>
      </c>
      <c r="E206" s="11">
        <f>+'KIOSCO N 5'!$D$3</f>
        <v>0</v>
      </c>
      <c r="F206" s="12">
        <f>+'KIOSCO N 5'!$E$3</f>
        <v>0</v>
      </c>
      <c r="G206" s="12">
        <f>+'KIOSCO N 5'!$F$3</f>
        <v>0</v>
      </c>
      <c r="H206" s="10">
        <f>+'KIOSCO N 5'!$G$3</f>
        <v>0</v>
      </c>
      <c r="I206" t="s">
        <v>122</v>
      </c>
      <c r="J206" s="80">
        <f>MAX('KIOSCO N 5'!A2:A1000)</f>
        <v>46021</v>
      </c>
    </row>
    <row r="207" spans="1:10" ht="15.6" customHeight="1" x14ac:dyDescent="0.3">
      <c r="A207" s="14">
        <v>190</v>
      </c>
      <c r="B207" s="58" t="str">
        <f>+'KIOSCO ROSA VELAZCO'!$B$1</f>
        <v>KIOSCO ROSA VELAZCO</v>
      </c>
      <c r="C207" s="67">
        <f>+'KIOSCO ROSA VELAZCO'!$B$2</f>
        <v>0</v>
      </c>
      <c r="D207" s="9">
        <f>+'KIOSCO ROSA VELAZCO'!$C$3</f>
        <v>11.110000000000014</v>
      </c>
      <c r="E207" s="11">
        <f>+'KIOSCO ROSA VELAZCO'!$D$3</f>
        <v>0</v>
      </c>
      <c r="F207" s="12">
        <f>+'KIOSCO ROSA VELAZCO'!$E$3</f>
        <v>0</v>
      </c>
      <c r="G207" s="12">
        <f>+'KIOSCO ROSA VELAZCO'!$F$3</f>
        <v>0</v>
      </c>
      <c r="H207" s="10">
        <f>+'KIOSCO ROSA VELAZCO'!$G$3</f>
        <v>0</v>
      </c>
      <c r="I207" t="s">
        <v>121</v>
      </c>
      <c r="J207" s="80">
        <f>MAX('KIOSCO ROSA VELAZCO'!A2:A1000)</f>
        <v>45996</v>
      </c>
    </row>
    <row r="208" spans="1:10" ht="19.95" customHeight="1" x14ac:dyDescent="0.3">
      <c r="A208" s="14">
        <v>191</v>
      </c>
      <c r="B208" s="58" t="str">
        <f>+'KIOSCO QUE PASTELITOS'!$B$1</f>
        <v>KIOSCO QUE PASTELITOS</v>
      </c>
      <c r="C208" s="67" t="str">
        <f>+'KIOSCO QUE PASTELITOS'!$B$2</f>
        <v>ALBERTO CARNEVALE</v>
      </c>
      <c r="D208" s="9">
        <f>+'KIOSCO QUE PASTELITOS'!$C$3</f>
        <v>0.16000000000000014</v>
      </c>
      <c r="E208" s="11">
        <f>+'KIOSCO QUE PASTELITOS'!$D$3</f>
        <v>0</v>
      </c>
      <c r="F208" s="12">
        <f>+'KIOSCO QUE PASTELITOS'!$E$3</f>
        <v>0</v>
      </c>
      <c r="G208" s="12">
        <f>+'KIOSCO QUE PASTELITOS'!$F$3</f>
        <v>0</v>
      </c>
      <c r="H208" s="10">
        <f>+'KIOSCO QUE PASTELITOS'!$G$3</f>
        <v>0</v>
      </c>
      <c r="I208" t="s">
        <v>122</v>
      </c>
      <c r="J208" s="80">
        <f>MAX('KIOSCO QUE PASTELITOS'!A2:A1000)</f>
        <v>45939</v>
      </c>
    </row>
    <row r="209" spans="1:10" ht="19.95" customHeight="1" x14ac:dyDescent="0.3">
      <c r="A209" s="14">
        <v>192</v>
      </c>
      <c r="B209" s="58" t="str">
        <f>+'KIOSCO VIDA VERDE'!$B$1</f>
        <v>KIOSCO VIDA VERDE</v>
      </c>
      <c r="C209" s="67" t="str">
        <f>+'KIOSCO VIDA VERDE'!$B$2</f>
        <v>OSCAR TREJO</v>
      </c>
      <c r="D209" s="9">
        <f>+'KIOSCO VIDA VERDE'!$C$3</f>
        <v>0</v>
      </c>
      <c r="E209" s="11">
        <f>+'KIOSCO VIDA VERDE'!$D$3</f>
        <v>0</v>
      </c>
      <c r="F209" s="12">
        <f>+'KIOSCO VIDA VERDE'!$E$3</f>
        <v>0</v>
      </c>
      <c r="G209" s="12">
        <f>+'KIOSCO VIDA VERDE'!$F$3</f>
        <v>0</v>
      </c>
      <c r="H209" s="10">
        <f>+'KIOSCO VIDA VERDE'!$G$3</f>
        <v>0</v>
      </c>
      <c r="I209" t="s">
        <v>122</v>
      </c>
      <c r="J209" s="80">
        <f>MAX('KIOSCO VIDA VERDE'!A2:A1000)</f>
        <v>46038</v>
      </c>
    </row>
    <row r="210" spans="1:10" ht="19.95" customHeight="1" x14ac:dyDescent="0.3">
      <c r="A210" s="14">
        <v>193</v>
      </c>
      <c r="B210" s="58" t="str">
        <f>+'KIOSCO VICTORIA'!$B$1</f>
        <v>KIOSCO VICTORIA</v>
      </c>
      <c r="C210" s="67" t="str">
        <f>+'KIOSCO VICTORIA'!$B$2</f>
        <v>VICTORIA HERNANDEZ</v>
      </c>
      <c r="D210" s="9">
        <f>+'KIOSCO VICTORIA'!$C$3</f>
        <v>16.059999999999999</v>
      </c>
      <c r="E210" s="11">
        <f>+'KIOSCO VICTORIA'!$D$3</f>
        <v>0</v>
      </c>
      <c r="F210" s="12">
        <f>+'KIOSCO VICTORIA'!$E$3</f>
        <v>0</v>
      </c>
      <c r="G210" s="12">
        <f>+'KIOSCO VICTORIA'!$F$3</f>
        <v>0</v>
      </c>
      <c r="H210" s="10">
        <f>+'KIOSCO VICTORIA'!$G$3</f>
        <v>0</v>
      </c>
      <c r="I210" t="s">
        <v>122</v>
      </c>
      <c r="J210" s="80">
        <f>MAX('KIOSCO VICTORIA'!A2:A1000)</f>
        <v>45888</v>
      </c>
    </row>
    <row r="211" spans="1:10" ht="19.95" customHeight="1" x14ac:dyDescent="0.3">
      <c r="A211" s="14">
        <v>194</v>
      </c>
      <c r="B211" s="58" t="str">
        <f>+KORNER!$B$1</f>
        <v>KORNER</v>
      </c>
      <c r="C211" s="67">
        <f>+KORNER!$B$2</f>
        <v>0</v>
      </c>
      <c r="D211" s="9">
        <f>+KORNER!$C$3</f>
        <v>128.08999999999997</v>
      </c>
      <c r="E211" s="11">
        <f>+KORNER!$D$3</f>
        <v>0</v>
      </c>
      <c r="F211" s="12">
        <f>+KORNER!$E$3</f>
        <v>0</v>
      </c>
      <c r="G211" s="12">
        <f>+KORNER!$F$3</f>
        <v>0</v>
      </c>
      <c r="H211" s="10">
        <f>+KORNER!$G$3</f>
        <v>13.43</v>
      </c>
      <c r="I211" t="s">
        <v>121</v>
      </c>
      <c r="J211" s="80">
        <f>MAX(KORNER!A2:A1000)</f>
        <v>46037</v>
      </c>
    </row>
    <row r="212" spans="1:10" ht="19.95" customHeight="1" x14ac:dyDescent="0.3">
      <c r="A212" s="14">
        <v>195</v>
      </c>
      <c r="B212" s="58" t="str">
        <f>+'LAURA NINO DAVILA'!$B$1</f>
        <v>LAURA NINO DAVILA</v>
      </c>
      <c r="C212" s="67">
        <f>+'LAURA NINO DAVILA'!$B$2</f>
        <v>0</v>
      </c>
      <c r="D212" s="9">
        <f>+'LAURA NINO DAVILA'!$C$3</f>
        <v>48.64</v>
      </c>
      <c r="E212" s="11">
        <f>+'LAURA NINO DAVILA'!$D$3</f>
        <v>0</v>
      </c>
      <c r="F212" s="12">
        <f>+'LAURA NINO DAVILA'!$E$3</f>
        <v>0</v>
      </c>
      <c r="G212" s="12">
        <f>+'LAURA NINO DAVILA'!$F$3</f>
        <v>0</v>
      </c>
      <c r="H212" s="10">
        <f>+'LAURA NINO DAVILA'!$G$3</f>
        <v>0</v>
      </c>
      <c r="I212" t="s">
        <v>121</v>
      </c>
    </row>
    <row r="213" spans="1:10" ht="19.95" customHeight="1" x14ac:dyDescent="0.3">
      <c r="A213" s="14">
        <v>196</v>
      </c>
      <c r="B213" s="58" t="str">
        <f>+'LA ANDINA NARVAEZ'!$B$1</f>
        <v>LA ANDINA NARVAEZ</v>
      </c>
      <c r="C213" s="67" t="str">
        <f>+'LA ANDINA NARVAEZ'!$B$2</f>
        <v>JOSE NARVAEZ</v>
      </c>
      <c r="D213" s="9">
        <f>+'LA ANDINA NARVAEZ'!$C$3</f>
        <v>439.65999999999997</v>
      </c>
      <c r="E213" s="11">
        <f>+'LA ANDINA NARVAEZ'!$D$3</f>
        <v>0</v>
      </c>
      <c r="F213" s="12">
        <f>+'LA ANDINA NARVAEZ'!$E$3</f>
        <v>0</v>
      </c>
      <c r="G213" s="12">
        <f>+'LA ANDINA NARVAEZ'!$F$3</f>
        <v>0</v>
      </c>
      <c r="H213" s="10">
        <f>+'LA ANDINA NARVAEZ'!$G$3</f>
        <v>0</v>
      </c>
      <c r="I213" t="s">
        <v>122</v>
      </c>
      <c r="J213" s="80">
        <f>MAX('LA ANDINA NARVAEZ'!A2:A1000)</f>
        <v>46056</v>
      </c>
    </row>
    <row r="214" spans="1:10" ht="19.95" customHeight="1" x14ac:dyDescent="0.3">
      <c r="A214" s="14">
        <v>197</v>
      </c>
      <c r="B214" s="58" t="str">
        <f>+'LA CASA DEL CHOCHECO'!$B$1</f>
        <v>LA CASA DEL CHOCHECO</v>
      </c>
      <c r="C214" s="67">
        <f>+'LA CASA DEL CHOCHECO'!$B$2</f>
        <v>0</v>
      </c>
      <c r="D214" s="9">
        <f>+'LA CASA DEL CHOCHECO'!$C$3</f>
        <v>0</v>
      </c>
      <c r="E214" s="11">
        <f>+'LA CASA DEL CHOCHECO'!$D$3</f>
        <v>0</v>
      </c>
      <c r="F214" s="12">
        <f>+'LA CASA DEL CHOCHECO'!$E$3</f>
        <v>0</v>
      </c>
      <c r="G214" s="12">
        <f>+'LA CASA DEL CHOCHECO'!$F$3</f>
        <v>0</v>
      </c>
      <c r="H214" s="10">
        <f>+'LA CASA DEL CHOCHECO'!$G$3</f>
        <v>0</v>
      </c>
      <c r="I214" t="s">
        <v>122</v>
      </c>
      <c r="J214" s="80">
        <f>MAX('LA CASA DEL CHOCHECO'!A2:A1000)</f>
        <v>46050</v>
      </c>
    </row>
    <row r="215" spans="1:10" ht="19.95" customHeight="1" x14ac:dyDescent="0.3">
      <c r="A215" s="14">
        <v>198</v>
      </c>
      <c r="B215" s="58" t="str">
        <f>+'LA ESPERANZA'!$B$1</f>
        <v>LA ESPERANZA</v>
      </c>
      <c r="C215" s="67" t="str">
        <f>+'LA ESPERANZA'!$B$2</f>
        <v>CARRERO</v>
      </c>
      <c r="D215" s="9">
        <f>+'LA ESPERANZA'!$C$3</f>
        <v>1.999999999998181E-2</v>
      </c>
      <c r="E215" s="11">
        <f>+'LA ESPERANZA'!$D$3</f>
        <v>0</v>
      </c>
      <c r="F215" s="12">
        <f>+'LA ESPERANZA'!$E$3</f>
        <v>0</v>
      </c>
      <c r="G215" s="12">
        <f>+'LA ESPERANZA'!$F$3</f>
        <v>0</v>
      </c>
      <c r="H215" s="10">
        <f>+'LA ESPERANZA'!$G$3</f>
        <v>0</v>
      </c>
      <c r="I215" t="s">
        <v>121</v>
      </c>
      <c r="J215" s="80">
        <f>MAX('LA ESPERANZA'!A2:A1000)</f>
        <v>45870</v>
      </c>
    </row>
    <row r="216" spans="1:10" ht="19.95" customHeight="1" x14ac:dyDescent="0.3">
      <c r="A216" s="14">
        <v>199</v>
      </c>
      <c r="B216" s="58" t="str">
        <f>+'LA TIENDITA'!$B$1</f>
        <v>LA TIENDITA</v>
      </c>
      <c r="C216" s="67" t="str">
        <f>+'LA TIENDITA'!$B$2</f>
        <v>VASQUE</v>
      </c>
      <c r="D216" s="9">
        <f>+'LA TIENDITA'!$C$3</f>
        <v>-3.9999999999996483E-2</v>
      </c>
      <c r="E216" s="11">
        <f>+'LA TIENDITA'!$D$3</f>
        <v>0</v>
      </c>
      <c r="F216" s="12">
        <f>+'LA TIENDITA'!$E$3</f>
        <v>0</v>
      </c>
      <c r="G216" s="12">
        <f>+'LA TIENDITA'!$F$3</f>
        <v>0</v>
      </c>
      <c r="H216" s="10">
        <f>+'LA TIENDITA'!$G$3</f>
        <v>0</v>
      </c>
      <c r="I216" t="s">
        <v>121</v>
      </c>
      <c r="J216" s="80">
        <f>MAX('LA TIENDITA'!A2:A1000)</f>
        <v>45959</v>
      </c>
    </row>
    <row r="217" spans="1:10" ht="19.95" customHeight="1" x14ac:dyDescent="0.3">
      <c r="A217" s="14">
        <v>200</v>
      </c>
      <c r="B217" s="58" t="str">
        <f>+'LA VAQUERITA'!$B$1</f>
        <v>LA VAQUERITA</v>
      </c>
      <c r="C217" s="67">
        <f>+'LA VAQUERITA'!$B$2</f>
        <v>0</v>
      </c>
      <c r="D217" s="9">
        <f>+'LA VAQUERITA'!$C$3</f>
        <v>768.60000000000036</v>
      </c>
      <c r="E217" s="11">
        <f>+'LA VAQUERITA'!$D$3</f>
        <v>2</v>
      </c>
      <c r="F217" s="12">
        <f>+'LA VAQUERITA'!$E$3</f>
        <v>0</v>
      </c>
      <c r="G217" s="12">
        <f>+'LA VAQUERITA'!$F$3</f>
        <v>0</v>
      </c>
      <c r="H217" s="10">
        <f>+'LA VAQUERITA'!$G$3</f>
        <v>0</v>
      </c>
      <c r="I217" t="s">
        <v>121</v>
      </c>
      <c r="J217" s="80">
        <f>MAX('LA VAQUERITA'!A2:A1000)</f>
        <v>46052</v>
      </c>
    </row>
    <row r="218" spans="1:10" ht="19.95" customHeight="1" x14ac:dyDescent="0.3">
      <c r="A218" s="14">
        <v>201</v>
      </c>
      <c r="B218" s="58" t="str">
        <f>+'LEIDY GARCIA'!$B$1</f>
        <v>LEIDY GARCIA</v>
      </c>
      <c r="C218" s="67">
        <f>+'LEIDY GARCIA'!$B$2</f>
        <v>0</v>
      </c>
      <c r="D218" s="9">
        <f>+'LEIDY GARCIA'!$C$3</f>
        <v>180.04000000000002</v>
      </c>
      <c r="E218" s="11">
        <f>+'LEIDY GARCIA'!$D$3</f>
        <v>0</v>
      </c>
      <c r="F218" s="12">
        <f>+'LEIDY GARCIA'!$E$3</f>
        <v>0</v>
      </c>
      <c r="G218" s="12">
        <f>+'LEIDY GARCIA'!$F$3</f>
        <v>0</v>
      </c>
      <c r="H218" s="10">
        <f>+'LEIDY GARCIA'!$G$3</f>
        <v>0</v>
      </c>
      <c r="I218" t="s">
        <v>122</v>
      </c>
      <c r="J218" s="80">
        <f>MAX('LEIDY GARCIA'!A2:A1000)</f>
        <v>46044</v>
      </c>
    </row>
    <row r="219" spans="1:10" ht="19.95" customHeight="1" x14ac:dyDescent="0.3">
      <c r="A219" s="14">
        <v>202</v>
      </c>
      <c r="B219" s="58" t="str">
        <f>+'LIAM SOFI'!$B$1</f>
        <v>LIAM SOFI</v>
      </c>
      <c r="C219" s="67">
        <f>+'LIAM SOFI'!$B$2</f>
        <v>0</v>
      </c>
      <c r="D219" s="9">
        <f>+'LIAM SOFI'!$C$3</f>
        <v>46.779999999999774</v>
      </c>
      <c r="E219" s="11">
        <f>+'LIAM SOFI'!$D$3</f>
        <v>10</v>
      </c>
      <c r="F219" s="12">
        <f>+'LIAM SOFI'!$E$3</f>
        <v>-1</v>
      </c>
      <c r="G219" s="12">
        <f>+'LIAM SOFI'!$F$3</f>
        <v>0</v>
      </c>
      <c r="H219" s="10">
        <f>+'LIAM SOFI'!$G$3</f>
        <v>0</v>
      </c>
      <c r="I219" t="s">
        <v>121</v>
      </c>
      <c r="J219" s="80">
        <f>MAX('LIAM SOFI'!A2:A1000)</f>
        <v>46052</v>
      </c>
    </row>
    <row r="220" spans="1:10" ht="19.95" customHeight="1" x14ac:dyDescent="0.3">
      <c r="A220" s="14">
        <v>203</v>
      </c>
      <c r="B220" s="58" t="str">
        <f>+'LICORERIA GRISYUDAY'!$B$1</f>
        <v>LICORERIA GRISYUDAY</v>
      </c>
      <c r="C220" s="67">
        <f>+'LICORERIA GRISYUDAY'!$B$2</f>
        <v>0</v>
      </c>
      <c r="D220" s="9">
        <f>+'LICORERIA GRISYUDAY'!$C$3</f>
        <v>84.270000000000437</v>
      </c>
      <c r="E220" s="11">
        <f>+'LICORERIA GRISYUDAY'!$D$3</f>
        <v>182</v>
      </c>
      <c r="F220" s="12">
        <f>+'LICORERIA GRISYUDAY'!$E$3</f>
        <v>0</v>
      </c>
      <c r="G220" s="12">
        <f>+'LICORERIA GRISYUDAY'!$F$3</f>
        <v>0</v>
      </c>
      <c r="H220" s="10">
        <f>+'LICORERIA GRISYUDAY'!$G$3</f>
        <v>0</v>
      </c>
      <c r="I220" t="s">
        <v>126</v>
      </c>
      <c r="J220" s="80">
        <f>MAX('LICORERIA GRISYUDAY'!A2:A1001)</f>
        <v>46056</v>
      </c>
    </row>
    <row r="221" spans="1:10" ht="19.95" customHeight="1" x14ac:dyDescent="0.3">
      <c r="A221" s="14">
        <v>204</v>
      </c>
      <c r="B221" s="58" t="str">
        <f>+'LICORERIA KOOP'!$B$1</f>
        <v>LICORERIA KOOP</v>
      </c>
      <c r="C221" s="67">
        <f>+'LICORERIA KOOP'!$B$2</f>
        <v>0</v>
      </c>
      <c r="D221" s="9">
        <f>+'LICORERIA KOOP'!$C$3</f>
        <v>1052.8400000000031</v>
      </c>
      <c r="E221" s="11">
        <f>+'LICORERIA KOOP'!$D$3</f>
        <v>272</v>
      </c>
      <c r="F221" s="12">
        <f>+'LICORERIA KOOP'!$E$3</f>
        <v>0</v>
      </c>
      <c r="G221" s="12">
        <f>+'LICORERIA KOOP'!$F$3</f>
        <v>-5</v>
      </c>
      <c r="H221" s="10">
        <f>+'LICORERIA KOOP'!$G$3</f>
        <v>0</v>
      </c>
      <c r="I221" t="s">
        <v>126</v>
      </c>
      <c r="J221" s="80">
        <f>MAX('LICORERIA KOOP'!A2:A1000)</f>
        <v>46057</v>
      </c>
    </row>
    <row r="222" spans="1:10" ht="19.95" customHeight="1" x14ac:dyDescent="0.3">
      <c r="A222" s="14">
        <v>205</v>
      </c>
      <c r="B222" s="58" t="str">
        <f>+'LICORERIA LA VILLA'!$B$1</f>
        <v>LICORERIA LA VILLA</v>
      </c>
      <c r="C222" s="67">
        <f>+'LICORERIA LA VILLA'!$B$2</f>
        <v>0</v>
      </c>
      <c r="D222" s="9">
        <f>+'LICORERIA LA VILLA'!$C$3</f>
        <v>695.00000000000011</v>
      </c>
      <c r="E222" s="11">
        <f>+'LICORERIA LA VILLA'!$D$3</f>
        <v>0</v>
      </c>
      <c r="F222" s="12">
        <f>+'LICORERIA LA VILLA'!$E$3</f>
        <v>0</v>
      </c>
      <c r="G222" s="12">
        <f>+'LICORERIA LA VILLA'!$F$3</f>
        <v>0</v>
      </c>
      <c r="H222" s="10">
        <f>+'LICORERIA LA VILLA'!$G$3</f>
        <v>0</v>
      </c>
      <c r="I222" t="s">
        <v>126</v>
      </c>
      <c r="J222" s="80">
        <f>MAX('LICORERIA LA VILLA'!A2:A1000)</f>
        <v>46048</v>
      </c>
    </row>
    <row r="223" spans="1:10" ht="19.95" customHeight="1" x14ac:dyDescent="0.3">
      <c r="A223" s="14">
        <v>206</v>
      </c>
      <c r="B223" s="58" t="str">
        <f>+'LICORERIA LA TURENA'!$B$1</f>
        <v>LICORERIA LA TURENA</v>
      </c>
      <c r="C223" s="67">
        <f>+'LICORERIA LA TURENA'!$B$2</f>
        <v>0</v>
      </c>
      <c r="D223" s="9">
        <f>+'LICORERIA LA TURENA'!$C$3</f>
        <v>1548.8500000000006</v>
      </c>
      <c r="E223" s="11">
        <f>+'LICORERIA LA TURENA'!$D$3</f>
        <v>0</v>
      </c>
      <c r="F223" s="12">
        <f>+'LICORERIA LA TURENA'!$E$3</f>
        <v>0</v>
      </c>
      <c r="G223" s="12">
        <f>+'LICORERIA LA TURENA'!$F$3</f>
        <v>0</v>
      </c>
      <c r="H223" s="10">
        <f>+'LICORERIA LA TURENA'!$G$3</f>
        <v>0</v>
      </c>
      <c r="I223" t="s">
        <v>126</v>
      </c>
      <c r="J223" s="80">
        <f>MAX('LICORERIA LA TURENA'!A2:A1000)</f>
        <v>46056</v>
      </c>
    </row>
    <row r="224" spans="1:10" ht="19.95" customHeight="1" x14ac:dyDescent="0.3">
      <c r="A224" s="14">
        <v>207</v>
      </c>
      <c r="B224" s="58" t="str">
        <f>+'LICORERIA MIS ANGELES'!$B$1</f>
        <v>LICORERIA MIS ANGELES</v>
      </c>
      <c r="C224" s="67">
        <f>+'LICORERIA MIS ANGELES'!$B$2</f>
        <v>0</v>
      </c>
      <c r="D224" s="9">
        <f>+'LICORERIA MIS ANGELES'!$C$3</f>
        <v>400.09</v>
      </c>
      <c r="E224" s="11">
        <f>+'LICORERIA MIS ANGELES'!$D$3</f>
        <v>0</v>
      </c>
      <c r="F224" s="12">
        <f>+'LICORERIA MIS ANGELES'!$E$3</f>
        <v>0</v>
      </c>
      <c r="G224" s="12">
        <f>+'LICORERIA MIS ANGELES'!$F$3</f>
        <v>0</v>
      </c>
      <c r="H224" s="10">
        <f>+'LICORERIA MIS ANGELES'!$G$3</f>
        <v>0</v>
      </c>
      <c r="I224" t="s">
        <v>126</v>
      </c>
      <c r="J224" s="80">
        <f>MAX('LICORERIA MIS ANGELES'!A2:A1000)</f>
        <v>46031</v>
      </c>
    </row>
    <row r="225" spans="1:10" ht="19.95" customHeight="1" x14ac:dyDescent="0.3">
      <c r="A225" s="14">
        <v>208</v>
      </c>
      <c r="B225" s="58" t="str">
        <f>+'LICORERIA TOICO JYG'!$B$1</f>
        <v>LICORERIA TOICO JYG</v>
      </c>
      <c r="C225" s="67">
        <f>+'LICORERIA TOICO JYG'!$B$2</f>
        <v>0</v>
      </c>
      <c r="D225" s="9">
        <f>+'LICORERIA TOICO JYG'!$C$3</f>
        <v>2.0000000000027107E-2</v>
      </c>
      <c r="E225" s="11">
        <f>+'LICORERIA TOICO JYG'!$D$3</f>
        <v>0</v>
      </c>
      <c r="F225" s="12">
        <f>+'LICORERIA TOICO JYG'!$E$3</f>
        <v>0</v>
      </c>
      <c r="G225" s="12">
        <f>+'LICORERIA TOICO JYG'!$F$3</f>
        <v>0</v>
      </c>
      <c r="H225" s="10">
        <f>+'LICORERIA TOICO JYG'!$G$3</f>
        <v>0</v>
      </c>
      <c r="I225" t="s">
        <v>126</v>
      </c>
      <c r="J225" s="80">
        <f>MAX('LICORERIA TOICO JYG'!A2:A1000)</f>
        <v>46049</v>
      </c>
    </row>
    <row r="226" spans="1:10" ht="19.95" customHeight="1" x14ac:dyDescent="0.3">
      <c r="A226" s="14">
        <v>209</v>
      </c>
      <c r="B226" s="58" t="str">
        <f>+'LOS SARTENES DE AMITA'!$B$1</f>
        <v>LOS SARTENES DE AMITA</v>
      </c>
      <c r="C226" s="67" t="str">
        <f>+'LOS SARTENES DE AMITA'!$B$2</f>
        <v>KARLA VASQUEZ</v>
      </c>
      <c r="D226" s="9">
        <f>+'LOS SARTENES DE AMITA'!$C$3</f>
        <v>223.82000000000005</v>
      </c>
      <c r="E226" s="11">
        <f>+'LOS SARTENES DE AMITA'!$D$3</f>
        <v>0</v>
      </c>
      <c r="F226" s="12">
        <f>+'LOS SARTENES DE AMITA'!$E$3</f>
        <v>0</v>
      </c>
      <c r="G226" s="12">
        <f>+'LOS SARTENES DE AMITA'!$F$3</f>
        <v>0</v>
      </c>
      <c r="H226" s="10">
        <f>+'LOS SARTENES DE AMITA'!$G$3</f>
        <v>0</v>
      </c>
      <c r="I226" t="s">
        <v>122</v>
      </c>
      <c r="J226" s="80">
        <f>MAX('LOS SARTENES DE AMITA'!A2:A1000)</f>
        <v>46056</v>
      </c>
    </row>
    <row r="227" spans="1:10" ht="19.95" customHeight="1" x14ac:dyDescent="0.3">
      <c r="A227" s="14">
        <v>210</v>
      </c>
      <c r="B227" s="58" t="str">
        <f>+LUBRICFILTROS!$B$1</f>
        <v>LUBRICFILTROS</v>
      </c>
      <c r="C227" s="67">
        <f>+LUBRICFILTROS!$B$2</f>
        <v>0</v>
      </c>
      <c r="D227" s="9">
        <f>+LUBRICFILTROS!$C$3</f>
        <v>121.73</v>
      </c>
      <c r="E227" s="11">
        <f>+LUBRICFILTROS!$D$3</f>
        <v>1</v>
      </c>
      <c r="F227" s="12">
        <f>+LUBRICFILTROS!$E$3</f>
        <v>0</v>
      </c>
      <c r="G227" s="12">
        <f>+LUBRICFILTROS!$F$3</f>
        <v>0</v>
      </c>
      <c r="H227" s="10">
        <f>+LUBRICFILTROS!$G$3</f>
        <v>0</v>
      </c>
      <c r="I227" t="s">
        <v>121</v>
      </c>
      <c r="J227" s="80">
        <f>MAX(LUBRICFILTROS!A2:A1000)</f>
        <v>46051</v>
      </c>
    </row>
    <row r="228" spans="1:10" ht="19.95" customHeight="1" x14ac:dyDescent="0.3">
      <c r="A228" s="14">
        <v>211</v>
      </c>
      <c r="B228" s="58" t="str">
        <f>+'LUDY CARRILLO'!$B$1</f>
        <v>LUDY CARRILLO</v>
      </c>
      <c r="C228" s="67">
        <f>+'LUDY CARRILLO'!$B$2</f>
        <v>0</v>
      </c>
      <c r="D228" s="9">
        <f>+'LUDY CARRILLO'!$C$3</f>
        <v>36.65</v>
      </c>
      <c r="E228" s="11">
        <f>+'LUDY CARRILLO'!$D$3</f>
        <v>0</v>
      </c>
      <c r="F228" s="12">
        <f>+'LUDY CARRILLO'!$E$3</f>
        <v>0</v>
      </c>
      <c r="G228" s="12">
        <f>+'LUDY CARRILLO'!$F$3</f>
        <v>0</v>
      </c>
      <c r="H228" s="10">
        <f>+'LUDY CARRILLO'!$G$3</f>
        <v>0</v>
      </c>
      <c r="I228" t="s">
        <v>121</v>
      </c>
      <c r="J228" s="80">
        <f>MAX('LUDY CARRILLO'!A2:A1000)</f>
        <v>45919</v>
      </c>
    </row>
    <row r="229" spans="1:10" ht="19.95" customHeight="1" x14ac:dyDescent="0.3">
      <c r="A229" s="14"/>
      <c r="B229" s="119" t="str">
        <f>+'LUNCHERIA LOLITA'!$B$1</f>
        <v>LONCHERIA LOLITA</v>
      </c>
      <c r="C229" s="67">
        <f>+'LUNCHERIA LOLITA'!$B$2</f>
        <v>0</v>
      </c>
      <c r="D229" s="9">
        <f>+'LUNCHERIA LOLITA'!$C$3</f>
        <v>0</v>
      </c>
      <c r="E229" s="11">
        <f>+'LUNCHERIA LOLITA'!$D$3</f>
        <v>0</v>
      </c>
      <c r="F229" s="12">
        <f>+'LUNCHERIA LOLITA'!$E$3</f>
        <v>0</v>
      </c>
      <c r="G229" s="12">
        <f>+'LUNCHERIA LOLITA'!$F$3</f>
        <v>0</v>
      </c>
      <c r="H229" s="10">
        <f>+'LUNCHERIA LOLITA'!$G$3</f>
        <v>0</v>
      </c>
      <c r="I229" t="s">
        <v>122</v>
      </c>
    </row>
    <row r="230" spans="1:10" ht="19.95" customHeight="1" x14ac:dyDescent="0.3">
      <c r="A230" s="14">
        <v>212</v>
      </c>
      <c r="B230" s="58" t="str">
        <f>+'LLUVIA BENDICIONES'!$B$1</f>
        <v>LLUVIA BENDICIONES</v>
      </c>
      <c r="C230" s="67">
        <f>+'LLUVIA BENDICIONES'!$B$2</f>
        <v>0</v>
      </c>
      <c r="D230" s="9">
        <f>+'LLUVIA BENDICIONES'!$C$3</f>
        <v>138.45000000000002</v>
      </c>
      <c r="E230" s="11">
        <f>+'LLUVIA BENDICIONES'!$D$3</f>
        <v>0</v>
      </c>
      <c r="F230" s="12">
        <f>+'LLUVIA BENDICIONES'!$E$3</f>
        <v>0</v>
      </c>
      <c r="G230" s="12">
        <f>+'LLUVIA BENDICIONES'!$F$3</f>
        <v>0</v>
      </c>
      <c r="H230" s="10">
        <f>+'LLUVIA BENDICIONES'!$G$3</f>
        <v>0</v>
      </c>
      <c r="I230" t="s">
        <v>122</v>
      </c>
      <c r="J230" s="80">
        <f>MAX('LLUVIA BENDICIONES'!A2:A1000)</f>
        <v>46052</v>
      </c>
    </row>
    <row r="231" spans="1:10" ht="19.95" customHeight="1" x14ac:dyDescent="0.3">
      <c r="A231" s="14">
        <v>213</v>
      </c>
      <c r="B231" s="58" t="str">
        <f>+LULU!$B$1</f>
        <v>LULU</v>
      </c>
      <c r="C231" s="67" t="str">
        <f>+LULU!$B$2</f>
        <v>LUHERLIN RUGELES</v>
      </c>
      <c r="D231" s="9">
        <f>+LULU!$C$3</f>
        <v>0</v>
      </c>
      <c r="E231" s="11">
        <f>+LULU!$D$3</f>
        <v>0</v>
      </c>
      <c r="F231" s="12">
        <f>+LULU!$E$3</f>
        <v>0</v>
      </c>
      <c r="G231" s="12">
        <f>+LULU!$F$3</f>
        <v>0</v>
      </c>
      <c r="H231" s="10">
        <f>+LULU!$G$3</f>
        <v>0</v>
      </c>
      <c r="I231" t="s">
        <v>122</v>
      </c>
      <c r="J231" s="80">
        <f>MAX(LULU!A2:A1000)</f>
        <v>45893</v>
      </c>
    </row>
    <row r="232" spans="1:10" ht="19.95" customHeight="1" x14ac:dyDescent="0.3">
      <c r="A232" s="14">
        <v>214</v>
      </c>
      <c r="B232" s="59" t="str">
        <f>+'LUMA EXPRESS'!$B$1</f>
        <v>LUMA EXPRESS</v>
      </c>
      <c r="C232" s="67">
        <f>+'LUMA EXPRESS'!$B$2</f>
        <v>0</v>
      </c>
      <c r="D232" s="9">
        <f>+'LUMA EXPRESS'!$C$3</f>
        <v>155.63</v>
      </c>
      <c r="E232" s="11">
        <f>+'LUMA EXPRESS'!$D$3</f>
        <v>0</v>
      </c>
      <c r="F232" s="12">
        <f>+'LUMA EXPRESS'!$E$3</f>
        <v>0</v>
      </c>
      <c r="G232" s="12">
        <f>+'LUMA EXPRESS'!$F$3</f>
        <v>0</v>
      </c>
      <c r="H232" s="10">
        <f>+'LUMA EXPRESS'!$G$3</f>
        <v>0</v>
      </c>
      <c r="I232" t="s">
        <v>121</v>
      </c>
      <c r="J232" s="80">
        <f>MAX('LUMA EXPRESS'!A2:A1000)</f>
        <v>46052</v>
      </c>
    </row>
    <row r="233" spans="1:10" ht="19.95" customHeight="1" x14ac:dyDescent="0.3">
      <c r="A233" s="14">
        <v>215</v>
      </c>
      <c r="B233" s="58" t="str">
        <f>+'MADEROS BODEGON'!$B$1</f>
        <v>MADEROS BODEGON</v>
      </c>
      <c r="C233" s="67">
        <f>+'MADEROS BODEGON'!$B$2</f>
        <v>0</v>
      </c>
      <c r="D233" s="9">
        <f>+'MADEROS BODEGON'!$C$3</f>
        <v>1518.5099999999998</v>
      </c>
      <c r="E233" s="11">
        <f>+'MADEROS BODEGON'!$D$3</f>
        <v>32</v>
      </c>
      <c r="F233" s="12">
        <f>+'MADEROS BODEGON'!$E$3</f>
        <v>0</v>
      </c>
      <c r="G233" s="12">
        <f>+'MADEROS BODEGON'!$F$3</f>
        <v>0</v>
      </c>
      <c r="H233" s="10">
        <f>+'MADEROS BODEGON'!$G$3</f>
        <v>0</v>
      </c>
      <c r="I233" t="s">
        <v>126</v>
      </c>
      <c r="J233" s="80">
        <f>MAX('MADEROS BODEGON'!A2:A1000)</f>
        <v>46050</v>
      </c>
    </row>
    <row r="234" spans="1:10" ht="19.95" customHeight="1" x14ac:dyDescent="0.3">
      <c r="A234" s="14">
        <v>216</v>
      </c>
      <c r="B234" s="58" t="str">
        <f>+'MAGIAS SPA'!$B$1</f>
        <v>MAGIAS SPA</v>
      </c>
      <c r="C234" s="67" t="str">
        <f>+'MAGIAS SPA'!$B$2</f>
        <v>NEIRU MENDEZ</v>
      </c>
      <c r="D234" s="9">
        <f>+'MAGIAS SPA'!$C$3</f>
        <v>185.31</v>
      </c>
      <c r="E234" s="11">
        <f>+'MAGIAS SPA'!$D$3</f>
        <v>4</v>
      </c>
      <c r="F234" s="12">
        <f>+'MAGIAS SPA'!$E$3</f>
        <v>3</v>
      </c>
      <c r="G234" s="12">
        <f>+'MAGIAS SPA'!$F$3</f>
        <v>0</v>
      </c>
      <c r="H234" s="10">
        <f>+'MAGIAS SPA'!$G$3</f>
        <v>0</v>
      </c>
      <c r="I234" t="s">
        <v>122</v>
      </c>
      <c r="J234" s="80">
        <f>MAX('MAGIAS SPA'!A2:A1000)</f>
        <v>46044</v>
      </c>
    </row>
    <row r="235" spans="1:10" ht="19.95" customHeight="1" x14ac:dyDescent="0.3">
      <c r="A235" s="14">
        <v>217</v>
      </c>
      <c r="B235" s="58" t="str">
        <f>+'MANGO''S HOT DOG'!$B$1</f>
        <v>MANGO'S HOT DOG</v>
      </c>
      <c r="C235" s="67">
        <f>+'MANGO''S HOT DOG'!$B$2</f>
        <v>0</v>
      </c>
      <c r="D235" s="9">
        <f>+'MANGO''S HOT DOG'!$C$3</f>
        <v>122.08</v>
      </c>
      <c r="E235" s="11">
        <f>+'MANGO''S HOT DOG'!$D$3</f>
        <v>0</v>
      </c>
      <c r="F235" s="12">
        <f>+'MANGO''S HOT DOG'!$E$3</f>
        <v>0</v>
      </c>
      <c r="G235" s="12">
        <f>+'MANGO''S HOT DOG'!$F$3</f>
        <v>0</v>
      </c>
      <c r="H235" s="10">
        <f>+'MANGO''S HOT DOG'!$G$3</f>
        <v>0</v>
      </c>
      <c r="I235" t="s">
        <v>121</v>
      </c>
      <c r="J235" s="80">
        <f>MAX('MANGO''S HOT DOG'!A2:A1000)</f>
        <v>46052</v>
      </c>
    </row>
    <row r="236" spans="1:10" ht="19.95" customHeight="1" x14ac:dyDescent="0.3">
      <c r="A236" s="14">
        <v>218</v>
      </c>
      <c r="B236" s="58" t="str">
        <f>+'MAIRA CHACON'!$B$1</f>
        <v>MAIRA CHACON</v>
      </c>
      <c r="C236" s="67">
        <f>+'MAIRA CHACON'!$B$2</f>
        <v>0</v>
      </c>
      <c r="D236" s="9">
        <f>+'MAIRA CHACON'!$C$3</f>
        <v>-9.9999999999997868E-3</v>
      </c>
      <c r="E236" s="11">
        <f>+'MAIRA CHACON'!$D$3</f>
        <v>0</v>
      </c>
      <c r="F236" s="12">
        <f>+'MAIRA CHACON'!$E$3</f>
        <v>0</v>
      </c>
      <c r="G236" s="12">
        <f>+'MAIRA CHACON'!$F$3</f>
        <v>0</v>
      </c>
      <c r="H236" s="10">
        <f>+'MAIRA CHACON'!$G$3</f>
        <v>0</v>
      </c>
      <c r="I236" t="s">
        <v>122</v>
      </c>
      <c r="J236" s="80">
        <f>MAX('MAIRA CHACON'!A2:A1000)</f>
        <v>46043</v>
      </c>
    </row>
    <row r="237" spans="1:10" ht="19.95" customHeight="1" x14ac:dyDescent="0.3">
      <c r="A237" s="14">
        <v>219</v>
      </c>
      <c r="B237" s="60" t="str">
        <f>+'MARIA CARRERO'!$B$1</f>
        <v>MARIA CARRERO</v>
      </c>
      <c r="C237" s="67">
        <f>+'MARIA CARRERO'!$B$2</f>
        <v>0</v>
      </c>
      <c r="D237" s="9">
        <f>+'MARIA CARRERO'!$C$3</f>
        <v>8.9899999999999949</v>
      </c>
      <c r="E237" s="11">
        <f>+'MARIA CARRERO'!$D$3</f>
        <v>0</v>
      </c>
      <c r="F237" s="12">
        <f>+'MARIA CARRERO'!$E$3</f>
        <v>0</v>
      </c>
      <c r="G237" s="12">
        <f>+'MARIA CARRERO'!$F$3</f>
        <v>0</v>
      </c>
      <c r="H237" s="10">
        <f>+'MARIA CARRERO'!$G$3</f>
        <v>0</v>
      </c>
      <c r="I237" t="s">
        <v>122</v>
      </c>
      <c r="J237" s="80">
        <f>MAX('MARIA CARRERO'!A2:A1000)</f>
        <v>46051</v>
      </c>
    </row>
    <row r="238" spans="1:10" ht="19.95" customHeight="1" x14ac:dyDescent="0.3">
      <c r="A238" s="14">
        <v>220</v>
      </c>
      <c r="B238" s="60" t="str">
        <f>+'MARIA RICO'!$B$1</f>
        <v>MARIA RICO</v>
      </c>
      <c r="C238" s="67">
        <f>+'MARIA RICO'!$B$2</f>
        <v>0</v>
      </c>
      <c r="D238" s="9">
        <f>+'MARIA RICO'!$C$3</f>
        <v>0</v>
      </c>
      <c r="E238" s="11">
        <f>+'MARIA RICO'!$D$3</f>
        <v>0</v>
      </c>
      <c r="F238" s="12">
        <f>+'MARIA RICO'!$E$3</f>
        <v>0</v>
      </c>
      <c r="G238" s="12">
        <f>+'MARIA RICO'!$F$3</f>
        <v>0</v>
      </c>
      <c r="H238" s="10">
        <f>+'MARIA RICO'!$G$3</f>
        <v>0</v>
      </c>
      <c r="I238" t="s">
        <v>126</v>
      </c>
      <c r="J238" s="80">
        <f>MAX('BODEGA Y PAPELERIA REY'!A2:A1000)</f>
        <v>46052</v>
      </c>
    </row>
    <row r="239" spans="1:10" ht="19.95" customHeight="1" x14ac:dyDescent="0.3">
      <c r="A239" s="14">
        <v>221</v>
      </c>
      <c r="B239" s="60" t="str">
        <f>+'MARIA JAIMES'!$B$1</f>
        <v>MARIA JAIMES</v>
      </c>
      <c r="C239" s="67">
        <f>+'MARIA JAIMES'!$B$2</f>
        <v>0</v>
      </c>
      <c r="D239" s="9">
        <f>+'MARIA JAIMES'!$C$3</f>
        <v>112.93000000000006</v>
      </c>
      <c r="E239" s="11">
        <f>+'MARIA JAIMES'!$D$3</f>
        <v>0</v>
      </c>
      <c r="F239" s="12">
        <f>+'MARIA JAIMES'!$E$3</f>
        <v>0</v>
      </c>
      <c r="G239" s="12">
        <f>+'MARIA JAIMES'!$F$3</f>
        <v>0</v>
      </c>
      <c r="H239" s="10">
        <f>+'MARIA JAIMES'!$G$3</f>
        <v>0</v>
      </c>
      <c r="I239" t="s">
        <v>122</v>
      </c>
      <c r="J239" s="80">
        <f>MAX('MARIA JAIMES'!A2:A1000)</f>
        <v>46047</v>
      </c>
    </row>
    <row r="240" spans="1:10" ht="19.95" customHeight="1" x14ac:dyDescent="0.3">
      <c r="A240" s="14"/>
      <c r="B240" s="122" t="str">
        <f>+'MARICARMEN TERRAZA'!$B$1</f>
        <v>MARICARMEN TERRAZA</v>
      </c>
      <c r="C240" s="67">
        <f>+'MARICARMEN TERRAZA'!$B$2</f>
        <v>0</v>
      </c>
      <c r="D240" s="9">
        <f>+'MARICARMEN TERRAZA'!$C$3</f>
        <v>113.69999999999999</v>
      </c>
      <c r="E240" s="11">
        <f>+'MARICARMEN TERRAZA'!$D$3</f>
        <v>0</v>
      </c>
      <c r="F240" s="12">
        <f>+'MARICARMEN TERRAZA'!$E$3</f>
        <v>0</v>
      </c>
      <c r="G240" s="12">
        <f>+'MARICARMEN TERRAZA'!$F$3</f>
        <v>0</v>
      </c>
      <c r="H240" s="10">
        <f>+'MARICARMEN TERRAZA'!$G$3</f>
        <v>0</v>
      </c>
      <c r="I240" t="s">
        <v>126</v>
      </c>
    </row>
    <row r="241" spans="1:11" ht="19.95" customHeight="1" x14ac:dyDescent="0.3">
      <c r="A241" s="14">
        <v>222</v>
      </c>
      <c r="B241" s="58" t="str">
        <f>+'MARIEXTER CACHAPAS'!$B$1</f>
        <v>MARIEXTER CACHAPAS</v>
      </c>
      <c r="C241" s="67">
        <f>+'MARIEXTER CACHAPAS'!$B$2</f>
        <v>0</v>
      </c>
      <c r="D241" s="9">
        <f>+'MARIEXTER CACHAPAS'!$C$3</f>
        <v>0.68000000000004945</v>
      </c>
      <c r="E241" s="11">
        <f>+'MARIEXTER CACHAPAS'!$D$3</f>
        <v>0</v>
      </c>
      <c r="F241" s="12">
        <f>+'MARIEXTER CACHAPAS'!$E$3</f>
        <v>0</v>
      </c>
      <c r="G241" s="12">
        <f>+'MARIEXTER CACHAPAS'!$F$3</f>
        <v>0</v>
      </c>
      <c r="H241" s="10">
        <f>+'MARIEXTER CACHAPAS'!$G$3</f>
        <v>0</v>
      </c>
      <c r="I241" t="s">
        <v>121</v>
      </c>
      <c r="J241" s="80">
        <f>MAX('MARIEXTER CACHAPAS'!A2:A1000)</f>
        <v>46045</v>
      </c>
    </row>
    <row r="242" spans="1:11" ht="19.95" customHeight="1" x14ac:dyDescent="0.3">
      <c r="A242" s="14">
        <v>223</v>
      </c>
      <c r="B242" s="58" t="str">
        <f>+'MARLENE CARRERO'!$B$1</f>
        <v>MARLENE CARRERO</v>
      </c>
      <c r="C242" s="67">
        <f>+'MARLENE CARRERO'!$B$2</f>
        <v>0</v>
      </c>
      <c r="D242" s="9">
        <f>+'MARLENE CARRERO'!$C$3</f>
        <v>173.42999999999998</v>
      </c>
      <c r="E242" s="11">
        <f>+'MARLENE CARRERO'!$D$3</f>
        <v>0</v>
      </c>
      <c r="F242" s="12">
        <f>+'MARLENE CARRERO'!$E$3</f>
        <v>0</v>
      </c>
      <c r="G242" s="12">
        <f>+'MARLENE CARRERO'!$F$3</f>
        <v>0</v>
      </c>
      <c r="H242" s="10">
        <f>+'MARLENE CARRERO'!$G$3</f>
        <v>0</v>
      </c>
      <c r="I242" t="s">
        <v>121</v>
      </c>
    </row>
    <row r="243" spans="1:11" ht="19.95" customHeight="1" x14ac:dyDescent="0.3">
      <c r="A243" s="14">
        <v>224</v>
      </c>
      <c r="B243" s="58" t="str">
        <f>+'MERLI CAFE'!$B$1</f>
        <v>MERLI CAFE</v>
      </c>
      <c r="C243" s="67">
        <f>+'MERLI CAFE'!$B$2</f>
        <v>0</v>
      </c>
      <c r="D243" s="9">
        <f>+'MERLI CAFE'!$C$3</f>
        <v>7.230000000000004</v>
      </c>
      <c r="E243" s="11">
        <f>+'MERLI CAFE'!$D$3</f>
        <v>0</v>
      </c>
      <c r="F243" s="12">
        <f>+'MERLI CAFE'!$E$3</f>
        <v>0</v>
      </c>
      <c r="G243" s="12">
        <f>+'MERLI CAFE'!$F$3</f>
        <v>0</v>
      </c>
      <c r="H243" s="10">
        <f>+'MERLI CAFE'!$G$3</f>
        <v>0</v>
      </c>
      <c r="I243" t="s">
        <v>126</v>
      </c>
      <c r="J243" s="80">
        <f>MAX('MERLI CAFE'!A2:A1000)</f>
        <v>45961</v>
      </c>
    </row>
    <row r="244" spans="1:11" ht="19.95" customHeight="1" x14ac:dyDescent="0.3">
      <c r="A244" s="14">
        <v>225</v>
      </c>
      <c r="B244" s="58" t="str">
        <f>+'MARTA MOLINA'!$B$1</f>
        <v>MARTA MOLINA</v>
      </c>
      <c r="C244" s="67">
        <f>+'MARTA MOLINA'!$B$2</f>
        <v>0</v>
      </c>
      <c r="D244" s="9">
        <f>+'MARTA MOLINA'!$C$3</f>
        <v>0</v>
      </c>
      <c r="E244" s="11">
        <f>+'MARTA MOLINA'!$D$3</f>
        <v>0</v>
      </c>
      <c r="F244" s="12">
        <f>+'MARTA MOLINA'!$E$3</f>
        <v>0</v>
      </c>
      <c r="G244" s="12">
        <f>+'MARTA MOLINA'!$F$3</f>
        <v>0</v>
      </c>
      <c r="H244" s="10">
        <f>+'MARTA MOLINA'!$G$3</f>
        <v>0</v>
      </c>
      <c r="I244" t="s">
        <v>121</v>
      </c>
      <c r="J244" s="80">
        <f>MAX('MARTA MOLINA'!A2:A1000)</f>
        <v>46056</v>
      </c>
      <c r="K244" s="18" t="s">
        <v>500</v>
      </c>
    </row>
    <row r="245" spans="1:11" ht="19.95" customHeight="1" x14ac:dyDescent="0.3">
      <c r="A245" s="14">
        <v>226</v>
      </c>
      <c r="B245" s="58" t="str">
        <f>+'MEGA MARKET'!$B$1</f>
        <v>MEGA MARKET</v>
      </c>
      <c r="C245" s="67" t="str">
        <f>+'MEGA MARKET'!$B$2</f>
        <v>REINA MONCADA</v>
      </c>
      <c r="D245" s="9">
        <f>+'MEGA MARKET'!$C$3</f>
        <v>0</v>
      </c>
      <c r="E245" s="11">
        <f>+'MEGA MARKET'!$D$3</f>
        <v>0</v>
      </c>
      <c r="F245" s="12">
        <f>+'MEGA MARKET'!$E$3</f>
        <v>0</v>
      </c>
      <c r="G245" s="12">
        <f>+'MEGA MARKET'!$F$3</f>
        <v>0</v>
      </c>
      <c r="H245" s="10">
        <f>+'MEGA MARKET'!$G$3</f>
        <v>0</v>
      </c>
      <c r="I245" t="s">
        <v>122</v>
      </c>
      <c r="J245" s="80">
        <f>MAX('MEGA MARKET'!A2:A1000)</f>
        <v>46020</v>
      </c>
    </row>
    <row r="246" spans="1:11" ht="19.95" customHeight="1" x14ac:dyDescent="0.3">
      <c r="A246" s="14">
        <v>227</v>
      </c>
      <c r="B246" s="60" t="str">
        <f>+'MERCA MAX'!$B$1</f>
        <v xml:space="preserve">MERCA MAX </v>
      </c>
      <c r="C246" s="67">
        <f>+'MERCA MAX'!$B$2</f>
        <v>0</v>
      </c>
      <c r="D246" s="9">
        <f>+'MERCA MAX'!$C$3</f>
        <v>0.5999999999999801</v>
      </c>
      <c r="E246" s="11">
        <f>+'MERCA MAX'!$D$3</f>
        <v>0</v>
      </c>
      <c r="F246" s="12">
        <f>+'MERCA MAX'!$E$3</f>
        <v>0</v>
      </c>
      <c r="G246" s="12">
        <f>+'MERCA MAX'!$F$3</f>
        <v>0</v>
      </c>
      <c r="H246" s="10">
        <f>+'MERCA MAX'!$G$3</f>
        <v>0</v>
      </c>
      <c r="I246" t="s">
        <v>122</v>
      </c>
      <c r="J246" s="80">
        <f>MAX('MERCA MAX'!A2:A1000)</f>
        <v>45996</v>
      </c>
    </row>
    <row r="247" spans="1:11" ht="19.95" customHeight="1" x14ac:dyDescent="0.3">
      <c r="A247" s="14">
        <v>228</v>
      </c>
      <c r="B247" s="60" t="str">
        <f>+'MI ABASTO YELITZA'!$B$1</f>
        <v>MI ABASTO YELITZA</v>
      </c>
      <c r="C247" s="67" t="str">
        <f>+'MI ABASTO YELITZA'!$B$2</f>
        <v>LUCIO</v>
      </c>
      <c r="D247" s="9">
        <f>+'MI ABASTO YELITZA'!$C$3</f>
        <v>0</v>
      </c>
      <c r="E247" s="11">
        <f>+'MI ABASTO YELITZA'!$D$3</f>
        <v>0</v>
      </c>
      <c r="F247" s="12">
        <f>+'MI ABASTO YELITZA'!$E$3</f>
        <v>0</v>
      </c>
      <c r="G247" s="12">
        <f>+'MI ABASTO YELITZA'!$F$3</f>
        <v>0</v>
      </c>
      <c r="H247" s="10">
        <f>+'MI ABASTO YELITZA'!$G$3</f>
        <v>0</v>
      </c>
      <c r="I247" t="s">
        <v>122</v>
      </c>
      <c r="J247" s="80">
        <f>MAX('MI ABASTO YELITZA'!A2:A1000)</f>
        <v>46042</v>
      </c>
    </row>
    <row r="248" spans="1:11" ht="19.95" customHeight="1" x14ac:dyDescent="0.3">
      <c r="A248" s="14">
        <v>229</v>
      </c>
      <c r="B248" s="58" t="str">
        <f>+'MI RANCHITO'!$B$1</f>
        <v>MI RANCHITO</v>
      </c>
      <c r="C248" s="67" t="str">
        <f>+'MI RANCHITO'!$B$2</f>
        <v>CARMEN ANDREDE</v>
      </c>
      <c r="D248" s="9">
        <f>+'MI RANCHITO'!$C$3</f>
        <v>-8.0000000000001847E-2</v>
      </c>
      <c r="E248" s="11">
        <f>+'MI RANCHITO'!$D$3</f>
        <v>0</v>
      </c>
      <c r="F248" s="12">
        <f>+'MI RANCHITO'!$E$3</f>
        <v>0</v>
      </c>
      <c r="G248" s="12">
        <f>+'MI RANCHITO'!$F$3</f>
        <v>0</v>
      </c>
      <c r="H248" s="10">
        <f>+'MI RANCHITO'!$G$3</f>
        <v>0</v>
      </c>
      <c r="I248" t="s">
        <v>122</v>
      </c>
      <c r="J248" s="80">
        <f>MAX('MI RANCHITO'!A2:A1000)</f>
        <v>45993</v>
      </c>
    </row>
    <row r="249" spans="1:11" ht="19.95" customHeight="1" x14ac:dyDescent="0.3">
      <c r="A249" s="14">
        <v>230</v>
      </c>
      <c r="B249" s="60" t="str">
        <f>+'MINIMARKET BUENA VENTURA'!$B$1</f>
        <v>MINIMARKET BUENA VENTURA</v>
      </c>
      <c r="C249" s="67" t="str">
        <f>+'MINIMARKET BUENA VENTURA'!$B$2</f>
        <v>AMPARO DIAZ</v>
      </c>
      <c r="D249" s="9">
        <f>+'MINIMARKET BUENA VENTURA'!$C$3</f>
        <v>-0.20000000000000284</v>
      </c>
      <c r="E249" s="11">
        <f>+'MINIMARKET BUENA VENTURA'!$D$3</f>
        <v>0</v>
      </c>
      <c r="F249" s="12">
        <f>+'MINIMARKET BUENA VENTURA'!$E$3</f>
        <v>0</v>
      </c>
      <c r="G249" s="12">
        <f>+'MINIMARKET BUENA VENTURA'!$F$3</f>
        <v>0</v>
      </c>
      <c r="H249" s="10">
        <f>+'MINIMARKET BUENA VENTURA'!$G$3</f>
        <v>0</v>
      </c>
      <c r="I249" t="s">
        <v>122</v>
      </c>
      <c r="J249" s="80">
        <f>MAX('MINIMARKET BUENA VENTURA'!A2:A1000)</f>
        <v>46056</v>
      </c>
    </row>
    <row r="250" spans="1:11" ht="19.95" customHeight="1" x14ac:dyDescent="0.3">
      <c r="A250" s="14">
        <v>231</v>
      </c>
      <c r="B250" s="60" t="str">
        <f>+'MINIMARKET DETODITO'!$B$1</f>
        <v>MINIMARKET DETODITO</v>
      </c>
      <c r="C250" s="67" t="str">
        <f>+'MINIMARKET DETODITO'!$B$2</f>
        <v>YASURY</v>
      </c>
      <c r="D250" s="9">
        <f>+'MINIMARKET DETODITO'!$C$3</f>
        <v>180.48999999999998</v>
      </c>
      <c r="E250" s="11">
        <f>+'MINIMARKET DETODITO'!$D$3</f>
        <v>0</v>
      </c>
      <c r="F250" s="12">
        <f>+'MINIMARKET DETODITO'!$E$3</f>
        <v>1</v>
      </c>
      <c r="G250" s="12">
        <f>+'MINIMARKET DETODITO'!$F$3</f>
        <v>0</v>
      </c>
      <c r="H250" s="10">
        <f>+'MINIMARKET DETODITO'!$G$3</f>
        <v>0</v>
      </c>
      <c r="I250" t="s">
        <v>122</v>
      </c>
      <c r="J250" s="80">
        <f>MAX('MINIMARKET DETODITO'!A2:A1000)</f>
        <v>46051</v>
      </c>
    </row>
    <row r="251" spans="1:11" ht="19.95" customHeight="1" x14ac:dyDescent="0.3">
      <c r="A251" s="14">
        <v>232</v>
      </c>
      <c r="B251" s="60" t="str">
        <f>+'MINIMARKET TONY LAS CUADRAS'!$B$1</f>
        <v>MINIMARKET TONY LAS CUADRAS</v>
      </c>
      <c r="C251" s="67" t="str">
        <f>+'MINIMARKET TONY LAS CUADRAS'!$B$2</f>
        <v>ANTONY RAMIREZ</v>
      </c>
      <c r="D251" s="9">
        <f>+'MINIMARKET TONY LAS CUADRAS'!$C$3</f>
        <v>108.68000000000006</v>
      </c>
      <c r="E251" s="11">
        <f>+'MINIMARKET TONY LAS CUADRAS'!$D$3</f>
        <v>0</v>
      </c>
      <c r="F251" s="12">
        <f>+'MINIMARKET TONY LAS CUADRAS'!$E$3</f>
        <v>0</v>
      </c>
      <c r="G251" s="12">
        <f>+'MINIMARKET TONY LAS CUADRAS'!$F$3</f>
        <v>0</v>
      </c>
      <c r="H251" s="10">
        <f>+'MINIMARKET TONY LAS CUADRAS'!$G$3</f>
        <v>0</v>
      </c>
      <c r="I251" t="s">
        <v>122</v>
      </c>
      <c r="J251" s="80">
        <f>MAX('MINIMARKET TONY LAS CUADRAS'!A2:A1000)</f>
        <v>46051</v>
      </c>
    </row>
    <row r="252" spans="1:11" ht="19.95" customHeight="1" x14ac:dyDescent="0.3">
      <c r="A252" s="14">
        <v>233</v>
      </c>
      <c r="B252" s="58" t="str">
        <f>+'MINI ABASTO EL SOL'!$B$1</f>
        <v>MINI ABASTO EL SOL</v>
      </c>
      <c r="C252" s="67" t="str">
        <f>+'MINI ABASTO EL SOL'!$B$2</f>
        <v>PABLO BARAJAS</v>
      </c>
      <c r="D252" s="9">
        <f>+'MINI ABASTO EL SOL'!$C$3</f>
        <v>27.570000000000078</v>
      </c>
      <c r="E252" s="11">
        <f>+'MINI ABASTO EL SOL'!$D$3</f>
        <v>0</v>
      </c>
      <c r="F252" s="12">
        <f>+'MINI ABASTO EL SOL'!$E$3</f>
        <v>0</v>
      </c>
      <c r="G252" s="12">
        <f>+'MINI ABASTO EL SOL'!$F$3</f>
        <v>0</v>
      </c>
      <c r="H252" s="10">
        <f>+'MINI ABASTO EL SOL'!$G$3</f>
        <v>0</v>
      </c>
      <c r="I252" t="s">
        <v>122</v>
      </c>
      <c r="J252" s="80">
        <f>MAX('MINI ABASTO EL SOL'!A2:A1000)</f>
        <v>46051</v>
      </c>
    </row>
    <row r="253" spans="1:11" ht="19.95" customHeight="1" x14ac:dyDescent="0.3">
      <c r="A253" s="14">
        <v>234</v>
      </c>
      <c r="B253" s="58" t="str">
        <f>+'MIREYA MERCHAN'!$B$1</f>
        <v>MIREYA MERCHAN</v>
      </c>
      <c r="C253" s="67">
        <f>+'MIREYA MERCHAN'!$B$2</f>
        <v>0</v>
      </c>
      <c r="D253" s="9">
        <f>+'MIREYA MERCHAN'!$C$3</f>
        <v>16.590000000000003</v>
      </c>
      <c r="E253" s="11">
        <f>+'MIREYA MERCHAN'!$D$3</f>
        <v>0</v>
      </c>
      <c r="F253" s="12">
        <f>+'MIREYA MERCHAN'!$E$3</f>
        <v>0</v>
      </c>
      <c r="G253" s="12">
        <f>+'MIREYA MERCHAN'!$F$3</f>
        <v>0</v>
      </c>
      <c r="H253" s="10">
        <f>+'MIREYA MERCHAN'!$G$3</f>
        <v>0</v>
      </c>
      <c r="I253" t="s">
        <v>122</v>
      </c>
      <c r="J253" s="80">
        <f>MAX('MIREYA MERCHAN'!A2:A1000)</f>
        <v>46047</v>
      </c>
    </row>
    <row r="254" spans="1:11" ht="19.95" customHeight="1" x14ac:dyDescent="0.3">
      <c r="A254" s="14">
        <v>235</v>
      </c>
      <c r="B254" s="58" t="str">
        <f>+'MORCILLAS WENDY'!$B$1</f>
        <v>MORCILLAS WENDY</v>
      </c>
      <c r="C254" s="67" t="str">
        <f>+'MORCILLAS WENDY'!$B$2</f>
        <v>WENDY VIVAS</v>
      </c>
      <c r="D254" s="9">
        <f>+'MORCILLAS WENDY'!$C$3</f>
        <v>0</v>
      </c>
      <c r="E254" s="11">
        <f>+'MORCILLAS WENDY'!$D$3</f>
        <v>0</v>
      </c>
      <c r="F254" s="12">
        <f>+'MORCILLAS WENDY'!$E$3</f>
        <v>0</v>
      </c>
      <c r="G254" s="12">
        <f>+'MORCILLAS WENDY'!$F$3</f>
        <v>0</v>
      </c>
      <c r="H254" s="10">
        <f>+'MORCILLAS WENDY'!$G$3</f>
        <v>0</v>
      </c>
      <c r="I254" t="s">
        <v>122</v>
      </c>
      <c r="J254" s="80">
        <f>MAX('MORCILLAS WENDY'!A2:A1000)</f>
        <v>46056</v>
      </c>
    </row>
    <row r="255" spans="1:11" ht="19.95" customHeight="1" x14ac:dyDescent="0.3">
      <c r="A255" s="14">
        <v>236</v>
      </c>
      <c r="B255" s="58" t="str">
        <f>+'NELSON RAMIREZ'!$B$1</f>
        <v>NELSON RAMIREZ</v>
      </c>
      <c r="C255" s="67">
        <f>+'NELSON RAMIREZ'!$B$2</f>
        <v>0</v>
      </c>
      <c r="D255" s="9">
        <f>+'NELSON RAMIREZ'!$C$3</f>
        <v>68.920000000000016</v>
      </c>
      <c r="E255" s="11">
        <f>+'NELSON RAMIREZ'!$D$3</f>
        <v>0</v>
      </c>
      <c r="F255" s="12">
        <f>+'NELSON RAMIREZ'!$E$3</f>
        <v>0</v>
      </c>
      <c r="G255" s="12">
        <f>+'NELSON RAMIREZ'!$F$3</f>
        <v>0</v>
      </c>
      <c r="H255" s="10">
        <f>+'NELSON RAMIREZ'!$G$3</f>
        <v>0</v>
      </c>
      <c r="I255" t="s">
        <v>122</v>
      </c>
      <c r="J255" s="80">
        <f>MAX('NELSON RAMIREZ'!A2:A1000)</f>
        <v>46052</v>
      </c>
    </row>
    <row r="256" spans="1:11" ht="19.95" customHeight="1" x14ac:dyDescent="0.3">
      <c r="A256" s="14">
        <v>237</v>
      </c>
      <c r="B256" s="58" t="str">
        <f>+'NEW YORK FITBOXING'!$B$1</f>
        <v>NEW YORK FITBOXING</v>
      </c>
      <c r="C256" s="67">
        <f>+'NEW YORK FITBOXING'!$B$2</f>
        <v>0</v>
      </c>
      <c r="D256" s="9">
        <f>+'NEW YORK FITBOXING'!$C$3</f>
        <v>-0.51000000000002643</v>
      </c>
      <c r="E256" s="11">
        <f>+'NEW YORK FITBOXING'!$D$3</f>
        <v>0</v>
      </c>
      <c r="F256" s="12">
        <f>+'NEW YORK FITBOXING'!$E$3</f>
        <v>0</v>
      </c>
      <c r="G256" s="12">
        <f>+'NEW YORK FITBOXING'!$F$3</f>
        <v>0</v>
      </c>
      <c r="H256" s="10">
        <f>+'NEW YORK FITBOXING'!$G$3</f>
        <v>0</v>
      </c>
      <c r="I256" t="s">
        <v>122</v>
      </c>
      <c r="J256" s="80">
        <f>MAX('NEW YORK FITBOXING'!A2:A1000)</f>
        <v>46050</v>
      </c>
    </row>
    <row r="257" spans="1:10" ht="19.95" customHeight="1" x14ac:dyDescent="0.3">
      <c r="A257" s="14">
        <v>238</v>
      </c>
      <c r="B257" s="60" t="str">
        <f>+'NOREIMA LA MORDIDA'!$B$1</f>
        <v>NOREIMA LA MORDIDA</v>
      </c>
      <c r="C257" s="67">
        <f>+'NOREIMA LA MORDIDA'!$B$2</f>
        <v>0</v>
      </c>
      <c r="D257" s="9">
        <f>+'NOREIMA LA MORDIDA'!$C$3</f>
        <v>0</v>
      </c>
      <c r="E257" s="11">
        <f>+'NOREIMA LA MORDIDA'!$D$3</f>
        <v>0</v>
      </c>
      <c r="F257" s="12">
        <f>+'NOREIMA LA MORDIDA'!$E$3</f>
        <v>0</v>
      </c>
      <c r="G257" s="12">
        <f>+'NOREIMA LA MORDIDA'!$F$3</f>
        <v>0</v>
      </c>
      <c r="H257" s="10">
        <f>+'NOREIMA LA MORDIDA'!$G$3</f>
        <v>0</v>
      </c>
      <c r="I257" t="s">
        <v>121</v>
      </c>
      <c r="J257" s="80">
        <f>MAX('NOREIMA LA MORDIDA'!A2:A1000)</f>
        <v>45848</v>
      </c>
    </row>
    <row r="258" spans="1:10" ht="19.95" customHeight="1" x14ac:dyDescent="0.3">
      <c r="A258" s="14">
        <v>239</v>
      </c>
      <c r="B258" s="58" t="str">
        <f>+'OSITO EXPRESS'!$B$1</f>
        <v>OSITO EXPRESS</v>
      </c>
      <c r="C258" s="67" t="str">
        <f>+'OSITO EXPRESS'!$B$2</f>
        <v>ANDRI</v>
      </c>
      <c r="D258" s="9">
        <f>+'OSITO EXPRESS'!$C$3</f>
        <v>0</v>
      </c>
      <c r="E258" s="11">
        <f>+'OSITO EXPRESS'!$D$3</f>
        <v>0</v>
      </c>
      <c r="F258" s="12">
        <f>+'OSITO EXPRESS'!$E$3</f>
        <v>0</v>
      </c>
      <c r="G258" s="12">
        <f>+'OSITO EXPRESS'!$F$3</f>
        <v>0</v>
      </c>
      <c r="H258" s="10">
        <f>+'OSITO EXPRESS'!$G$3</f>
        <v>0</v>
      </c>
      <c r="I258" t="s">
        <v>122</v>
      </c>
      <c r="J258" s="80">
        <f>MAX('OSITO EXPRESS'!A2:A1000)</f>
        <v>46055</v>
      </c>
    </row>
    <row r="259" spans="1:10" ht="19.95" customHeight="1" x14ac:dyDescent="0.3">
      <c r="A259" s="14">
        <v>240</v>
      </c>
      <c r="B259" s="58" t="str">
        <f>+'ORIANA CARRILLO'!$B$1</f>
        <v>ORIANA CARRILLO</v>
      </c>
      <c r="C259" s="67">
        <f>+'ORIANA CARRILLO'!$B$2</f>
        <v>0</v>
      </c>
      <c r="D259" s="9">
        <f>+'ORIANA CARRILLO'!$C$3</f>
        <v>-6.0000000000002274E-2</v>
      </c>
      <c r="E259" s="11">
        <f>+'ORIANA CARRILLO'!$D$3</f>
        <v>0</v>
      </c>
      <c r="F259" s="12">
        <f>+'ORIANA CARRILLO'!$E$3</f>
        <v>0</v>
      </c>
      <c r="G259" s="12">
        <f>+'ORIANA CARRILLO'!$F$3</f>
        <v>0</v>
      </c>
      <c r="H259" s="10">
        <f>+'ORIANA CARRILLO'!$G$3</f>
        <v>0</v>
      </c>
      <c r="I259" t="s">
        <v>122</v>
      </c>
      <c r="J259" s="80">
        <f>MAX('ORIANA CARRILLO'!A2:A1000)</f>
        <v>45883</v>
      </c>
    </row>
    <row r="260" spans="1:10" ht="19.95" customHeight="1" x14ac:dyDescent="0.3">
      <c r="A260" s="14">
        <v>241</v>
      </c>
      <c r="B260" s="58" t="str">
        <f>+'PADEL X4 BTB'!$B$1</f>
        <v>PADEL X4 BTB</v>
      </c>
      <c r="C260" s="67">
        <f>+'PADEL X4 BTB'!$B$2</f>
        <v>0</v>
      </c>
      <c r="D260" s="9">
        <f>+'PADEL X4 BTB'!$C$3</f>
        <v>0.37000000000000455</v>
      </c>
      <c r="E260" s="11">
        <f>+'PADEL X4 BTB'!$D$3</f>
        <v>0</v>
      </c>
      <c r="F260" s="12">
        <f>+'PADEL X4 BTB'!$E$3</f>
        <v>0</v>
      </c>
      <c r="G260" s="12">
        <f>+'PADEL X4 BTB'!$F$3</f>
        <v>0</v>
      </c>
      <c r="H260" s="10">
        <f>+'PADEL X4 BTB'!$G$3</f>
        <v>0</v>
      </c>
      <c r="I260" t="s">
        <v>121</v>
      </c>
      <c r="J260" s="80">
        <f>MAX('PADEL X4 BTB'!A2:A1000)</f>
        <v>45973</v>
      </c>
    </row>
    <row r="261" spans="1:10" ht="19.95" customHeight="1" x14ac:dyDescent="0.3">
      <c r="A261" s="14">
        <v>242</v>
      </c>
      <c r="B261" s="58" t="str">
        <f>+'PADEL BUNKER'!$B$1</f>
        <v>PADEL BUNKER</v>
      </c>
      <c r="C261" s="67">
        <f>+'PADEL BUNKER'!$B$2</f>
        <v>0</v>
      </c>
      <c r="D261" s="9">
        <f>+'PADEL BUNKER'!$C$3</f>
        <v>136.15000000000003</v>
      </c>
      <c r="E261" s="11">
        <f>+'PADEL BUNKER'!$D$3</f>
        <v>0</v>
      </c>
      <c r="F261" s="12">
        <f>+'PADEL BUNKER'!$E$3</f>
        <v>0</v>
      </c>
      <c r="G261" s="12">
        <f>+'PADEL BUNKER'!$F$3</f>
        <v>0</v>
      </c>
      <c r="H261" s="10">
        <f>+'PADEL BUNKER'!$G$3</f>
        <v>0</v>
      </c>
      <c r="I261" t="s">
        <v>121</v>
      </c>
      <c r="J261" s="80">
        <f>MAX('PADEL BUNKER'!A2:A1000)</f>
        <v>46037</v>
      </c>
    </row>
    <row r="262" spans="1:10" ht="19.95" customHeight="1" x14ac:dyDescent="0.3">
      <c r="A262" s="14">
        <v>243</v>
      </c>
      <c r="B262" s="58" t="str">
        <f>+'PANADERIA 3 ESQUINAS'!$B$1</f>
        <v>PANADERIA 3 ESQUINAS</v>
      </c>
      <c r="C262" s="67">
        <f>+'PANADERIA 3 ESQUINAS'!$B$2</f>
        <v>0</v>
      </c>
      <c r="D262" s="9">
        <f>+'PANADERIA 3 ESQUINAS'!$C$3</f>
        <v>-5.8200000000000358</v>
      </c>
      <c r="E262" s="11">
        <f>+'PANADERIA 3 ESQUINAS'!$D$3</f>
        <v>1</v>
      </c>
      <c r="F262" s="12">
        <f>+'PANADERIA 3 ESQUINAS'!$E$3</f>
        <v>0</v>
      </c>
      <c r="G262" s="12">
        <f>+'PANADERIA 3 ESQUINAS'!$F$3</f>
        <v>0</v>
      </c>
      <c r="H262" s="10">
        <f>+'PANADERIA 3 ESQUINAS'!$G$3</f>
        <v>15.340000000000002</v>
      </c>
      <c r="I262" t="s">
        <v>121</v>
      </c>
      <c r="J262" s="80">
        <f>MAX('PANADERIA 3 ESQUINAS'!A2:A1000)</f>
        <v>46056</v>
      </c>
    </row>
    <row r="263" spans="1:10" ht="19.95" customHeight="1" x14ac:dyDescent="0.3">
      <c r="A263" s="14">
        <v>244</v>
      </c>
      <c r="B263" s="58" t="str">
        <f>+'PANADERIA CASCARITA'!$B$1</f>
        <v>PANADERIA CASCARITA</v>
      </c>
      <c r="C263" s="67">
        <f>+'PANADERIA CASCARITA'!$B$2</f>
        <v>0</v>
      </c>
      <c r="D263" s="9">
        <f>+'PANADERIA CASCARITA'!$C$3</f>
        <v>98.249999999999972</v>
      </c>
      <c r="E263" s="11">
        <f>+'PANADERIA CASCARITA'!$D$3</f>
        <v>0</v>
      </c>
      <c r="F263" s="12">
        <f>+'PANADERIA CASCARITA'!$E$3</f>
        <v>0</v>
      </c>
      <c r="G263" s="12">
        <f>+'PANADERIA CASCARITA'!$F$3</f>
        <v>0</v>
      </c>
      <c r="H263" s="10">
        <f>+'PANADERIA CASCARITA'!$G$3</f>
        <v>0</v>
      </c>
      <c r="I263" t="s">
        <v>121</v>
      </c>
      <c r="J263" s="80">
        <f>MAX('PANADERIA CASCARITA'!A2:A1000)</f>
        <v>46051</v>
      </c>
    </row>
    <row r="264" spans="1:10" ht="19.95" customHeight="1" x14ac:dyDescent="0.3">
      <c r="A264" s="14">
        <v>245</v>
      </c>
      <c r="B264" s="58" t="str">
        <f>+'PANADERIA EL CONDOR'!$B$1</f>
        <v>PANADERIA EL CONDOR</v>
      </c>
      <c r="C264" s="67">
        <f>+'PANADERIA EL CONDOR'!$B$2</f>
        <v>0</v>
      </c>
      <c r="D264" s="9">
        <f>+'PANADERIA EL CONDOR'!$C$3</f>
        <v>0.6200000000000081</v>
      </c>
      <c r="E264" s="11">
        <f>+'PANADERIA EL CONDOR'!$D$3</f>
        <v>0</v>
      </c>
      <c r="F264" s="12">
        <f>+'PANADERIA EL CONDOR'!$E$3</f>
        <v>0</v>
      </c>
      <c r="G264" s="12">
        <f>+'PANADERIA EL CONDOR'!$F$3</f>
        <v>0</v>
      </c>
      <c r="H264" s="10">
        <f>+'PANADERIA EL CONDOR'!$G$3</f>
        <v>0</v>
      </c>
      <c r="I264" t="s">
        <v>121</v>
      </c>
      <c r="J264" s="80">
        <f>MAX('PANADERIA EL CONDOR'!A2:A1000)</f>
        <v>46056</v>
      </c>
    </row>
    <row r="265" spans="1:10" ht="19.95" customHeight="1" x14ac:dyDescent="0.3">
      <c r="A265" s="14">
        <v>246</v>
      </c>
      <c r="B265" s="58" t="str">
        <f>+'PANADERIA EL MANJAR'!$B$1</f>
        <v>PANADERIA EL MANJAR</v>
      </c>
      <c r="C265" s="67" t="str">
        <f>+'PANADERIA EL MANJAR'!$B$2</f>
        <v>FATIMA ZAMBRANO</v>
      </c>
      <c r="D265" s="9">
        <f>+'PANADERIA EL MANJAR'!$C$3</f>
        <v>26.289999999999996</v>
      </c>
      <c r="E265" s="11">
        <f>+'PANADERIA EL MANJAR'!$D$3</f>
        <v>0</v>
      </c>
      <c r="F265" s="12">
        <f>+'PANADERIA EL MANJAR'!$E$3</f>
        <v>0</v>
      </c>
      <c r="G265" s="12">
        <f>+'PANADERIA EL MANJAR'!$F$3</f>
        <v>0</v>
      </c>
      <c r="H265" s="10">
        <f>+'PANADERIA EL MANJAR'!$G$3</f>
        <v>0</v>
      </c>
      <c r="I265" t="s">
        <v>122</v>
      </c>
      <c r="J265" s="80">
        <f>MAX('PANADERIA EL MANJAR'!A2:A1000)</f>
        <v>45961</v>
      </c>
    </row>
    <row r="266" spans="1:10" ht="19.95" customHeight="1" x14ac:dyDescent="0.3">
      <c r="A266" s="14">
        <v>247</v>
      </c>
      <c r="B266" s="58" t="str">
        <f>+'PANADERIA FLORES TRIGO'!$B$1</f>
        <v>PANADERIA FLORES TRIGO</v>
      </c>
      <c r="C266" s="67">
        <f>+'PANADERIA FLORES TRIGO'!$B$2</f>
        <v>0</v>
      </c>
      <c r="D266" s="9">
        <f>+'PANADERIA FLORES TRIGO'!$C$3</f>
        <v>37.629999999999995</v>
      </c>
      <c r="E266" s="11">
        <f>+'PANADERIA FLORES TRIGO'!$D$3</f>
        <v>0</v>
      </c>
      <c r="F266" s="12">
        <f>+'PANADERIA FLORES TRIGO'!$E$3</f>
        <v>0</v>
      </c>
      <c r="G266" s="12">
        <f>+'PANADERIA FLORES TRIGO'!$F$3</f>
        <v>-1</v>
      </c>
      <c r="H266" s="10">
        <f>+'PANADERIA FLORES TRIGO'!$G$3</f>
        <v>0</v>
      </c>
      <c r="I266" t="s">
        <v>121</v>
      </c>
      <c r="J266" s="80">
        <f>MAX('PANADERIA FLORES TRIGO'!A2:A1000)</f>
        <v>46045</v>
      </c>
    </row>
    <row r="267" spans="1:10" ht="19.95" customHeight="1" x14ac:dyDescent="0.3">
      <c r="A267" s="14">
        <v>248</v>
      </c>
      <c r="B267" s="58" t="str">
        <f>+'PANADERIA GLENDIZ'!$B$1</f>
        <v>PANADERIA GLENDIZ</v>
      </c>
      <c r="C267" s="67" t="str">
        <f>+'PANADERIA GLENDIZ'!$B$2</f>
        <v>GLENDIZ NUNEZ</v>
      </c>
      <c r="D267" s="9">
        <f>+'PANADERIA GLENDIZ'!$C$3</f>
        <v>0.49999999999999289</v>
      </c>
      <c r="E267" s="11">
        <f>+'PANADERIA GLENDIZ'!$D$3</f>
        <v>0</v>
      </c>
      <c r="F267" s="12">
        <f>+'PANADERIA GLENDIZ'!$E$3</f>
        <v>0</v>
      </c>
      <c r="G267" s="12">
        <f>+'PANADERIA GLENDIZ'!$F$3</f>
        <v>0</v>
      </c>
      <c r="H267" s="10">
        <f>+'PANADERIA GLENDIZ'!$G$3</f>
        <v>0</v>
      </c>
      <c r="I267" t="s">
        <v>121</v>
      </c>
      <c r="J267" s="80">
        <f>MAX('PANADERIA GLENDIZ'!A2:A1000)</f>
        <v>46051</v>
      </c>
    </row>
    <row r="268" spans="1:10" ht="19.95" customHeight="1" x14ac:dyDescent="0.3">
      <c r="A268" s="14">
        <v>249</v>
      </c>
      <c r="B268" s="58" t="str">
        <f>+'PANADERIA LA CREMITA'!$B$1</f>
        <v>PANADERIA LA CREMITA</v>
      </c>
      <c r="C268" s="67">
        <f>+'PANADERIA LA CREMITA'!$B$2</f>
        <v>0</v>
      </c>
      <c r="D268" s="9">
        <f>+'PANADERIA LA CREMITA'!$C$3</f>
        <v>339.93999999999971</v>
      </c>
      <c r="E268" s="11">
        <f>+'PANADERIA LA CREMITA'!$D$3</f>
        <v>0</v>
      </c>
      <c r="F268" s="12">
        <f>+'PANADERIA LA CREMITA'!$E$3</f>
        <v>0</v>
      </c>
      <c r="G268" s="12">
        <f>+'PANADERIA LA CREMITA'!$F$3</f>
        <v>0</v>
      </c>
      <c r="H268" s="10">
        <f>+'PANADERIA LA CREMITA'!$G$3</f>
        <v>9.5900000000000318</v>
      </c>
      <c r="I268" t="s">
        <v>121</v>
      </c>
      <c r="J268" s="80">
        <f>MAX('PANADERIA LA CREMITA'!A2:A1001)</f>
        <v>46048</v>
      </c>
    </row>
    <row r="269" spans="1:10" ht="19.95" customHeight="1" x14ac:dyDescent="0.3">
      <c r="A269" s="14">
        <v>250</v>
      </c>
      <c r="B269" s="58" t="str">
        <f>+'PANADERIA LA ESPIGA'!$B$1</f>
        <v>PANADERIA LA ESPIGA</v>
      </c>
      <c r="C269" s="67" t="str">
        <f>+'PANADERIA LA ESPIGA'!$B$2</f>
        <v>FRANCIS BARRIENTO</v>
      </c>
      <c r="D269" s="9">
        <f>+'PANADERIA LA ESPIGA'!$C$3</f>
        <v>0</v>
      </c>
      <c r="E269" s="11">
        <f>+'PANADERIA LA ESPIGA'!$D$3</f>
        <v>1</v>
      </c>
      <c r="F269" s="12">
        <f>+'PANADERIA LA ESPIGA'!$E$3</f>
        <v>0</v>
      </c>
      <c r="G269" s="12">
        <f>+'PANADERIA LA ESPIGA'!$F$3</f>
        <v>0</v>
      </c>
      <c r="H269" s="10">
        <f>+'PANADERIA LA ESPIGA'!$G$3</f>
        <v>0</v>
      </c>
      <c r="I269" t="s">
        <v>122</v>
      </c>
      <c r="J269" s="80">
        <f>MAX('PANADERIA LA ESPIGA'!A2:A1000)</f>
        <v>46049</v>
      </c>
    </row>
    <row r="270" spans="1:10" ht="19.95" customHeight="1" x14ac:dyDescent="0.3">
      <c r="A270" s="14">
        <v>251</v>
      </c>
      <c r="B270" s="58" t="str">
        <f>+'PANDERIA LA PURISIMA'!$B$1</f>
        <v>PANDERIA LA PURISIMA</v>
      </c>
      <c r="C270" s="67" t="str">
        <f>+'PANDERIA LA PURISIMA'!$B$2</f>
        <v>JOSE BARRERA</v>
      </c>
      <c r="D270" s="9">
        <f>+'PANDERIA LA PURISIMA'!$C$3</f>
        <v>17.440000000000001</v>
      </c>
      <c r="E270" s="11">
        <f>+'PANDERIA LA PURISIMA'!$D$3</f>
        <v>0</v>
      </c>
      <c r="F270" s="12">
        <f>+'PANDERIA LA PURISIMA'!$E$3</f>
        <v>0</v>
      </c>
      <c r="G270" s="12">
        <f>+'PANDERIA LA PURISIMA'!$F$3</f>
        <v>0</v>
      </c>
      <c r="H270" s="10">
        <f>+'PANDERIA LA PURISIMA'!$G$3</f>
        <v>0</v>
      </c>
      <c r="I270" t="s">
        <v>122</v>
      </c>
      <c r="J270" s="80">
        <f>MAX('PANDERIA LA PURISIMA'!A2:A1000)</f>
        <v>46050</v>
      </c>
    </row>
    <row r="271" spans="1:10" ht="19.95" customHeight="1" x14ac:dyDescent="0.3">
      <c r="A271" s="14">
        <v>252</v>
      </c>
      <c r="B271" s="58" t="str">
        <f>+'PANADERIA MUNDO SABOR'!$B$1</f>
        <v>PANADERIA MUNDO SABOR</v>
      </c>
      <c r="C271" s="67" t="str">
        <f>+'PANADERIA MUNDO SABOR'!$B$2</f>
        <v>JOHANA ZAMBRANO</v>
      </c>
      <c r="D271" s="9">
        <f>+'PANADERIA MUNDO SABOR'!$C$3</f>
        <v>0.29999999999999716</v>
      </c>
      <c r="E271" s="11">
        <f>+'PANADERIA MUNDO SABOR'!$D$3</f>
        <v>0</v>
      </c>
      <c r="F271" s="12">
        <f>+'PANADERIA MUNDO SABOR'!$E$3</f>
        <v>1</v>
      </c>
      <c r="G271" s="12">
        <f>+'PANADERIA MUNDO SABOR'!$F$3</f>
        <v>0</v>
      </c>
      <c r="H271" s="10">
        <f>+'PANADERIA MUNDO SABOR'!$G$3</f>
        <v>0</v>
      </c>
      <c r="I271" t="s">
        <v>122</v>
      </c>
      <c r="J271" s="80">
        <f>MAX('PANADERIA MUNDO SABOR'!A2:A1000)</f>
        <v>46056</v>
      </c>
    </row>
    <row r="272" spans="1:10" ht="19.95" customHeight="1" x14ac:dyDescent="0.3">
      <c r="A272" s="14">
        <v>253</v>
      </c>
      <c r="B272" s="58" t="str">
        <f>+'PANADERIA PANINI'!$B$1</f>
        <v>PANADERIA PANINI</v>
      </c>
      <c r="C272" s="67">
        <f>+'PANADERIA PANINI'!$B$2</f>
        <v>0</v>
      </c>
      <c r="D272" s="9">
        <f>+'PANADERIA PANINI'!$C$3</f>
        <v>11.859999999999998</v>
      </c>
      <c r="E272" s="11">
        <f>+'PANADERIA PANINI'!$D$3</f>
        <v>0</v>
      </c>
      <c r="F272" s="12">
        <f>+'PANADERIA PANINI'!$E$3</f>
        <v>0</v>
      </c>
      <c r="G272" s="12">
        <f>+'PANADERIA PANINI'!$F$3</f>
        <v>0</v>
      </c>
      <c r="H272" s="10">
        <f>+'PANADERIA PANINI'!$G$3</f>
        <v>0</v>
      </c>
      <c r="I272" t="s">
        <v>121</v>
      </c>
      <c r="J272" s="80">
        <f>MAX('PANADERIA PANINI'!A2:A1000)</f>
        <v>46056</v>
      </c>
    </row>
    <row r="273" spans="1:10" ht="19.95" customHeight="1" x14ac:dyDescent="0.3">
      <c r="A273" s="14">
        <v>254</v>
      </c>
      <c r="B273" s="58" t="str">
        <f>+'PANADERIA SMOKED'!$B$1</f>
        <v>PANADERIA SMOKED</v>
      </c>
      <c r="C273" s="67" t="str">
        <f>+'PANADERIA SMOKED'!$B$2</f>
        <v>ANDRES CERRA</v>
      </c>
      <c r="D273" s="9">
        <f>+'PANADERIA SMOKED'!$C$3</f>
        <v>34.089999999999989</v>
      </c>
      <c r="E273" s="11">
        <f>+'PANADERIA SMOKED'!$D$3</f>
        <v>0</v>
      </c>
      <c r="F273" s="12">
        <f>+'PANADERIA SMOKED'!$E$3</f>
        <v>0</v>
      </c>
      <c r="G273" s="12">
        <f>+'PANADERIA SMOKED'!$F$3</f>
        <v>0</v>
      </c>
      <c r="H273" s="10">
        <f>+'PANADERIA SMOKED'!$G$3</f>
        <v>0</v>
      </c>
      <c r="I273" t="s">
        <v>122</v>
      </c>
      <c r="J273" s="80">
        <f>MAX('PANADERIA SMOKED'!A2:A1000)</f>
        <v>46056</v>
      </c>
    </row>
    <row r="274" spans="1:10" ht="19.95" customHeight="1" x14ac:dyDescent="0.3">
      <c r="A274" s="14">
        <v>255</v>
      </c>
      <c r="B274" s="58" t="str">
        <f>+'PANADERIA VENETIA'!$B$1</f>
        <v>PANADERIA VENETIA</v>
      </c>
      <c r="C274" s="67">
        <f>+'PANADERIA VENETIA'!$B$2</f>
        <v>0</v>
      </c>
      <c r="D274" s="9">
        <f>+'PANADERIA VENETIA'!$C$3</f>
        <v>415.49999999999983</v>
      </c>
      <c r="E274" s="11">
        <f>+'PANADERIA VENETIA'!$D$3</f>
        <v>0</v>
      </c>
      <c r="F274" s="12">
        <f>+'PANADERIA VENETIA'!$E$3</f>
        <v>0</v>
      </c>
      <c r="G274" s="12">
        <f>+'PANADERIA VENETIA'!$F$3</f>
        <v>0</v>
      </c>
      <c r="H274" s="10">
        <f>+'PANADERIA VENETIA'!$G$3</f>
        <v>0</v>
      </c>
      <c r="I274" t="s">
        <v>121</v>
      </c>
      <c r="J274" s="80">
        <f>MAX('PANADERIA VENETIA'!A2:A1000)</f>
        <v>46048</v>
      </c>
    </row>
    <row r="275" spans="1:10" ht="19.95" customHeight="1" x14ac:dyDescent="0.3">
      <c r="A275" s="14">
        <v>256</v>
      </c>
      <c r="B275" s="58" t="str">
        <f>+'PIEDRA PAPEL O CERVEZA'!$B$1</f>
        <v>PIEDRA PAPEL O CERVEZA</v>
      </c>
      <c r="C275" s="67">
        <f>+'PIEDRA PAPEL O CERVEZA'!$B$2</f>
        <v>0</v>
      </c>
      <c r="D275" s="9">
        <f>+'PIEDRA PAPEL O CERVEZA'!$C$3</f>
        <v>1453.8599999999994</v>
      </c>
      <c r="E275" s="11">
        <f>+'PIEDRA PAPEL O CERVEZA'!$D$3</f>
        <v>0</v>
      </c>
      <c r="F275" s="12">
        <f>+'PIEDRA PAPEL O CERVEZA'!$E$3</f>
        <v>0</v>
      </c>
      <c r="G275" s="12">
        <f>+'PIEDRA PAPEL O CERVEZA'!$F$3</f>
        <v>0</v>
      </c>
      <c r="H275" s="10">
        <f>+'PIEDRA PAPEL O CERVEZA'!$G$3</f>
        <v>0</v>
      </c>
      <c r="I275" t="s">
        <v>126</v>
      </c>
      <c r="J275" s="80">
        <f>MAX('PIEDRA PAPEL O CERVEZA'!A2:A1000)</f>
        <v>46044</v>
      </c>
    </row>
    <row r="276" spans="1:10" ht="19.95" customHeight="1" x14ac:dyDescent="0.3">
      <c r="A276" s="14">
        <v>257</v>
      </c>
      <c r="B276" s="58" t="str">
        <f>+'PIZZERIA ARADO'!$B$1</f>
        <v>PIZZERIA ARADO</v>
      </c>
      <c r="C276" s="67">
        <f>+'PIZZERIA ARADO'!$B$2</f>
        <v>0</v>
      </c>
      <c r="D276" s="9">
        <f>+'PIZZERIA ARADO'!$C$3</f>
        <v>76.000000000000028</v>
      </c>
      <c r="E276" s="11">
        <f>+'PIZZERIA ARADO'!$D$3</f>
        <v>0</v>
      </c>
      <c r="F276" s="12">
        <f>+'PIZZERIA ARADO'!$E$3</f>
        <v>0</v>
      </c>
      <c r="G276" s="12">
        <f>+'PIZZERIA ARADO'!$F$3</f>
        <v>0</v>
      </c>
      <c r="H276" s="10">
        <f>+'PIZZERIA ARADO'!$G$3</f>
        <v>0</v>
      </c>
      <c r="I276" t="s">
        <v>126</v>
      </c>
      <c r="J276" s="80">
        <f>MAX('PIZZERIA ARADO'!A2:A1000)</f>
        <v>46017</v>
      </c>
    </row>
    <row r="277" spans="1:10" ht="19.95" customHeight="1" x14ac:dyDescent="0.3">
      <c r="A277" s="14">
        <v>258</v>
      </c>
      <c r="B277" s="58" t="str">
        <f>+'PIZZAS FRATELLO'!$B$1</f>
        <v>PIZZAS FRATELLO</v>
      </c>
      <c r="C277" s="67" t="str">
        <f>+'PIZZAS FRATELLO'!$B$2</f>
        <v>CESAR EDUARDO</v>
      </c>
      <c r="D277" s="9">
        <f>+'PIZZAS FRATELLO'!$C$3</f>
        <v>92.997000000000014</v>
      </c>
      <c r="E277" s="11">
        <f>+'PIZZAS FRATELLO'!$D$3</f>
        <v>0</v>
      </c>
      <c r="F277" s="12">
        <f>+'PIZZAS FRATELLO'!$E$3</f>
        <v>0</v>
      </c>
      <c r="G277" s="12">
        <f>+'PIZZAS FRATELLO'!$F$3</f>
        <v>0</v>
      </c>
      <c r="H277" s="10">
        <f>+'PIZZAS FRATELLO'!$G$3</f>
        <v>0</v>
      </c>
      <c r="I277" t="s">
        <v>121</v>
      </c>
      <c r="J277" s="80">
        <f>MAX('PIZZAS FRATELLO'!A2:A1000)</f>
        <v>46052</v>
      </c>
    </row>
    <row r="278" spans="1:10" ht="19.95" customHeight="1" x14ac:dyDescent="0.3">
      <c r="A278" s="14">
        <v>259</v>
      </c>
      <c r="B278" s="58" t="str">
        <f>+'PLASTICO CONSOLACION'!$B$1</f>
        <v>PLASTICO CONSOLACION</v>
      </c>
      <c r="C278" s="67">
        <f>+'PLASTICO CONSOLACION'!$B$2</f>
        <v>0</v>
      </c>
      <c r="D278" s="9">
        <f>+'PLASTICO CONSOLACION'!$C$3</f>
        <v>148.99</v>
      </c>
      <c r="E278" s="11">
        <f>+'PLASTICO CONSOLACION'!$D$3</f>
        <v>0</v>
      </c>
      <c r="F278" s="12">
        <f>+'PLASTICO CONSOLACION'!$E$3</f>
        <v>0</v>
      </c>
      <c r="G278" s="12">
        <f>+'PLASTICO CONSOLACION'!$F$3</f>
        <v>0</v>
      </c>
      <c r="H278" s="10">
        <f>+'PLASTICO CONSOLACION'!$G$3</f>
        <v>0</v>
      </c>
      <c r="I278" t="s">
        <v>121</v>
      </c>
      <c r="J278" s="80">
        <f>MAX('PLASTICO CONSOLACION'!A2:A1000)</f>
        <v>46050</v>
      </c>
    </row>
    <row r="279" spans="1:10" ht="19.95" customHeight="1" x14ac:dyDescent="0.3">
      <c r="A279" s="14"/>
      <c r="B279" s="119" t="str">
        <f>+'PLASTICO YENNIFER PEREZ'!$B$1</f>
        <v>PLASTICO YENNIFER PEREZ</v>
      </c>
      <c r="C279" s="67">
        <f>+'PLASTICO YENNIFER PEREZ'!$B$2</f>
        <v>0</v>
      </c>
      <c r="D279" s="9">
        <f>+'PLASTICO YENNIFER PEREZ'!$C$3</f>
        <v>48.13</v>
      </c>
      <c r="E279" s="11">
        <f>+'PLASTICO YENNIFER PEREZ'!$D$3</f>
        <v>0</v>
      </c>
      <c r="F279" s="12">
        <f>+'PLASTICO YENNIFER PEREZ'!$E$3</f>
        <v>0</v>
      </c>
      <c r="G279" s="12">
        <f>+'PLASTICO YENNIFER PEREZ'!$F$3</f>
        <v>0</v>
      </c>
      <c r="H279" s="10">
        <f>+'PLASTICO YENNIFER PEREZ'!$G$3</f>
        <v>0</v>
      </c>
      <c r="I279" t="s">
        <v>121</v>
      </c>
    </row>
    <row r="280" spans="1:10" ht="19.95" customHeight="1" x14ac:dyDescent="0.3">
      <c r="A280" s="14">
        <v>260</v>
      </c>
      <c r="B280" s="58" t="str">
        <f>+'PRESTO MARKET'!$B$1</f>
        <v>PRESTO MARKET</v>
      </c>
      <c r="C280" s="67">
        <f>+'PRESTO MARKET'!$B$2</f>
        <v>0</v>
      </c>
      <c r="D280" s="9">
        <f>+'PRESTO MARKET'!$C$3</f>
        <v>68.999999999999943</v>
      </c>
      <c r="E280" s="11">
        <f>+'PRESTO MARKET'!$D$3</f>
        <v>0</v>
      </c>
      <c r="F280" s="12">
        <f>+'PRESTO MARKET'!$E$3</f>
        <v>0</v>
      </c>
      <c r="G280" s="12">
        <f>+'PRESTO MARKET'!$F$3</f>
        <v>0</v>
      </c>
      <c r="H280" s="10">
        <f>+'PRESTO MARKET'!$G$3</f>
        <v>0</v>
      </c>
      <c r="I280" t="s">
        <v>122</v>
      </c>
      <c r="J280" s="80">
        <f>MAX('PRESTO MARKET'!A2:A1000)</f>
        <v>46052</v>
      </c>
    </row>
    <row r="281" spans="1:10" ht="19.95" customHeight="1" x14ac:dyDescent="0.3">
      <c r="A281" s="14">
        <v>261</v>
      </c>
      <c r="B281" s="58" t="str">
        <f>+'POLLO EXPRESS JYB'!$B$1</f>
        <v>POLLO EXPRESS JYB</v>
      </c>
      <c r="C281" s="67" t="str">
        <f>+'POLLO EXPRESS JYB'!$B$2</f>
        <v>YOLY LACRUZ</v>
      </c>
      <c r="D281" s="9">
        <f>+'POLLO EXPRESS JYB'!$C$3</f>
        <v>-9.9999999999980105E-3</v>
      </c>
      <c r="E281" s="11">
        <f>+'POLLO EXPRESS JYB'!$D$3</f>
        <v>0</v>
      </c>
      <c r="F281" s="12">
        <f>+'POLLO EXPRESS JYB'!$E$3</f>
        <v>0</v>
      </c>
      <c r="G281" s="12">
        <f>+'POLLO EXPRESS JYB'!$F$3</f>
        <v>0</v>
      </c>
      <c r="H281" s="10">
        <f>+'POLLO EXPRESS JYB'!$G$3</f>
        <v>0</v>
      </c>
      <c r="I281" t="s">
        <v>122</v>
      </c>
      <c r="J281" s="80">
        <f>MAX('POLLO EXPRESS JYB'!A2:A1000)</f>
        <v>45916</v>
      </c>
    </row>
    <row r="282" spans="1:10" ht="19.95" customHeight="1" x14ac:dyDescent="0.3">
      <c r="A282" s="14">
        <v>262</v>
      </c>
      <c r="B282" s="58" t="str">
        <f>+'POLLO BRASAS BUSTAMANTE'!$B$1</f>
        <v>POLLO BRASAS BUSTAMANTE</v>
      </c>
      <c r="C282" s="67">
        <f>+'POLLO BRASAS BUSTAMANTE'!$B$2</f>
        <v>0</v>
      </c>
      <c r="D282" s="9">
        <f>+'POLLO BRASAS BUSTAMANTE'!$C$3</f>
        <v>9.0000000000060254E-2</v>
      </c>
      <c r="E282" s="11">
        <f>+'POLLO BRASAS BUSTAMANTE'!$D$3</f>
        <v>2</v>
      </c>
      <c r="F282" s="12">
        <f>+'POLLO BRASAS BUSTAMANTE'!$E$3</f>
        <v>2</v>
      </c>
      <c r="G282" s="12">
        <f>+'POLLO BRASAS BUSTAMANTE'!$F$3</f>
        <v>0</v>
      </c>
      <c r="H282" s="10">
        <f>+'POLLO BRASAS BUSTAMANTE'!$G$3</f>
        <v>0</v>
      </c>
      <c r="I282" t="s">
        <v>122</v>
      </c>
      <c r="J282" s="80">
        <f>MAX('POLLO BRASAS BUSTAMANTE'!A2:A1000)</f>
        <v>46051</v>
      </c>
    </row>
    <row r="283" spans="1:10" ht="19.95" customHeight="1" x14ac:dyDescent="0.3">
      <c r="A283" s="14">
        <v>263</v>
      </c>
      <c r="B283" s="58" t="str">
        <f>+'QUESERA DOBLE A'!$B$1</f>
        <v>QUESERA DOBLE A</v>
      </c>
      <c r="C283" s="67" t="str">
        <f>+'QUESERA DOBLE A'!$B$2</f>
        <v>YORMAN URBINA</v>
      </c>
      <c r="D283" s="9">
        <f>+'QUESERA DOBLE A'!$C$3</f>
        <v>-0.30000000000005045</v>
      </c>
      <c r="E283" s="11">
        <f>+'QUESERA DOBLE A'!$D$3</f>
        <v>0</v>
      </c>
      <c r="F283" s="12">
        <f>+'QUESERA DOBLE A'!$E$3</f>
        <v>0</v>
      </c>
      <c r="G283" s="12">
        <f>+'QUESERA DOBLE A'!$F$3</f>
        <v>0</v>
      </c>
      <c r="H283" s="10">
        <f>+'QUESERA DOBLE A'!$G$3</f>
        <v>0</v>
      </c>
      <c r="I283" t="s">
        <v>122</v>
      </c>
      <c r="J283" s="80">
        <f>MAX('QUESERA DOBLE A'!A2:A1000)</f>
        <v>45890</v>
      </c>
    </row>
    <row r="284" spans="1:10" ht="19.95" customHeight="1" x14ac:dyDescent="0.3">
      <c r="A284" s="14">
        <v>264</v>
      </c>
      <c r="B284" s="58" t="str">
        <f>+'QUINCALLA JESUS DE NAZARENO'!$B$1</f>
        <v>QUINCALLA JESUS DE NAZARENO</v>
      </c>
      <c r="C284" s="67" t="str">
        <f>+'QUINCALLA JESUS DE NAZARENO'!$B$2</f>
        <v>ELVIRA PENA</v>
      </c>
      <c r="D284" s="9">
        <f>+'QUINCALLA JESUS DE NAZARENO'!$C$3</f>
        <v>0.36000000000000654</v>
      </c>
      <c r="E284" s="11">
        <f>+'QUINCALLA JESUS DE NAZARENO'!$D$3</f>
        <v>0</v>
      </c>
      <c r="F284" s="12">
        <f>+'QUINCALLA JESUS DE NAZARENO'!$E$3</f>
        <v>0</v>
      </c>
      <c r="G284" s="12">
        <f>+'QUINCALLA JESUS DE NAZARENO'!$F$3</f>
        <v>0</v>
      </c>
      <c r="H284" s="10">
        <f>+'QUINCALLA JESUS DE NAZARENO'!$G$3</f>
        <v>0</v>
      </c>
      <c r="I284" t="s">
        <v>122</v>
      </c>
      <c r="J284" s="80">
        <f>MAX('QUINCALLA JESUS DE NAZARENO'!A2:A1000)</f>
        <v>46056</v>
      </c>
    </row>
    <row r="285" spans="1:10" ht="19.95" customHeight="1" x14ac:dyDescent="0.3">
      <c r="A285" s="14">
        <v>265</v>
      </c>
      <c r="B285" s="58" t="str">
        <f>+'REINA ALARCON'!$B$1</f>
        <v>REINA ALARCON</v>
      </c>
      <c r="C285" s="67">
        <f>+'REINA ALARCON'!$B$2</f>
        <v>0</v>
      </c>
      <c r="D285" s="9">
        <f>+'REINA ALARCON'!$C$3</f>
        <v>148.36999999999998</v>
      </c>
      <c r="E285" s="11">
        <f>+'REINA ALARCON'!$D$3</f>
        <v>0</v>
      </c>
      <c r="F285" s="12">
        <f>+'REINA ALARCON'!$E$3</f>
        <v>0</v>
      </c>
      <c r="G285" s="12">
        <f>+'REINA ALARCON'!$F$3</f>
        <v>0</v>
      </c>
      <c r="H285" s="10">
        <f>+'REINA ALARCON'!$G$3</f>
        <v>0</v>
      </c>
      <c r="I285" t="s">
        <v>121</v>
      </c>
      <c r="J285" s="80">
        <f>MAX('REINA ALARCON'!A2:A1000)</f>
        <v>46056</v>
      </c>
    </row>
    <row r="286" spans="1:10" ht="19.95" customHeight="1" x14ac:dyDescent="0.3">
      <c r="A286" s="14">
        <v>266</v>
      </c>
      <c r="B286" s="58" t="str">
        <f>+'RESTAURANT ALAS BRASAS'!$B$1</f>
        <v>RESTAURANT ALAS BRASAS</v>
      </c>
      <c r="C286" s="67" t="str">
        <f>+'RESTAURANT ALAS BRASAS'!$B$2</f>
        <v>ABDIAS MANRIQUE</v>
      </c>
      <c r="D286" s="9">
        <f>+'RESTAURANT ALAS BRASAS'!$C$3</f>
        <v>42.04999999999999</v>
      </c>
      <c r="E286" s="11">
        <f>+'RESTAURANT ALAS BRASAS'!$D$3</f>
        <v>0</v>
      </c>
      <c r="F286" s="12">
        <f>+'RESTAURANT ALAS BRASAS'!$E$3</f>
        <v>0</v>
      </c>
      <c r="G286" s="12">
        <f>+'RESTAURANT ALAS BRASAS'!$F$3</f>
        <v>0</v>
      </c>
      <c r="H286" s="10">
        <f>+'RESTAURANT ALAS BRASAS'!$G$3</f>
        <v>0</v>
      </c>
      <c r="I286" t="s">
        <v>122</v>
      </c>
      <c r="J286" s="80">
        <f>MAX('RESTAURANT ALAS BRASAS'!A2:A1000)</f>
        <v>46052</v>
      </c>
    </row>
    <row r="287" spans="1:10" ht="19.95" customHeight="1" x14ac:dyDescent="0.3">
      <c r="A287" s="14">
        <v>267</v>
      </c>
      <c r="B287" s="58" t="str">
        <f>+'RESTAURANT AROMAS'!$B$1</f>
        <v>RESTAURANT AROMAS</v>
      </c>
      <c r="C287" s="67">
        <f>+'RESTAURANT AROMAS'!$B$2</f>
        <v>0</v>
      </c>
      <c r="D287" s="9">
        <f>+'RESTAURANT AROMAS'!$C$3</f>
        <v>0</v>
      </c>
      <c r="E287" s="11">
        <f>+'RESTAURANT AROMAS'!$D$3</f>
        <v>0</v>
      </c>
      <c r="F287" s="12">
        <f>+'RESTAURANT AROMAS'!$E$3</f>
        <v>0</v>
      </c>
      <c r="G287" s="12">
        <f>+'RESTAURANT AROMAS'!$F$3</f>
        <v>0</v>
      </c>
      <c r="H287" s="10">
        <f>+'RESTAURANT AROMAS'!$G$3</f>
        <v>0</v>
      </c>
      <c r="I287" t="s">
        <v>126</v>
      </c>
      <c r="J287" s="80">
        <f>MAX('RESTAURANT AROMAS'!A2:A1000)</f>
        <v>46037</v>
      </c>
    </row>
    <row r="288" spans="1:10" ht="19.95" customHeight="1" x14ac:dyDescent="0.3">
      <c r="A288" s="14">
        <v>268</v>
      </c>
      <c r="B288" s="58" t="str">
        <f>+'RESTAURANT DONDE GRETA'!$B$1</f>
        <v>RESTAURANT DONDE GRETA</v>
      </c>
      <c r="C288" s="67" t="str">
        <f>+'RESTAURANT DONDE GRETA'!$B$2</f>
        <v>GRETA CABEZA</v>
      </c>
      <c r="D288" s="9">
        <f>+'RESTAURANT DONDE GRETA'!$C$3</f>
        <v>71.799999999999983</v>
      </c>
      <c r="E288" s="11">
        <f>+'RESTAURANT DONDE GRETA'!$D$3</f>
        <v>0</v>
      </c>
      <c r="F288" s="12">
        <f>+'RESTAURANT DONDE GRETA'!$E$3</f>
        <v>0</v>
      </c>
      <c r="G288" s="12">
        <f>+'RESTAURANT DONDE GRETA'!$F$3</f>
        <v>0</v>
      </c>
      <c r="H288" s="10">
        <f>+'RESTAURANT DONDE GRETA'!$G$3</f>
        <v>0</v>
      </c>
      <c r="I288" t="s">
        <v>122</v>
      </c>
      <c r="J288" s="80">
        <f>MAX('RESTAURANT DONDE GRETA'!A2:A1000)</f>
        <v>46056</v>
      </c>
    </row>
    <row r="289" spans="1:10" ht="19.95" customHeight="1" x14ac:dyDescent="0.3">
      <c r="A289" s="14">
        <v>269</v>
      </c>
      <c r="B289" s="58" t="str">
        <f>+'RESTAURANT EL CHAVALO'!$B$1</f>
        <v>RESTAURANT EL CHAVALO</v>
      </c>
      <c r="C289" s="67" t="str">
        <f>+'RESTAURANT EL CHAVALO'!$B$2</f>
        <v>JESUS GARCIA</v>
      </c>
      <c r="D289" s="9">
        <f>+'RESTAURANT EL CHAVALO'!$C$3</f>
        <v>159.78999999999996</v>
      </c>
      <c r="E289" s="11">
        <f>+'RESTAURANT EL CHAVALO'!$D$3</f>
        <v>1</v>
      </c>
      <c r="F289" s="12">
        <f>+'RESTAURANT EL CHAVALO'!$E$3</f>
        <v>0</v>
      </c>
      <c r="G289" s="12">
        <f>+'RESTAURANT EL CHAVALO'!$F$3</f>
        <v>0</v>
      </c>
      <c r="H289" s="10">
        <f>+'RESTAURANT EL CHAVALO'!$G$3</f>
        <v>0</v>
      </c>
      <c r="I289" t="s">
        <v>122</v>
      </c>
      <c r="J289" s="80">
        <f>MAX('RESTAURANT EL CHAVALO'!A2:A1000)</f>
        <v>46044</v>
      </c>
    </row>
    <row r="290" spans="1:10" ht="19.95" customHeight="1" x14ac:dyDescent="0.3">
      <c r="A290" s="14">
        <v>270</v>
      </c>
      <c r="B290" s="58" t="str">
        <f>+'RESTAURANT DONDE SANTOS'!$B$1</f>
        <v>RESTAURANT DONDE SANTOS</v>
      </c>
      <c r="C290" s="67" t="str">
        <f>+'RESTAURANT DONDE SANTOS'!$B$2</f>
        <v>VANESA</v>
      </c>
      <c r="D290" s="9">
        <f>+'RESTAURANT DONDE SANTOS'!$C$3</f>
        <v>-9.9999999999909051E-3</v>
      </c>
      <c r="E290" s="11">
        <f>+'RESTAURANT DONDE SANTOS'!$D$3</f>
        <v>0</v>
      </c>
      <c r="F290" s="12">
        <f>+'RESTAURANT DONDE SANTOS'!$E$3</f>
        <v>1</v>
      </c>
      <c r="G290" s="12">
        <f>+'RESTAURANT DONDE SANTOS'!$F$3</f>
        <v>0</v>
      </c>
      <c r="H290" s="10">
        <f>+'RESTAURANT DONDE SANTOS'!$G$3</f>
        <v>0</v>
      </c>
      <c r="I290" t="s">
        <v>122</v>
      </c>
      <c r="J290" s="80">
        <f>MAX('RESTAURANT DONDE SANTOS'!A2:A1000)</f>
        <v>46055</v>
      </c>
    </row>
    <row r="291" spans="1:10" ht="19.95" customHeight="1" x14ac:dyDescent="0.3">
      <c r="A291" s="14">
        <v>271</v>
      </c>
      <c r="B291" s="58" t="str">
        <f>+'RESTAURANT HERMANO DUQUE'!$B$1</f>
        <v>RESTAURANT HERMANO DUQUE</v>
      </c>
      <c r="C291" s="67" t="str">
        <f>+'RESTAURANT HERMANO DUQUE'!$B$2</f>
        <v>ALVARO SOLANO</v>
      </c>
      <c r="D291" s="9">
        <f>+'RESTAURANT HERMANO DUQUE'!$C$3</f>
        <v>23.080000000000005</v>
      </c>
      <c r="E291" s="11">
        <f>+'RESTAURANT HERMANO DUQUE'!$D$3</f>
        <v>0</v>
      </c>
      <c r="F291" s="12">
        <f>+'RESTAURANT HERMANO DUQUE'!$E$3</f>
        <v>0</v>
      </c>
      <c r="G291" s="12">
        <f>+'RESTAURANT HERMANO DUQUE'!$F$3</f>
        <v>0</v>
      </c>
      <c r="H291" s="10">
        <f>+'RESTAURANT HERMANO DUQUE'!$G$3</f>
        <v>0</v>
      </c>
      <c r="I291" t="s">
        <v>122</v>
      </c>
      <c r="J291" s="80">
        <f>MAX('RESTAURANT HERMANO DUQUE'!A2:A1000)</f>
        <v>46056</v>
      </c>
    </row>
    <row r="292" spans="1:10" ht="19.95" customHeight="1" x14ac:dyDescent="0.3">
      <c r="A292" s="14">
        <v>272</v>
      </c>
      <c r="B292" s="58" t="str">
        <f>+'RESTAURANT Y PASTELERIA LA TENT'!$B$1</f>
        <v>RESTAURANT Y PASTELERIA LA TENTACION</v>
      </c>
      <c r="C292" s="67" t="str">
        <f>+'RESTAURANT Y PASTELERIA LA TENT'!$B$2</f>
        <v>YULY CHACON</v>
      </c>
      <c r="D292" s="9">
        <f>+'RESTAURANT Y PASTELERIA LA TENT'!$C$3</f>
        <v>397.7700000000001</v>
      </c>
      <c r="E292" s="11">
        <f>+'RESTAURANT Y PASTELERIA LA TENT'!$D$3</f>
        <v>0</v>
      </c>
      <c r="F292" s="12">
        <f>+'RESTAURANT Y PASTELERIA LA TENT'!$E$3</f>
        <v>0</v>
      </c>
      <c r="G292" s="12">
        <f>+'RESTAURANT Y PASTELERIA LA TENT'!$F$3</f>
        <v>0</v>
      </c>
      <c r="H292" s="10">
        <f>+'RESTAURANT Y PASTELERIA LA TENT'!$G$3</f>
        <v>0</v>
      </c>
      <c r="I292" t="s">
        <v>122</v>
      </c>
      <c r="J292" s="80">
        <f>MAX('RESTAURANT Y PASTELERIA LA TENT'!A2:A1000)</f>
        <v>46047</v>
      </c>
    </row>
    <row r="293" spans="1:10" ht="19.95" customHeight="1" x14ac:dyDescent="0.3">
      <c r="A293" s="14">
        <v>273</v>
      </c>
      <c r="B293" s="58" t="str">
        <f>+'RICHARD MONSARI'!$B$1</f>
        <v>RICHARD MONSARI</v>
      </c>
      <c r="C293" s="67" t="str">
        <f>+'RICHARD MONSARI'!$B$2</f>
        <v>FRANQUICIADO</v>
      </c>
      <c r="D293" s="9">
        <f>+'RICHARD MONSARI'!$C$3</f>
        <v>0</v>
      </c>
      <c r="E293" s="11">
        <f>+'RICHARD MONSARI'!$D$3</f>
        <v>0</v>
      </c>
      <c r="F293" s="12">
        <f>+'RICHARD MONSARI'!$E$3</f>
        <v>0</v>
      </c>
      <c r="G293" s="12">
        <f>+'RICHARD MONSARI'!$F$3</f>
        <v>0</v>
      </c>
      <c r="H293" s="10">
        <f>+'RICHARD MONSARI'!$G$3</f>
        <v>0</v>
      </c>
      <c r="I293" t="s">
        <v>126</v>
      </c>
      <c r="J293" s="80">
        <f>MAX('RICHARD MONSARI'!A2:A1000)</f>
        <v>46003</v>
      </c>
    </row>
    <row r="294" spans="1:10" ht="19.95" customHeight="1" x14ac:dyDescent="0.3">
      <c r="A294" s="14">
        <v>274</v>
      </c>
      <c r="B294" s="58" t="str">
        <f>+'ROBERTO FIGUEREDO'!$B$1</f>
        <v>ROBERTO FIGUEREDO</v>
      </c>
      <c r="C294" s="67">
        <f>+'ROBERTO FIGUEREDO'!$B$2</f>
        <v>0</v>
      </c>
      <c r="D294" s="9">
        <f>+'ROBERTO FIGUEREDO'!$C$3</f>
        <v>151.3899999999999</v>
      </c>
      <c r="E294" s="11">
        <f>+'ROBERTO FIGUEREDO'!$D$3</f>
        <v>3</v>
      </c>
      <c r="F294" s="12">
        <f>+'ROBERTO FIGUEREDO'!$E$3</f>
        <v>0</v>
      </c>
      <c r="G294" s="12">
        <f>+'ROBERTO FIGUEREDO'!$F$3</f>
        <v>0</v>
      </c>
      <c r="H294" s="10">
        <f>+'ROBERTO FIGUEREDO'!$G$3</f>
        <v>0</v>
      </c>
      <c r="I294" t="s">
        <v>128</v>
      </c>
      <c r="J294" s="80">
        <f>MAX('ROBERTO FIGUEREDO'!A2:A1000)</f>
        <v>46050</v>
      </c>
    </row>
    <row r="295" spans="1:10" ht="19.95" customHeight="1" x14ac:dyDescent="0.3">
      <c r="A295" s="14">
        <v>275</v>
      </c>
      <c r="B295" s="58" t="str">
        <f>+'ROCIO HERRERA'!$B$1</f>
        <v>ROCIO HERRERA</v>
      </c>
      <c r="C295" s="67">
        <f>+'ROCIO HERRERA'!$B$2</f>
        <v>0</v>
      </c>
      <c r="D295" s="9">
        <f>+'ROCIO HERRERA'!$C$3</f>
        <v>12.59</v>
      </c>
      <c r="E295" s="11">
        <f>+'ROCIO HERRERA'!$D$3</f>
        <v>2</v>
      </c>
      <c r="F295" s="12">
        <f>+'ROCIO HERRERA'!$E$3</f>
        <v>-2</v>
      </c>
      <c r="G295" s="12">
        <f>+'ROCIO HERRERA'!$F$3</f>
        <v>0</v>
      </c>
      <c r="H295" s="10">
        <f>+'ROCIO HERRERA'!$G$3</f>
        <v>0</v>
      </c>
      <c r="I295" t="s">
        <v>121</v>
      </c>
      <c r="J295" s="80">
        <f>MAX('ROCIO HERRERA'!A2:A1000)</f>
        <v>46052</v>
      </c>
    </row>
    <row r="296" spans="1:10" ht="19.95" customHeight="1" x14ac:dyDescent="0.3">
      <c r="A296" s="14">
        <v>276</v>
      </c>
      <c r="B296" s="58" t="str">
        <f>+'ROSA AURA MOLINA OLIVEROS'!$B$1</f>
        <v>ROSA AURA MOLINA OLIVEROS</v>
      </c>
      <c r="C296" s="67">
        <f>+'ROSA AURA MOLINA OLIVEROS'!$B$2</f>
        <v>0</v>
      </c>
      <c r="D296" s="9">
        <f>+'ROSA AURA MOLINA OLIVEROS'!$C$3</f>
        <v>10.029999999999994</v>
      </c>
      <c r="E296" s="11">
        <f>+'ROSA AURA MOLINA OLIVEROS'!$D$3</f>
        <v>0</v>
      </c>
      <c r="F296" s="12">
        <f>+'ROSA AURA MOLINA OLIVEROS'!$E$3</f>
        <v>-1</v>
      </c>
      <c r="G296" s="12">
        <f>+'ROSA AURA MOLINA OLIVEROS'!$F$3</f>
        <v>0</v>
      </c>
      <c r="H296" s="10">
        <f>+'ROSA AURA MOLINA OLIVEROS'!$G$3</f>
        <v>0</v>
      </c>
      <c r="I296" t="s">
        <v>121</v>
      </c>
      <c r="J296" s="80">
        <f>MAX('ROSA AURA MOLINA OLIVEROS'!A2:A1000)</f>
        <v>46051</v>
      </c>
    </row>
    <row r="297" spans="1:10" ht="19.95" customHeight="1" x14ac:dyDescent="0.3">
      <c r="A297" s="14">
        <v>277</v>
      </c>
      <c r="B297" s="58" t="str">
        <f>+'SANDRA ORTIZ'!$B$1</f>
        <v>SANDRA ORTIZ</v>
      </c>
      <c r="C297" s="67">
        <f>+'SANDRA ORTIZ'!$B$2</f>
        <v>0</v>
      </c>
      <c r="D297" s="9">
        <f>+'SANDRA ORTIZ'!$C$3</f>
        <v>0</v>
      </c>
      <c r="E297" s="11">
        <f>+'SANDRA ORTIZ'!$D$3</f>
        <v>0</v>
      </c>
      <c r="F297" s="12">
        <f>+'SANDRA ORTIZ'!$E$3</f>
        <v>0</v>
      </c>
      <c r="G297" s="12">
        <f>+'SANDRA ORTIZ'!$F$3</f>
        <v>0</v>
      </c>
      <c r="H297" s="10">
        <f>+'SANDRA ORTIZ'!$G$3</f>
        <v>0</v>
      </c>
      <c r="I297" t="s">
        <v>122</v>
      </c>
      <c r="J297" s="80">
        <f>MAX('SANDRA ORTIZ'!A2:A1000)</f>
        <v>46029</v>
      </c>
    </row>
    <row r="298" spans="1:10" ht="19.95" customHeight="1" x14ac:dyDescent="0.3">
      <c r="A298" s="14">
        <v>278</v>
      </c>
      <c r="B298" s="58" t="str">
        <f>+'SAUL Q FRUVER'!$B$1</f>
        <v>SAUL Q FRUVER</v>
      </c>
      <c r="C298" s="67">
        <f>+'SAUL Q FRUVER'!$B$2</f>
        <v>0</v>
      </c>
      <c r="D298" s="9">
        <f>+'SAUL Q FRUVER'!$C$3</f>
        <v>-8.5265128291212022E-14</v>
      </c>
      <c r="E298" s="11">
        <f>+'SAUL Q FRUVER'!$D$3</f>
        <v>0</v>
      </c>
      <c r="F298" s="12">
        <f>+'SAUL Q FRUVER'!$E$3</f>
        <v>0</v>
      </c>
      <c r="G298" s="12">
        <f>+'SAUL Q FRUVER'!$F$3</f>
        <v>1</v>
      </c>
      <c r="H298" s="10">
        <f>+'SAUL Q FRUVER'!$G$3</f>
        <v>0</v>
      </c>
      <c r="I298" t="s">
        <v>121</v>
      </c>
      <c r="J298" s="80">
        <f>MAX('SAUL Q FRUVER'!A2:A1000)</f>
        <v>46051</v>
      </c>
    </row>
    <row r="299" spans="1:10" ht="19.95" customHeight="1" x14ac:dyDescent="0.3">
      <c r="A299" s="14">
        <v>279</v>
      </c>
      <c r="B299" s="58" t="str">
        <f>+'SNAK''S 31'!$B$1</f>
        <v>SNAK'S 31</v>
      </c>
      <c r="C299" s="67" t="str">
        <f>+'SNAK''S 31'!$B$2</f>
        <v>MARIANA COLMENARES</v>
      </c>
      <c r="D299" s="9">
        <f>+'SNAK''S 31'!$C$3</f>
        <v>79.069999999999979</v>
      </c>
      <c r="E299" s="11">
        <f>+'SNAK''S 31'!$D$3</f>
        <v>0</v>
      </c>
      <c r="F299" s="12">
        <f>+'SNAK''S 31'!$E$3</f>
        <v>0</v>
      </c>
      <c r="G299" s="12">
        <f>+'SNAK''S 31'!$F$3</f>
        <v>0</v>
      </c>
      <c r="H299" s="10">
        <f>+'SNAK''S 31'!$G$3</f>
        <v>0</v>
      </c>
      <c r="I299" t="s">
        <v>122</v>
      </c>
      <c r="J299" s="80">
        <f>MAX('SNAK''S 31'!A2:A1000)</f>
        <v>46052</v>
      </c>
    </row>
    <row r="300" spans="1:10" ht="19.95" customHeight="1" x14ac:dyDescent="0.3">
      <c r="A300" s="14">
        <v>280</v>
      </c>
      <c r="B300" s="58" t="str">
        <f>+'SOLANDE APARICIO'!$B$1</f>
        <v>SOLANDE APARICIO</v>
      </c>
      <c r="C300" s="67">
        <f>+'SOLANDE APARICIO'!$B$2</f>
        <v>0</v>
      </c>
      <c r="D300" s="9">
        <f>+'SOLANDE APARICIO'!$C$3</f>
        <v>0.16999999999999993</v>
      </c>
      <c r="E300" s="11">
        <f>+'SOLANDE APARICIO'!$D$3</f>
        <v>0</v>
      </c>
      <c r="F300" s="12">
        <f>+'SOLANDE APARICIO'!$E$3</f>
        <v>0</v>
      </c>
      <c r="G300" s="12">
        <f>+'SOLANDE APARICIO'!$F$3</f>
        <v>0</v>
      </c>
      <c r="H300" s="10">
        <f>+'SOLANDE APARICIO'!$G$3</f>
        <v>0</v>
      </c>
      <c r="I300" t="s">
        <v>121</v>
      </c>
      <c r="J300" s="80">
        <f>MAX('SOLANDE APARICIO'!A2:A1000)</f>
        <v>45824</v>
      </c>
    </row>
    <row r="301" spans="1:10" ht="19.95" customHeight="1" x14ac:dyDescent="0.3">
      <c r="A301" s="14">
        <v>281</v>
      </c>
      <c r="B301" s="58" t="str">
        <f>+'SONIA GRANADA'!$B$1</f>
        <v>SONIA GRANADA</v>
      </c>
      <c r="C301" s="67">
        <f>+'SONIA GRANADA'!$B$2</f>
        <v>0</v>
      </c>
      <c r="D301" s="9">
        <f>+'SONIA GRANADA'!$C$3</f>
        <v>51.759999999999977</v>
      </c>
      <c r="E301" s="11">
        <f>+'SONIA GRANADA'!$D$3</f>
        <v>0</v>
      </c>
      <c r="F301" s="12">
        <f>+'SONIA GRANADA'!$E$3</f>
        <v>0</v>
      </c>
      <c r="G301" s="12">
        <f>+'SONIA GRANADA'!$F$3</f>
        <v>0</v>
      </c>
      <c r="H301" s="10">
        <f>+'SONIA GRANADA'!$G$3</f>
        <v>0</v>
      </c>
      <c r="I301" t="s">
        <v>121</v>
      </c>
      <c r="J301" s="80">
        <f>MAX('SONIA GRANADA'!A2:A1000)</f>
        <v>46052</v>
      </c>
    </row>
    <row r="302" spans="1:10" ht="19.95" customHeight="1" x14ac:dyDescent="0.3">
      <c r="A302" s="14">
        <v>282</v>
      </c>
      <c r="B302" s="58" t="str">
        <f>+'SARAY MOJIKA'!$B$1</f>
        <v>BODEGON SARAY MOJIKA</v>
      </c>
      <c r="C302" s="67" t="str">
        <f>+'SARAY MOJIKA'!$B$2</f>
        <v>SARAY MOJIKA</v>
      </c>
      <c r="D302" s="9">
        <f>+'SARAY MOJIKA'!$C$3</f>
        <v>6.6300000000000026</v>
      </c>
      <c r="E302" s="11">
        <f>+'SARAY MOJIKA'!$D$3</f>
        <v>0</v>
      </c>
      <c r="F302" s="12">
        <f>+'SARAY MOJIKA'!$E$3</f>
        <v>0</v>
      </c>
      <c r="G302" s="12">
        <f>+'SARAY MOJIKA'!$F$3</f>
        <v>0</v>
      </c>
      <c r="H302" s="10">
        <f>+'SARAY MOJIKA'!$G$3</f>
        <v>0</v>
      </c>
      <c r="I302" t="s">
        <v>126</v>
      </c>
      <c r="J302" s="80">
        <f>MAX('SARAY MOJIKA'!A2:A1000)</f>
        <v>46055</v>
      </c>
    </row>
    <row r="303" spans="1:10" ht="19.95" customHeight="1" x14ac:dyDescent="0.3">
      <c r="A303" s="14">
        <v>283</v>
      </c>
      <c r="B303" s="58" t="str">
        <f>+'SUMINISTRO DE LIMPIEZA PARAMI'!$B$1</f>
        <v>SUMINISTRO DE LIMPIEZA PARAMI</v>
      </c>
      <c r="C303" s="67" t="str">
        <f>+'SUMINISTRO DE LIMPIEZA PARAMI'!$B$2</f>
        <v>NOREXA ZAMBRANO</v>
      </c>
      <c r="D303" s="9">
        <f>+'SUMINISTRO DE LIMPIEZA PARAMI'!$C$3</f>
        <v>44.17000000000003</v>
      </c>
      <c r="E303" s="11">
        <f>+'SUMINISTRO DE LIMPIEZA PARAMI'!$D$3</f>
        <v>0</v>
      </c>
      <c r="F303" s="12">
        <f>+'SUMINISTRO DE LIMPIEZA PARAMI'!$E$3</f>
        <v>0</v>
      </c>
      <c r="G303" s="12">
        <f>+'SUMINISTRO DE LIMPIEZA PARAMI'!$F$3</f>
        <v>0</v>
      </c>
      <c r="H303" s="10">
        <f>+'SUMINISTRO DE LIMPIEZA PARAMI'!$G$3</f>
        <v>0</v>
      </c>
      <c r="I303" t="s">
        <v>122</v>
      </c>
      <c r="J303" s="80">
        <f>MAX('SUMINISTRO DE LIMPIEZA PARAMI'!A2:A1000)</f>
        <v>46049</v>
      </c>
    </row>
    <row r="304" spans="1:10" ht="19.95" customHeight="1" x14ac:dyDescent="0.3">
      <c r="A304" s="14">
        <v>284</v>
      </c>
      <c r="B304" s="58" t="str">
        <f>+'SUPERMERCADO MERCAFRUVER'!$B$1</f>
        <v>SUPERMERCADO MERCAFRUVER</v>
      </c>
      <c r="C304" s="67" t="str">
        <f>+'SUPERMERCADO MERCAFRUVER'!$B$2</f>
        <v>MIRELLA CUEVA</v>
      </c>
      <c r="D304" s="9">
        <f>+'SUPERMERCADO MERCAFRUVER'!$C$3</f>
        <v>0</v>
      </c>
      <c r="E304" s="11">
        <f>+'SUPERMERCADO MERCAFRUVER'!$D$3</f>
        <v>1</v>
      </c>
      <c r="F304" s="12">
        <f>+'SUPERMERCADO MERCAFRUVER'!$E$3</f>
        <v>0</v>
      </c>
      <c r="G304" s="12">
        <f>+'SUPERMERCADO MERCAFRUVER'!$F$3</f>
        <v>0</v>
      </c>
      <c r="H304" s="10">
        <f>+'SUPERMERCADO MERCAFRUVER'!$G$3</f>
        <v>0</v>
      </c>
      <c r="I304" t="s">
        <v>122</v>
      </c>
      <c r="J304" s="80">
        <f>MAX('SUPERMERCADO MERCAFRUVER'!A2:A1000)</f>
        <v>46031</v>
      </c>
    </row>
    <row r="305" spans="1:11" ht="19.95" customHeight="1" x14ac:dyDescent="0.3">
      <c r="A305" s="14">
        <v>285</v>
      </c>
      <c r="B305" s="58" t="str">
        <f>+'SUPERMERCADO MIRCAR'!$B$1</f>
        <v>SUPERMERCADO MIRCAR</v>
      </c>
      <c r="C305" s="67">
        <f>+'SUPERMERCADO MIRCAR'!$B$2</f>
        <v>0</v>
      </c>
      <c r="D305" s="9">
        <f>+'SUPERMERCADO MIRCAR'!$C$3</f>
        <v>67.380000000000024</v>
      </c>
      <c r="E305" s="11">
        <f>+'SUPERMERCADO MIRCAR'!$D$3</f>
        <v>0</v>
      </c>
      <c r="F305" s="12">
        <f>+'SUPERMERCADO MIRCAR'!$E$3</f>
        <v>0</v>
      </c>
      <c r="G305" s="12">
        <f>+'SUPERMERCADO MIRCAR'!$F$3</f>
        <v>0</v>
      </c>
      <c r="H305" s="10">
        <f>+'SUPERMERCADO MIRCAR'!$G$3</f>
        <v>0</v>
      </c>
      <c r="I305" t="s">
        <v>121</v>
      </c>
      <c r="J305" s="80">
        <f>MAX('SUPERMERCADO MIRCAR'!A2:A1000)</f>
        <v>46056</v>
      </c>
    </row>
    <row r="306" spans="1:11" ht="19.95" customHeight="1" x14ac:dyDescent="0.3">
      <c r="A306" s="14">
        <v>286</v>
      </c>
      <c r="B306" s="58" t="str">
        <f>+'TENGO TODO MENESES'!$B$1</f>
        <v>TENGO TODO MENESES</v>
      </c>
      <c r="C306" s="67" t="str">
        <f>+'TENGO TODO MENESES'!$B$2</f>
        <v>ROSANA CARERO</v>
      </c>
      <c r="D306" s="9">
        <f>+'TENGO TODO MENESES'!$C$3</f>
        <v>190.09999999999997</v>
      </c>
      <c r="E306" s="11">
        <f>+'TENGO TODO MENESES'!$D$3</f>
        <v>0</v>
      </c>
      <c r="F306" s="12">
        <f>+'TENGO TODO MENESES'!$E$3</f>
        <v>0</v>
      </c>
      <c r="G306" s="12">
        <f>+'TENGO TODO MENESES'!$F$3</f>
        <v>0</v>
      </c>
      <c r="H306" s="10">
        <f>+'TENGO TODO MENESES'!$G$3</f>
        <v>0</v>
      </c>
      <c r="I306" t="s">
        <v>122</v>
      </c>
      <c r="J306" s="80">
        <f>MAX('TENGO TODO MENESES'!A2:A1000)</f>
        <v>46052</v>
      </c>
    </row>
    <row r="307" spans="1:11" ht="19.95" customHeight="1" x14ac:dyDescent="0.3">
      <c r="A307" s="14">
        <v>287</v>
      </c>
      <c r="B307" s="58" t="str">
        <f>+'TERRAZA BAR GRILL'!$B$1</f>
        <v>TERRAZA BAR GRILL</v>
      </c>
      <c r="C307" s="67">
        <f>+'TERRAZA BAR GRILL'!$B$2</f>
        <v>0</v>
      </c>
      <c r="D307" s="9">
        <f>+'TERRAZA BAR GRILL'!$C$3</f>
        <v>4920.2499999999991</v>
      </c>
      <c r="E307" s="11">
        <f>+'TERRAZA BAR GRILL'!$D$3</f>
        <v>39</v>
      </c>
      <c r="F307" s="12">
        <f>+'TERRAZA BAR GRILL'!$E$3</f>
        <v>-4</v>
      </c>
      <c r="G307" s="12">
        <f>+'TERRAZA BAR GRILL'!$F$3</f>
        <v>-6</v>
      </c>
      <c r="H307" s="10">
        <f>+'TERRAZA BAR GRILL'!$G$3</f>
        <v>0</v>
      </c>
      <c r="I307" t="s">
        <v>126</v>
      </c>
      <c r="J307" s="80">
        <f>MAX('TERRAZA BAR GRILL'!A2:A1000)</f>
        <v>46042</v>
      </c>
    </row>
    <row r="308" spans="1:11" ht="19.95" customHeight="1" x14ac:dyDescent="0.3">
      <c r="A308" s="14"/>
      <c r="B308" s="119" t="str">
        <f>+'TIBISAY MORALES'!$B$1</f>
        <v>TIBISAY MORALES</v>
      </c>
      <c r="C308" s="67">
        <f>+'TIBISAY MORALES'!$B$2</f>
        <v>0</v>
      </c>
      <c r="D308" s="9">
        <f>+'TIBISAY MORALES'!$C$3</f>
        <v>-3.0000000000001137E-2</v>
      </c>
      <c r="E308" s="11">
        <f>+'TIBISAY MORALES'!$D$3</f>
        <v>0</v>
      </c>
      <c r="F308" s="12">
        <f>+'TIBISAY MORALES'!$E$3</f>
        <v>0</v>
      </c>
      <c r="G308" s="12">
        <f>+'TIBISAY MORALES'!$F$3</f>
        <v>0</v>
      </c>
      <c r="H308" s="10">
        <f>+'TIBISAY MORALES'!$G$3</f>
        <v>0</v>
      </c>
      <c r="I308" t="s">
        <v>122</v>
      </c>
    </row>
    <row r="309" spans="1:11" ht="19.95" customHeight="1" x14ac:dyDescent="0.3">
      <c r="A309" s="14">
        <v>288</v>
      </c>
      <c r="B309" s="58" t="str">
        <f>+'TIENDA D DAYANA'!$B$1</f>
        <v>TIENDA D DAYANA</v>
      </c>
      <c r="C309" s="67">
        <f>+'TIENDA D DAYANA'!$B$2</f>
        <v>0</v>
      </c>
      <c r="D309" s="9">
        <f>+'TIENDA D DAYANA'!$C$3</f>
        <v>672.49200000000008</v>
      </c>
      <c r="E309" s="11">
        <f>+'TIENDA D DAYANA'!$D$3</f>
        <v>0</v>
      </c>
      <c r="F309" s="12">
        <f>+'TIENDA D DAYANA'!$E$3</f>
        <v>0</v>
      </c>
      <c r="G309" s="12">
        <f>+'TIENDA D DAYANA'!$F$3</f>
        <v>-2</v>
      </c>
      <c r="H309" s="10">
        <f>+'TIENDA D DAYANA'!$G$3</f>
        <v>22.828000000000007</v>
      </c>
      <c r="I309" t="s">
        <v>121</v>
      </c>
      <c r="J309" s="80">
        <f>MAX('TIENDA D DAYANA'!A2:A1000)</f>
        <v>46056</v>
      </c>
    </row>
    <row r="310" spans="1:11" ht="19.95" customHeight="1" x14ac:dyDescent="0.3">
      <c r="A310" s="14">
        <v>289</v>
      </c>
      <c r="B310" s="119" t="str">
        <f>+'TIENDA LOS MIOS'!$B$1</f>
        <v>TIENDA LOS MIOS</v>
      </c>
      <c r="C310" s="67" t="str">
        <f>+'TIENDA LOS MIOS'!$B$2</f>
        <v>JENIFER SUA</v>
      </c>
      <c r="D310" s="9">
        <f>+'TIENDA LOS MIOS'!$C$3</f>
        <v>78.239999999999981</v>
      </c>
      <c r="E310" s="11">
        <f>+'TIENDA LOS MIOS'!$D$3</f>
        <v>0</v>
      </c>
      <c r="F310" s="12">
        <f>+'TIENDA LOS MIOS'!$E$3</f>
        <v>0</v>
      </c>
      <c r="G310" s="12">
        <f>+'TIENDA LOS MIOS'!$F$3</f>
        <v>0</v>
      </c>
      <c r="H310" s="10">
        <f>+'TIENDA LOS MIOS'!$G$3</f>
        <v>0</v>
      </c>
      <c r="I310" t="s">
        <v>122</v>
      </c>
    </row>
    <row r="311" spans="1:11" ht="19.95" customHeight="1" x14ac:dyDescent="0.3">
      <c r="A311" s="14">
        <v>290</v>
      </c>
      <c r="B311" s="58" t="str">
        <f>+'TIENDA SANTO CRISTO'!$B$1</f>
        <v>TIENDA SANTO CRISTO</v>
      </c>
      <c r="C311" s="67" t="str">
        <f>+'TIENDA SANTO CRISTO'!$B$2</f>
        <v>JHANEER MONTOYA</v>
      </c>
      <c r="D311" s="9">
        <f>+'TIENDA SANTO CRISTO'!$C$3</f>
        <v>104.23999999999998</v>
      </c>
      <c r="E311" s="11">
        <f>+'TIENDA SANTO CRISTO'!$D$3</f>
        <v>0</v>
      </c>
      <c r="F311" s="12">
        <f>+'TIENDA SANTO CRISTO'!$E$3</f>
        <v>0</v>
      </c>
      <c r="G311" s="12">
        <f>+'TIENDA SANTO CRISTO'!$F$3</f>
        <v>0</v>
      </c>
      <c r="H311" s="10">
        <f>+'TIENDA SANTO CRISTO'!$G$3</f>
        <v>0</v>
      </c>
      <c r="I311" t="s">
        <v>121</v>
      </c>
      <c r="J311" s="80">
        <f>MAX('TIENDA SANTO CRISTO'!A2:A1000)</f>
        <v>46056</v>
      </c>
    </row>
    <row r="312" spans="1:11" ht="19.95" customHeight="1" x14ac:dyDescent="0.3">
      <c r="A312" s="14">
        <v>291</v>
      </c>
      <c r="B312" s="58" t="str">
        <f>+'TRIUNFO BET.COM'!$B$1</f>
        <v>TRIUNFO BET.COM</v>
      </c>
      <c r="C312" s="67">
        <f>+'TRIUNFO BET.COM'!$B$2</f>
        <v>0</v>
      </c>
      <c r="D312" s="9">
        <f>+'TRIUNFO BET.COM'!$C$3</f>
        <v>0</v>
      </c>
      <c r="E312" s="11">
        <f>+'TRIUNFO BET.COM'!$D$3</f>
        <v>0</v>
      </c>
      <c r="F312" s="12">
        <f>+'TRIUNFO BET.COM'!$E$3</f>
        <v>0</v>
      </c>
      <c r="G312" s="12">
        <f>+'TRIUNFO BET.COM'!$F$3</f>
        <v>0</v>
      </c>
      <c r="H312" s="10">
        <f>+'TRIUNFO BET.COM'!$G$3</f>
        <v>0</v>
      </c>
      <c r="I312" t="s">
        <v>126</v>
      </c>
      <c r="J312" s="80">
        <f>MAX('TRIUNFO BET.COM'!A2:A1000)</f>
        <v>45889</v>
      </c>
    </row>
    <row r="313" spans="1:11" ht="19.95" customHeight="1" x14ac:dyDescent="0.3">
      <c r="A313" s="14">
        <v>292</v>
      </c>
      <c r="B313" s="119" t="str">
        <f>+'TODOCARNES PEDRO'!$B$1</f>
        <v>TODOCARNES PEDRO</v>
      </c>
      <c r="C313" s="67">
        <f>+'TODOCARNES PEDRO'!$B$2</f>
        <v>0</v>
      </c>
      <c r="D313" s="9">
        <f>+'TODOCARNES PEDRO'!$C$3</f>
        <v>326.59000000000009</v>
      </c>
      <c r="E313" s="11">
        <f>+'TODOCARNES PEDRO'!$D$3</f>
        <v>8</v>
      </c>
      <c r="F313" s="12">
        <f>+'TODOCARNES PEDRO'!$E$3</f>
        <v>0</v>
      </c>
      <c r="G313" s="12">
        <f>+'TODOCARNES PEDRO'!$F$3</f>
        <v>0</v>
      </c>
      <c r="H313" s="10">
        <f>+'TODOCARNES PEDRO'!$G$3</f>
        <v>0</v>
      </c>
      <c r="I313" t="s">
        <v>121</v>
      </c>
    </row>
    <row r="314" spans="1:11" ht="19.95" customHeight="1" x14ac:dyDescent="0.3">
      <c r="A314" s="14">
        <v>293</v>
      </c>
      <c r="B314" s="58" t="str">
        <f>+TORCOROMA!$B$1</f>
        <v>TORCOROMA</v>
      </c>
      <c r="C314" s="67">
        <f>+TORCOROMA!$B$2</f>
        <v>0</v>
      </c>
      <c r="D314" s="9">
        <f>+TORCOROMA!$C$3</f>
        <v>2412.9899999999971</v>
      </c>
      <c r="E314" s="11">
        <f>+TORCOROMA!$D$3</f>
        <v>89</v>
      </c>
      <c r="F314" s="12">
        <f>+TORCOROMA!$E$3</f>
        <v>0</v>
      </c>
      <c r="G314" s="12">
        <f>+TORCOROMA!$F$3</f>
        <v>0</v>
      </c>
      <c r="H314" s="10">
        <f>+TORCOROMA!$G$3</f>
        <v>0</v>
      </c>
      <c r="I314" t="s">
        <v>126</v>
      </c>
      <c r="J314" s="80">
        <f>MAX(TORCOROMA!A2:A1000)</f>
        <v>46047</v>
      </c>
    </row>
    <row r="315" spans="1:11" ht="19.95" customHeight="1" x14ac:dyDescent="0.3">
      <c r="A315" s="14">
        <v>294</v>
      </c>
      <c r="B315" s="58" t="str">
        <f>+'VARIEDADES ANA'!$B$1</f>
        <v>VARIEDADES ANA</v>
      </c>
      <c r="C315" s="67" t="str">
        <f>+'VARIEDADES ANA'!$B$2</f>
        <v>ADELAIDA BONILLA</v>
      </c>
      <c r="D315" s="9">
        <f>+'VARIEDADES ANA'!$C$3</f>
        <v>0.30999999999999162</v>
      </c>
      <c r="E315" s="11">
        <f>+'VARIEDADES ANA'!$D$3</f>
        <v>0</v>
      </c>
      <c r="F315" s="12">
        <f>+'VARIEDADES ANA'!$E$3</f>
        <v>0</v>
      </c>
      <c r="G315" s="12">
        <f>+'VARIEDADES ANA'!$F$3</f>
        <v>0</v>
      </c>
      <c r="H315" s="10">
        <f>+'VARIEDADES ANA'!$G$3</f>
        <v>0</v>
      </c>
      <c r="I315" t="s">
        <v>122</v>
      </c>
      <c r="J315" s="80">
        <f>MAX('VARIEDADES ANA'!A2:A1000)</f>
        <v>46056</v>
      </c>
    </row>
    <row r="316" spans="1:11" ht="19.95" customHeight="1" x14ac:dyDescent="0.3">
      <c r="A316" s="14">
        <v>295</v>
      </c>
      <c r="B316" s="58" t="str">
        <f>+'VANESA DIAZ'!$B$1</f>
        <v>VANESA DIAZ</v>
      </c>
      <c r="C316" s="67">
        <f>+'VANESA DIAZ'!$B$2</f>
        <v>0</v>
      </c>
      <c r="D316" s="9">
        <f>+'VANESA DIAZ'!$C$3</f>
        <v>140.48000000000002</v>
      </c>
      <c r="E316" s="11">
        <f>+'VANESA DIAZ'!$D$3</f>
        <v>0</v>
      </c>
      <c r="F316" s="12">
        <f>+'VANESA DIAZ'!$E$3</f>
        <v>0</v>
      </c>
      <c r="G316" s="12">
        <f>+'VANESA DIAZ'!$F$3</f>
        <v>-1</v>
      </c>
      <c r="H316" s="10">
        <f>+'VANESA DIAZ'!$G$3</f>
        <v>0</v>
      </c>
      <c r="I316" t="s">
        <v>121</v>
      </c>
      <c r="J316" s="80">
        <f>MAX('VANESA DIAZ'!A2:A1000)</f>
        <v>46048</v>
      </c>
      <c r="K316" s="75" t="s">
        <v>534</v>
      </c>
    </row>
    <row r="317" spans="1:11" ht="19.95" customHeight="1" x14ac:dyDescent="0.3">
      <c r="A317" s="14">
        <v>296</v>
      </c>
      <c r="B317" s="58" t="str">
        <f>+'VARIEDADES DYAN'!$B$1</f>
        <v>VARIEDADES DYAN</v>
      </c>
      <c r="C317" s="67">
        <f>+'VARIEDADES DYAN'!$B$2</f>
        <v>0</v>
      </c>
      <c r="D317" s="9">
        <f>+'VARIEDADES DYAN'!$C$3</f>
        <v>3.2300000000000466</v>
      </c>
      <c r="E317" s="11">
        <f>+'VARIEDADES DYAN'!$D$3</f>
        <v>0</v>
      </c>
      <c r="F317" s="12">
        <f>+'VARIEDADES DYAN'!$E$3</f>
        <v>0</v>
      </c>
      <c r="G317" s="12">
        <f>+'VARIEDADES DYAN'!$F$3</f>
        <v>0</v>
      </c>
      <c r="H317" s="10">
        <f>+'VARIEDADES DYAN'!$G$3</f>
        <v>0</v>
      </c>
      <c r="I317" t="s">
        <v>121</v>
      </c>
      <c r="J317" s="80">
        <f>MAX('VARIEDADES DYAN'!A2:A1000)</f>
        <v>46051</v>
      </c>
    </row>
    <row r="318" spans="1:11" ht="19.95" customHeight="1" x14ac:dyDescent="0.3">
      <c r="A318" s="14">
        <v>297</v>
      </c>
      <c r="B318" s="58" t="str">
        <f>+'VARIEDADES EL CHENTE'!$B$1</f>
        <v>VARIEDADES EL CHENTE</v>
      </c>
      <c r="C318" s="67" t="str">
        <f>+'VARIEDADES EL CHENTE'!$B$2</f>
        <v>VICENTE OCHOA</v>
      </c>
      <c r="D318" s="9">
        <f>+'VARIEDADES EL CHENTE'!$C$3</f>
        <v>588.2600000000001</v>
      </c>
      <c r="E318" s="11">
        <f>+'VARIEDADES EL CHENTE'!$D$3</f>
        <v>2</v>
      </c>
      <c r="F318" s="12">
        <f>+'VARIEDADES EL CHENTE'!$E$3</f>
        <v>0</v>
      </c>
      <c r="G318" s="12">
        <f>+'VARIEDADES EL CHENTE'!$F$3</f>
        <v>0</v>
      </c>
      <c r="H318" s="10">
        <f>+'VARIEDADES EL CHENTE'!$G$3</f>
        <v>0</v>
      </c>
      <c r="I318" t="s">
        <v>122</v>
      </c>
      <c r="J318" s="80">
        <f>MAX('VARIEDADES EL CHENTE'!A2:A1000)</f>
        <v>46056</v>
      </c>
    </row>
    <row r="319" spans="1:11" ht="19.95" customHeight="1" x14ac:dyDescent="0.3">
      <c r="A319" s="14">
        <v>298</v>
      </c>
      <c r="B319" s="58" t="str">
        <f>+'VARIEDADES JHOSTEPH'!$B$1</f>
        <v>VARIEDADES JHOSTEPH</v>
      </c>
      <c r="C319" s="67" t="str">
        <f>+'VARIEDADES JHOSTEPH'!$B$2</f>
        <v>ERIKA GERMAN</v>
      </c>
      <c r="D319" s="9">
        <f>+'VARIEDADES JHOSTEPH'!$C$3</f>
        <v>0</v>
      </c>
      <c r="E319" s="11">
        <f>+'VARIEDADES JHOSTEPH'!$D$3</f>
        <v>0</v>
      </c>
      <c r="F319" s="12">
        <f>+'VARIEDADES JHOSTEPH'!$E$3</f>
        <v>0</v>
      </c>
      <c r="G319" s="12">
        <f>+'VARIEDADES JHOSTEPH'!$F$3</f>
        <v>0</v>
      </c>
      <c r="H319" s="10">
        <f>+'VARIEDADES JHOSTEPH'!$G$3</f>
        <v>0</v>
      </c>
      <c r="I319" t="s">
        <v>122</v>
      </c>
      <c r="J319" s="80">
        <f>MAX('VARIEDADES EL CHENTE'!A2:A1000)</f>
        <v>46056</v>
      </c>
    </row>
    <row r="320" spans="1:11" ht="19.95" customHeight="1" x14ac:dyDescent="0.3">
      <c r="A320" s="14">
        <v>299</v>
      </c>
      <c r="B320" s="58" t="str">
        <f>+'VARIEDADES JOSE GREGORIO HERNAN'!$B$1</f>
        <v>VARIEDADES JOSE GREGORIO HERNANDEZ</v>
      </c>
      <c r="C320" s="67">
        <f>+'VARIEDADES JOSE GREGORIO HERNAN'!$B$2</f>
        <v>0</v>
      </c>
      <c r="D320" s="9">
        <f>+'VARIEDADES JOSE GREGORIO HERNAN'!$C$3</f>
        <v>32.399999999999991</v>
      </c>
      <c r="E320" s="11">
        <f>+'VARIEDADES JOSE GREGORIO HERNAN'!$D$3</f>
        <v>0</v>
      </c>
      <c r="F320" s="12">
        <f>+'VARIEDADES JOSE GREGORIO HERNAN'!$E$3</f>
        <v>0</v>
      </c>
      <c r="G320" s="12">
        <f>+'VARIEDADES JOSE GREGORIO HERNAN'!$F$3</f>
        <v>0</v>
      </c>
      <c r="H320" s="10">
        <f>+'VARIEDADES JOSE GREGORIO HERNAN'!$G$3</f>
        <v>0</v>
      </c>
      <c r="I320" t="s">
        <v>122</v>
      </c>
      <c r="J320" s="80">
        <f>MAX('VARIEDADES JOSE GREGORIO HERNAN'!A2:A1000)</f>
        <v>46049</v>
      </c>
    </row>
    <row r="321" spans="1:10" ht="19.95" customHeight="1" x14ac:dyDescent="0.3">
      <c r="A321" s="14"/>
      <c r="B321" s="119" t="str">
        <f>+'VARIEDADES GAVI'!$B$1</f>
        <v>VARIEDADES GAVI</v>
      </c>
      <c r="C321" s="67">
        <f>+'VARIEDADES GAVI'!$B$2</f>
        <v>0</v>
      </c>
      <c r="D321" s="9">
        <f>+'VARIEDADES GAVI'!$C$3</f>
        <v>22.709999999999994</v>
      </c>
      <c r="E321" s="11">
        <f>+'VARIEDADES GAVI'!$D$3</f>
        <v>0</v>
      </c>
      <c r="F321" s="12">
        <f>+'VARIEDADES GAVI'!$E$3</f>
        <v>0</v>
      </c>
      <c r="G321" s="12">
        <f>+'VARIEDADES GAVI'!$F$3</f>
        <v>0</v>
      </c>
      <c r="H321" s="10">
        <f>+'VARIEDADES GAVI'!$G$3</f>
        <v>0</v>
      </c>
      <c r="I321" t="s">
        <v>121</v>
      </c>
    </row>
    <row r="322" spans="1:10" ht="19.95" customHeight="1" x14ac:dyDescent="0.3">
      <c r="A322" s="14">
        <v>300</v>
      </c>
      <c r="B322" s="58" t="str">
        <f>+'VARIEDADES LA TURENA'!$B$1</f>
        <v>VARIEDADES LA TURENA</v>
      </c>
      <c r="C322" s="67" t="str">
        <f>+'VARIEDADES LA TURENA'!$B$2</f>
        <v>WENDY PEREZ</v>
      </c>
      <c r="D322" s="9">
        <f>+'VARIEDADES LA TURENA'!$C$3</f>
        <v>-0.46000000000000085</v>
      </c>
      <c r="E322" s="11">
        <f>+'VARIEDADES LA TURENA'!$D$3</f>
        <v>0</v>
      </c>
      <c r="F322" s="12">
        <f>+'VARIEDADES LA TURENA'!$E$3</f>
        <v>0</v>
      </c>
      <c r="G322" s="12">
        <f>+'VARIEDADES LA TURENA'!$F$3</f>
        <v>0</v>
      </c>
      <c r="H322" s="10">
        <f>+'VARIEDADES LA TURENA'!$G$3</f>
        <v>0</v>
      </c>
      <c r="I322" t="s">
        <v>122</v>
      </c>
      <c r="J322" s="80">
        <f>MAX('VARIEDADES LA TURENA'!A2:A1000)</f>
        <v>46036</v>
      </c>
    </row>
    <row r="323" spans="1:10" ht="19.95" customHeight="1" x14ac:dyDescent="0.3">
      <c r="A323" s="14">
        <v>301</v>
      </c>
      <c r="B323" s="58" t="str">
        <f>+'VARIEDADES LUCY'!$B$1</f>
        <v>VARIEDADES LUCY</v>
      </c>
      <c r="C323" s="67" t="str">
        <f>+'VARIEDADES LUCY'!$B$2</f>
        <v>LUCERO</v>
      </c>
      <c r="D323" s="9">
        <f>+'VARIEDADES LUCY'!$C$3</f>
        <v>131.32</v>
      </c>
      <c r="E323" s="11">
        <f>+'VARIEDADES LUCY'!$D$3</f>
        <v>0</v>
      </c>
      <c r="F323" s="12">
        <f>+'VARIEDADES LUCY'!$E$3</f>
        <v>0</v>
      </c>
      <c r="G323" s="12">
        <f>+'VARIEDADES LUCY'!$F$3</f>
        <v>0</v>
      </c>
      <c r="H323" s="10">
        <f>+'VARIEDADES LUCY'!$G$3</f>
        <v>0</v>
      </c>
      <c r="I323" t="s">
        <v>122</v>
      </c>
      <c r="J323" s="80">
        <f>MAX('VARIEDADES LUCY'!A2:A1000)</f>
        <v>46006</v>
      </c>
    </row>
    <row r="324" spans="1:10" ht="19.95" customHeight="1" x14ac:dyDescent="0.3">
      <c r="A324" s="14">
        <v>302</v>
      </c>
      <c r="B324" s="58" t="str">
        <f>+'VERIHUZKA ARELLANO'!$B$1</f>
        <v>VERIHUZKA ARELLANO</v>
      </c>
      <c r="C324" s="67">
        <f>+'VERIHUZKA ARELLANO'!$B$2</f>
        <v>0</v>
      </c>
      <c r="D324" s="9">
        <f>+'VERIHUZKA ARELLANO'!$C$3</f>
        <v>277.12</v>
      </c>
      <c r="E324" s="11">
        <f>+'VERIHUZKA ARELLANO'!$D$3</f>
        <v>0</v>
      </c>
      <c r="F324" s="12">
        <f>+'VERIHUZKA ARELLANO'!$E$3</f>
        <v>0</v>
      </c>
      <c r="G324" s="12">
        <f>+'VERIHUZKA ARELLANO'!$F$3</f>
        <v>0</v>
      </c>
      <c r="H324" s="10">
        <f>+'VERIHUZKA ARELLANO'!$G$3</f>
        <v>0</v>
      </c>
      <c r="I324" t="s">
        <v>121</v>
      </c>
      <c r="J324" s="80">
        <f>MAX('VERIHUZKA ARELLANO'!A2:A1000)</f>
        <v>46050</v>
      </c>
    </row>
    <row r="325" spans="1:10" ht="19.95" customHeight="1" x14ac:dyDescent="0.3">
      <c r="A325" s="14">
        <v>303</v>
      </c>
      <c r="B325" s="58" t="str">
        <f>+'VILLA ROSSI'!$B$1</f>
        <v>VILLA ROSSI</v>
      </c>
      <c r="C325" s="67" t="str">
        <f>+'VILLA ROSSI'!$B$2</f>
        <v>JESUS VILLAMIZAR</v>
      </c>
      <c r="D325" s="9">
        <f>+'VILLA ROSSI'!$C$3</f>
        <v>50.650000000000027</v>
      </c>
      <c r="E325" s="11">
        <f>+'VILLA ROSSI'!$D$3</f>
        <v>0</v>
      </c>
      <c r="F325" s="12">
        <f>+'VILLA ROSSI'!$E$3</f>
        <v>0</v>
      </c>
      <c r="G325" s="12">
        <f>+'VILLA ROSSI'!$F$3</f>
        <v>0</v>
      </c>
      <c r="H325" s="10">
        <f>+'VILLA ROSSI'!$G$3</f>
        <v>0</v>
      </c>
      <c r="I325" t="s">
        <v>122</v>
      </c>
      <c r="J325" s="80">
        <f>MAX('VILLA ROSSI'!A2:A1000)</f>
        <v>46049</v>
      </c>
    </row>
    <row r="326" spans="1:10" ht="19.95" customHeight="1" x14ac:dyDescent="0.3">
      <c r="A326" s="14">
        <v>304</v>
      </c>
      <c r="B326" s="58" t="str">
        <f>+'VIVERES BR'!$B$1</f>
        <v>VIVERES BR</v>
      </c>
      <c r="C326" s="67" t="str">
        <f>+'VIVERES BR'!$B$2</f>
        <v>YULY RUIZ</v>
      </c>
      <c r="D326" s="9">
        <f>+'VIVERES BR'!$C$3</f>
        <v>0</v>
      </c>
      <c r="E326" s="11">
        <f>+'VIVERES BR'!$D$3</f>
        <v>0</v>
      </c>
      <c r="F326" s="12">
        <f>+'VIVERES BR'!$E$3</f>
        <v>0</v>
      </c>
      <c r="G326" s="12">
        <f>+'VIVERES BR'!$F$3</f>
        <v>0</v>
      </c>
      <c r="H326" s="10">
        <f>+'VIVERES BR'!$G$3</f>
        <v>0</v>
      </c>
      <c r="I326" t="s">
        <v>122</v>
      </c>
      <c r="J326" s="80">
        <f>MAX('VIVERES BR'!A2:A1000)</f>
        <v>46017</v>
      </c>
    </row>
    <row r="327" spans="1:10" ht="19.95" customHeight="1" x14ac:dyDescent="0.3">
      <c r="A327" s="14">
        <v>305</v>
      </c>
      <c r="B327" s="58" t="str">
        <f>+'VIVERES CASTELLANA'!$B$1</f>
        <v>VIVERES CASTELLANA</v>
      </c>
      <c r="C327" s="67" t="str">
        <f>+'VIVERES CASTELLANA'!$B$2</f>
        <v>ROSANGELA CASTELLANO</v>
      </c>
      <c r="D327" s="9">
        <f>+'VIVERES CASTELLANA'!$C$3</f>
        <v>-0.9100000000000108</v>
      </c>
      <c r="E327" s="11">
        <f>+'VIVERES CASTELLANA'!$D$3</f>
        <v>0</v>
      </c>
      <c r="F327" s="12">
        <f>+'VIVERES CASTELLANA'!$E$3</f>
        <v>0</v>
      </c>
      <c r="G327" s="12">
        <f>+'VIVERES CASTELLANA'!$F$3</f>
        <v>0</v>
      </c>
      <c r="H327" s="10">
        <f>+'VIVERES CASTELLANA'!$G$3</f>
        <v>0</v>
      </c>
      <c r="I327" t="s">
        <v>122</v>
      </c>
      <c r="J327" s="80">
        <f>MAX('VIVERES CASTELLANA'!A2:A1000)</f>
        <v>46056</v>
      </c>
    </row>
    <row r="328" spans="1:10" ht="19.95" customHeight="1" x14ac:dyDescent="0.3">
      <c r="A328" s="14">
        <v>306</v>
      </c>
      <c r="B328" s="58" t="str">
        <f>+WAPUBLICIDAD!$B$1</f>
        <v>WAPUBLICIDAD</v>
      </c>
      <c r="C328" s="67">
        <f>+WAPUBLICIDAD!$B$2</f>
        <v>0</v>
      </c>
      <c r="D328" s="9">
        <f>+WAPUBLICIDAD!$C$3</f>
        <v>0</v>
      </c>
      <c r="E328" s="11">
        <f>+WAPUBLICIDAD!$D$3</f>
        <v>2</v>
      </c>
      <c r="F328" s="12">
        <f>+WAPUBLICIDAD!$E$3</f>
        <v>0</v>
      </c>
      <c r="G328" s="12">
        <f>+WAPUBLICIDAD!$F$3</f>
        <v>0</v>
      </c>
      <c r="H328" s="10">
        <f>+WAPUBLICIDAD!$G$3</f>
        <v>0</v>
      </c>
      <c r="I328" t="s">
        <v>121</v>
      </c>
      <c r="J328" s="80">
        <f>MAX(WAPUBLICIDAD!A2:A1000)</f>
        <v>45904</v>
      </c>
    </row>
    <row r="329" spans="1:10" ht="19.95" customHeight="1" x14ac:dyDescent="0.3">
      <c r="A329" s="14">
        <v>307</v>
      </c>
      <c r="B329" s="58" t="str">
        <f>+'WILFREDO BAYONA'!$B$1</f>
        <v>WILFREDO BAYONA</v>
      </c>
      <c r="C329" s="67">
        <f>+'WILFREDO BAYONA'!$B$2</f>
        <v>0</v>
      </c>
      <c r="D329" s="9">
        <f>+'WILFREDO BAYONA'!$C$3</f>
        <v>24.750000000000004</v>
      </c>
      <c r="E329" s="11">
        <f>+'WILFREDO BAYONA'!$D$3</f>
        <v>7</v>
      </c>
      <c r="F329" s="12">
        <f>+'WILFREDO BAYONA'!$E$3</f>
        <v>0</v>
      </c>
      <c r="G329" s="12">
        <f>+'WILFREDO BAYONA'!$F$3</f>
        <v>0</v>
      </c>
      <c r="H329" s="10">
        <f>+'WILFREDO BAYONA'!$G$3</f>
        <v>0</v>
      </c>
      <c r="I329" t="s">
        <v>128</v>
      </c>
      <c r="J329" s="80">
        <f>MAX('WILFREDO BAYONA'!A2:A1000)</f>
        <v>46045</v>
      </c>
    </row>
    <row r="330" spans="1:10" ht="19.95" customHeight="1" x14ac:dyDescent="0.3">
      <c r="A330" s="14">
        <v>308</v>
      </c>
      <c r="B330" s="58" t="str">
        <f>+'YARITZA PEREZ'!$B$1</f>
        <v>YARITZA PEREZ</v>
      </c>
      <c r="C330" s="67">
        <f>+'YARITZA PEREZ'!$B$2</f>
        <v>0</v>
      </c>
      <c r="D330" s="9">
        <f>+'YARITZA PEREZ'!$C$3</f>
        <v>38.082999999999998</v>
      </c>
      <c r="E330" s="11">
        <f>+'YARITZA PEREZ'!$D$3</f>
        <v>0</v>
      </c>
      <c r="F330" s="12">
        <f>+'YARITZA PEREZ'!$E$3</f>
        <v>1</v>
      </c>
      <c r="G330" s="12">
        <f>+'YARITZA PEREZ'!$F$3</f>
        <v>0</v>
      </c>
      <c r="H330" s="10">
        <f>+'YARITZA PEREZ'!$G$3</f>
        <v>0</v>
      </c>
      <c r="I330" t="s">
        <v>122</v>
      </c>
      <c r="J330" s="80">
        <f>MAX('YARITZA PEREZ'!A2:A1000)</f>
        <v>46050</v>
      </c>
    </row>
    <row r="331" spans="1:10" ht="19.95" customHeight="1" x14ac:dyDescent="0.3">
      <c r="A331" s="14">
        <v>309</v>
      </c>
      <c r="B331" s="58" t="str">
        <f>+'FRUTERIA YASMIN'!$B$1</f>
        <v>FRUTERIA YASMIN</v>
      </c>
      <c r="C331" s="67" t="str">
        <f>+'FRUTERIA YASMIN'!$B$2</f>
        <v>YASMIN LABRADOR</v>
      </c>
      <c r="D331" s="9">
        <f>+'FRUTERIA YASMIN'!$C$3</f>
        <v>0</v>
      </c>
      <c r="E331" s="11">
        <f>+'FRUTERIA YASMIN'!$D$3</f>
        <v>0</v>
      </c>
      <c r="F331" s="12">
        <f>+'FRUTERIA YASMIN'!$E$3</f>
        <v>0</v>
      </c>
      <c r="G331" s="12">
        <f>+'FRUTERIA YASMIN'!$F$3</f>
        <v>0</v>
      </c>
      <c r="H331" s="10">
        <f>+'FRUTERIA YASMIN'!$G$3</f>
        <v>0</v>
      </c>
      <c r="I331" t="s">
        <v>122</v>
      </c>
      <c r="J331" s="80">
        <f>MAX('FRUTERIA YASMIN'!A2:A1000)</f>
        <v>0</v>
      </c>
    </row>
    <row r="332" spans="1:10" ht="19.95" customHeight="1" x14ac:dyDescent="0.3">
      <c r="A332" s="14">
        <v>310</v>
      </c>
      <c r="B332" s="58" t="str">
        <f>+'YIMY POLAR'!$B$1</f>
        <v>YIMY POLAR</v>
      </c>
      <c r="C332" s="67">
        <f>+'YIMY POLAR'!$B$2</f>
        <v>0</v>
      </c>
      <c r="D332" s="9">
        <f>+'YIMY POLAR'!$C$3</f>
        <v>-2.8999999999999986</v>
      </c>
      <c r="E332" s="11">
        <f>+'YIMY POLAR'!$D$3</f>
        <v>0</v>
      </c>
      <c r="F332" s="12">
        <f>+'YIMY POLAR'!$E$3</f>
        <v>0</v>
      </c>
      <c r="G332" s="12">
        <f>+'YIMY POLAR'!$F$3</f>
        <v>0</v>
      </c>
      <c r="H332" s="10">
        <f>+'YIMY POLAR'!$G$3</f>
        <v>0</v>
      </c>
      <c r="I332" t="s">
        <v>126</v>
      </c>
      <c r="J332" s="80">
        <f>MAX('YIMY POLAR'!A2:A1000)</f>
        <v>45940</v>
      </c>
    </row>
    <row r="333" spans="1:10" ht="19.95" customHeight="1" x14ac:dyDescent="0.3">
      <c r="A333" s="14">
        <v>311</v>
      </c>
      <c r="B333" s="58" t="str">
        <f>+'YEAH EXPRESS'!$B$1</f>
        <v>YEAH EXPRESS</v>
      </c>
      <c r="C333" s="67" t="str">
        <f>+'YEAH EXPRESS'!$B$2</f>
        <v>EDUARDO CHANAGA</v>
      </c>
      <c r="D333" s="9">
        <f>+'YEAH EXPRESS'!$C$3</f>
        <v>6.7399999999999523</v>
      </c>
      <c r="E333" s="11">
        <f>+'YEAH EXPRESS'!$D$3</f>
        <v>0</v>
      </c>
      <c r="F333" s="12">
        <f>+'YEAH EXPRESS'!$E$3</f>
        <v>0</v>
      </c>
      <c r="G333" s="12">
        <f>+'YEAH EXPRESS'!$F$3</f>
        <v>0</v>
      </c>
      <c r="H333" s="10">
        <f>+'YEAH EXPRESS'!$G$3</f>
        <v>0</v>
      </c>
      <c r="I333" t="s">
        <v>122</v>
      </c>
      <c r="J333" s="80">
        <f>MAX('YEAH EXPRESS'!A2:A1000)</f>
        <v>46055</v>
      </c>
    </row>
    <row r="334" spans="1:10" ht="19.95" customHeight="1" x14ac:dyDescent="0.3">
      <c r="A334" s="14">
        <v>312</v>
      </c>
      <c r="B334" s="58" t="str">
        <f>+'YEIMO CHARCUTERIA'!$B$1</f>
        <v>YEIMO CHARCUTERIA</v>
      </c>
      <c r="C334" s="67">
        <f>+'YEIMO CHARCUTERIA'!$B$2</f>
        <v>0</v>
      </c>
      <c r="D334" s="9">
        <f>+'YEIMO CHARCUTERIA'!$C$3</f>
        <v>58.050000000000082</v>
      </c>
      <c r="E334" s="11">
        <f>+'YEIMO CHARCUTERIA'!$D$3</f>
        <v>0</v>
      </c>
      <c r="F334" s="12">
        <f>+'YEIMO CHARCUTERIA'!$E$3</f>
        <v>0</v>
      </c>
      <c r="G334" s="12">
        <f>+'YEIMO CHARCUTERIA'!$F$3</f>
        <v>0</v>
      </c>
      <c r="H334" s="10">
        <f>+'YEIMO CHARCUTERIA'!$G$3</f>
        <v>0</v>
      </c>
      <c r="I334" t="s">
        <v>121</v>
      </c>
      <c r="J334" s="80">
        <f>MAX('YEIMO CHARCUTERIA'!A2:A1000)</f>
        <v>46056</v>
      </c>
    </row>
    <row r="335" spans="1:10" ht="19.95" customHeight="1" x14ac:dyDescent="0.3">
      <c r="A335" s="14">
        <v>313</v>
      </c>
      <c r="B335" s="58" t="str">
        <f>+'YONATAN NINO'!$B$1</f>
        <v>YONATAN NINO</v>
      </c>
      <c r="C335" s="67">
        <f>+'YONATAN NINO'!$B$2</f>
        <v>0</v>
      </c>
      <c r="D335" s="9">
        <f>+'YONATAN NINO'!$C$3</f>
        <v>28.91</v>
      </c>
      <c r="E335" s="11">
        <f>+'YONATAN NINO'!$D$3</f>
        <v>5</v>
      </c>
      <c r="F335" s="12">
        <f>+'YONATAN NINO'!$E$3</f>
        <v>0</v>
      </c>
      <c r="G335" s="12">
        <f>+'YONATAN NINO'!$F$3</f>
        <v>0</v>
      </c>
      <c r="H335" s="10">
        <f>+'YONATAN NINO'!$G$3</f>
        <v>0</v>
      </c>
      <c r="I335" t="s">
        <v>128</v>
      </c>
      <c r="J335" s="80">
        <f>MAX('YONATAN NINO'!A2:A1000)</f>
        <v>46043</v>
      </c>
    </row>
    <row r="336" spans="1:10" ht="19.95" customHeight="1" x14ac:dyDescent="0.3">
      <c r="A336" s="14">
        <v>314</v>
      </c>
      <c r="B336" s="58" t="str">
        <f>+'YORLEY GELVES'!$B$1</f>
        <v>YORLEY GELVES</v>
      </c>
      <c r="C336" s="67">
        <f>+'YORLEY GELVES'!$B$2</f>
        <v>0</v>
      </c>
      <c r="D336" s="9">
        <f>+'YORLEY GELVES'!$C$3</f>
        <v>74.430000000000021</v>
      </c>
      <c r="E336" s="11">
        <f>+'YORLEY GELVES'!$D$3</f>
        <v>0</v>
      </c>
      <c r="F336" s="12">
        <f>+'YORLEY GELVES'!$E$3</f>
        <v>0</v>
      </c>
      <c r="G336" s="12">
        <f>+'YORLEY GELVES'!$F$3</f>
        <v>0</v>
      </c>
      <c r="H336" s="10">
        <f>+'YORLEY GELVES'!$G$3</f>
        <v>0</v>
      </c>
      <c r="I336" t="s">
        <v>121</v>
      </c>
      <c r="J336" s="80">
        <f>MAX('YORLEY GELVES'!A2:A1000)</f>
        <v>45945</v>
      </c>
    </row>
    <row r="337" spans="1:11" ht="19.95" customHeight="1" x14ac:dyDescent="0.3">
      <c r="A337" s="14">
        <v>315</v>
      </c>
      <c r="B337" s="58" t="str">
        <f>+'YURAIMA MORENO'!$B$1</f>
        <v>YURAIMA MORENO</v>
      </c>
      <c r="C337" s="67">
        <f>+'YURAIMA MORENO'!$B$2</f>
        <v>0</v>
      </c>
      <c r="D337" s="9">
        <f>+'YURAIMA MORENO'!$C$3</f>
        <v>42.48</v>
      </c>
      <c r="E337" s="11">
        <f>+'YURAIMA MORENO'!$D$3</f>
        <v>1</v>
      </c>
      <c r="F337" s="12">
        <f>+'YURAIMA MORENO'!$E$3</f>
        <v>0</v>
      </c>
      <c r="G337" s="12">
        <f>+'YURAIMA MORENO'!$F$3</f>
        <v>0</v>
      </c>
      <c r="H337" s="10">
        <f>+'YURAIMA MORENO'!$G$3</f>
        <v>0</v>
      </c>
      <c r="I337" t="s">
        <v>121</v>
      </c>
      <c r="J337" s="80">
        <f>MAX('YURAIMA MORENO'!A2:A1000)</f>
        <v>46052</v>
      </c>
    </row>
    <row r="338" spans="1:11" ht="19.95" customHeight="1" x14ac:dyDescent="0.3">
      <c r="A338" s="14">
        <v>316</v>
      </c>
      <c r="B338" s="58" t="str">
        <f>+'ZONA CAFE'!$B$1</f>
        <v>ZONA CAFE</v>
      </c>
      <c r="C338" s="67" t="str">
        <f>+'ZONA CAFE'!$B$2</f>
        <v>ROSA CAZAR</v>
      </c>
      <c r="D338" s="9">
        <f>+'ZONA CAFE'!$C$3</f>
        <v>41.769999999999996</v>
      </c>
      <c r="E338" s="11">
        <f>+'ZONA CAFE'!$D$3</f>
        <v>0</v>
      </c>
      <c r="F338" s="12">
        <f>+'ZONA CAFE'!$E$3</f>
        <v>0</v>
      </c>
      <c r="G338" s="12">
        <f>+'ZONA CAFE'!$F$3</f>
        <v>0</v>
      </c>
      <c r="H338" s="10">
        <f>+'ZONA CAFE'!$G$3</f>
        <v>0</v>
      </c>
      <c r="I338" t="s">
        <v>122</v>
      </c>
      <c r="J338" s="80">
        <f>MAX('ZONA CAFE'!A2:A1000)</f>
        <v>46056</v>
      </c>
    </row>
    <row r="339" spans="1:11" ht="19.95" customHeight="1" x14ac:dyDescent="0.3">
      <c r="A339" s="14">
        <v>317</v>
      </c>
      <c r="B339" s="58" t="str">
        <f>+'ZONA FRESS'!$B$1</f>
        <v>ZONA FRESH</v>
      </c>
      <c r="C339" s="67">
        <f>+'ZONA FRESS'!$B$2</f>
        <v>0</v>
      </c>
      <c r="D339" s="9">
        <f>+'ZONA FRESS'!$C$3</f>
        <v>2835.1327999999994</v>
      </c>
      <c r="E339" s="11">
        <f>+'ZONA FRESS'!$D$3</f>
        <v>0</v>
      </c>
      <c r="F339" s="12">
        <f>+'ZONA FRESS'!$E$3</f>
        <v>0</v>
      </c>
      <c r="G339" s="12">
        <f>+'ZONA FRESS'!$F$3</f>
        <v>0</v>
      </c>
      <c r="H339" s="10">
        <f>+'ZONA FRESS'!$G$3</f>
        <v>0</v>
      </c>
      <c r="I339" t="s">
        <v>126</v>
      </c>
      <c r="J339" s="80">
        <f>MAX('ZONA FRESS'!A2:A1000)</f>
        <v>46056</v>
      </c>
    </row>
    <row r="340" spans="1:11" ht="19.95" customHeight="1" x14ac:dyDescent="0.3">
      <c r="A340" s="14">
        <v>318</v>
      </c>
      <c r="B340" s="58" t="str">
        <f>+'ZONA MARKET'!$B$1</f>
        <v>ZONA MARKET</v>
      </c>
      <c r="C340" s="67">
        <f>+'ZONA MARKET'!$B$2</f>
        <v>0</v>
      </c>
      <c r="D340" s="9">
        <f>+'ZONA MARKET'!$C$3</f>
        <v>306.0999999999998</v>
      </c>
      <c r="E340" s="11">
        <f>+'ZONA MARKET'!$D$3</f>
        <v>0</v>
      </c>
      <c r="F340" s="12">
        <f>+'ZONA MARKET'!$E$3</f>
        <v>0</v>
      </c>
      <c r="G340" s="12">
        <f>+'ZONA MARKET'!$F$3</f>
        <v>0</v>
      </c>
      <c r="H340" s="10">
        <f>+'ZONA MARKET'!$G$3</f>
        <v>0</v>
      </c>
      <c r="I340" t="s">
        <v>121</v>
      </c>
      <c r="J340" s="80">
        <f>MAX('ZONA MARKET'!A2:A1000)</f>
        <v>46035</v>
      </c>
      <c r="K340" s="75" t="s">
        <v>519</v>
      </c>
    </row>
    <row r="341" spans="1:11" ht="19.95" customHeight="1" x14ac:dyDescent="0.3">
      <c r="A341" s="14"/>
      <c r="B341" s="48"/>
      <c r="C341" s="48"/>
      <c r="D341" s="9"/>
      <c r="E341" s="11"/>
      <c r="F341" s="12"/>
      <c r="G341" s="12"/>
    </row>
    <row r="342" spans="1:11" ht="19.95" customHeight="1" x14ac:dyDescent="0.3">
      <c r="B342" s="48"/>
      <c r="C342" s="48"/>
      <c r="D342" s="9"/>
      <c r="E342" s="11"/>
      <c r="F342" s="12"/>
      <c r="G342" s="12"/>
    </row>
    <row r="343" spans="1:11" ht="19.95" customHeight="1" x14ac:dyDescent="0.3">
      <c r="B343" s="48"/>
      <c r="C343" s="48"/>
      <c r="D343" s="9"/>
      <c r="E343" s="11"/>
      <c r="F343" s="12"/>
      <c r="G343" s="12"/>
    </row>
    <row r="344" spans="1:11" ht="19.95" customHeight="1" x14ac:dyDescent="0.3">
      <c r="B344" s="48"/>
      <c r="C344" s="48"/>
      <c r="D344" s="9"/>
      <c r="E344" s="11"/>
      <c r="F344" s="12"/>
      <c r="G344" s="12"/>
    </row>
    <row r="345" spans="1:11" ht="19.95" customHeight="1" x14ac:dyDescent="0.3">
      <c r="B345" s="48"/>
      <c r="C345" s="48"/>
      <c r="D345" s="9"/>
      <c r="E345" s="11"/>
      <c r="F345" s="12"/>
      <c r="G345" s="12"/>
    </row>
    <row r="346" spans="1:11" ht="19.95" customHeight="1" x14ac:dyDescent="0.3">
      <c r="B346" s="48"/>
      <c r="C346" s="48"/>
      <c r="D346" s="9"/>
      <c r="E346" s="11"/>
      <c r="F346" s="12"/>
      <c r="G346" s="12"/>
    </row>
    <row r="347" spans="1:11" ht="19.95" customHeight="1" x14ac:dyDescent="0.3">
      <c r="B347" s="48"/>
      <c r="C347" s="48"/>
      <c r="D347" s="9"/>
      <c r="E347" s="11"/>
      <c r="F347" s="12"/>
      <c r="G347" s="12"/>
    </row>
    <row r="348" spans="1:11" ht="19.95" customHeight="1" x14ac:dyDescent="0.3">
      <c r="B348" s="48"/>
      <c r="C348" s="48"/>
      <c r="D348" s="9"/>
      <c r="E348" s="11"/>
      <c r="F348" s="12"/>
      <c r="G348" s="12"/>
    </row>
    <row r="349" spans="1:11" ht="19.95" customHeight="1" x14ac:dyDescent="0.3">
      <c r="B349" s="48"/>
      <c r="C349" s="48"/>
      <c r="D349" s="9"/>
      <c r="E349" s="11"/>
      <c r="F349" s="12"/>
      <c r="G349" s="12"/>
    </row>
    <row r="350" spans="1:11" ht="19.95" customHeight="1" x14ac:dyDescent="0.3">
      <c r="B350" s="48"/>
      <c r="C350" s="48"/>
      <c r="D350" s="9"/>
      <c r="E350" s="11"/>
      <c r="F350" s="12"/>
      <c r="G350" s="12"/>
    </row>
    <row r="351" spans="1:11" ht="19.95" customHeight="1" x14ac:dyDescent="0.3">
      <c r="B351" s="48"/>
      <c r="C351" s="48"/>
      <c r="D351" s="9"/>
      <c r="E351" s="11"/>
      <c r="F351" s="12"/>
      <c r="G351" s="12"/>
    </row>
    <row r="352" spans="1:11" ht="19.95" customHeight="1" x14ac:dyDescent="0.3">
      <c r="B352" s="48"/>
      <c r="C352" s="48"/>
      <c r="D352" s="9"/>
      <c r="E352" s="11"/>
      <c r="F352" s="12"/>
      <c r="G352" s="12"/>
    </row>
    <row r="353" spans="2:7" ht="19.95" customHeight="1" x14ac:dyDescent="0.3">
      <c r="B353" s="48"/>
      <c r="C353" s="48"/>
      <c r="D353" s="9"/>
      <c r="E353" s="11"/>
      <c r="F353" s="12"/>
      <c r="G353" s="12"/>
    </row>
    <row r="354" spans="2:7" ht="19.95" customHeight="1" x14ac:dyDescent="0.3">
      <c r="B354" s="48"/>
      <c r="C354" s="48"/>
      <c r="D354" s="9"/>
      <c r="E354" s="11"/>
      <c r="F354" s="12"/>
      <c r="G354" s="12"/>
    </row>
    <row r="355" spans="2:7" ht="19.95" customHeight="1" x14ac:dyDescent="0.3">
      <c r="B355" s="48"/>
      <c r="C355" s="48"/>
      <c r="D355" s="9"/>
      <c r="E355" s="11"/>
      <c r="F355" s="12"/>
      <c r="G355" s="12"/>
    </row>
    <row r="356" spans="2:7" ht="19.95" customHeight="1" x14ac:dyDescent="0.3">
      <c r="B356" s="48"/>
      <c r="C356" s="48"/>
      <c r="D356" s="9"/>
      <c r="E356" s="11"/>
      <c r="F356" s="12"/>
      <c r="G356" s="12"/>
    </row>
    <row r="357" spans="2:7" ht="19.95" customHeight="1" x14ac:dyDescent="0.3">
      <c r="B357" s="48"/>
      <c r="C357" s="48"/>
      <c r="D357" s="9"/>
      <c r="E357" s="11"/>
      <c r="F357" s="12"/>
      <c r="G357" s="12"/>
    </row>
    <row r="358" spans="2:7" ht="19.95" customHeight="1" x14ac:dyDescent="0.3">
      <c r="B358" s="48"/>
      <c r="C358" s="48"/>
      <c r="D358" s="9"/>
      <c r="E358" s="11"/>
      <c r="F358" s="12"/>
      <c r="G358" s="12"/>
    </row>
    <row r="359" spans="2:7" ht="19.95" customHeight="1" x14ac:dyDescent="0.3">
      <c r="B359" s="48"/>
      <c r="C359" s="48"/>
      <c r="D359" s="9"/>
      <c r="E359" s="11"/>
      <c r="F359" s="12"/>
      <c r="G359" s="12"/>
    </row>
    <row r="360" spans="2:7" ht="19.95" customHeight="1" x14ac:dyDescent="0.3">
      <c r="B360" s="48"/>
      <c r="C360" s="48"/>
      <c r="D360" s="9"/>
      <c r="E360" s="11"/>
      <c r="F360" s="12"/>
      <c r="G360" s="12"/>
    </row>
    <row r="361" spans="2:7" ht="19.95" customHeight="1" x14ac:dyDescent="0.3">
      <c r="B361" s="48"/>
      <c r="C361" s="48"/>
      <c r="D361" s="9"/>
      <c r="E361" s="11"/>
      <c r="F361" s="12"/>
      <c r="G361" s="12"/>
    </row>
    <row r="362" spans="2:7" ht="19.95" customHeight="1" x14ac:dyDescent="0.3">
      <c r="B362" s="48"/>
      <c r="C362" s="48"/>
      <c r="D362" s="9"/>
      <c r="E362" s="11"/>
      <c r="F362" s="12"/>
      <c r="G362" s="12"/>
    </row>
    <row r="363" spans="2:7" ht="19.95" customHeight="1" x14ac:dyDescent="0.3">
      <c r="B363" s="48"/>
      <c r="C363" s="48"/>
      <c r="D363" s="9"/>
      <c r="E363" s="11"/>
      <c r="F363" s="12"/>
      <c r="G363" s="12"/>
    </row>
    <row r="364" spans="2:7" ht="19.95" customHeight="1" x14ac:dyDescent="0.3">
      <c r="B364" s="48"/>
      <c r="C364" s="48"/>
      <c r="D364" s="9"/>
      <c r="E364" s="11"/>
      <c r="F364" s="12"/>
      <c r="G364" s="12"/>
    </row>
    <row r="365" spans="2:7" ht="19.95" customHeight="1" x14ac:dyDescent="0.3">
      <c r="B365" s="48"/>
      <c r="C365" s="48"/>
      <c r="D365" s="9"/>
      <c r="E365" s="11"/>
      <c r="F365" s="12"/>
      <c r="G365" s="12"/>
    </row>
    <row r="366" spans="2:7" ht="19.95" customHeight="1" x14ac:dyDescent="0.3">
      <c r="B366" s="48"/>
      <c r="C366" s="48"/>
      <c r="D366" s="9"/>
      <c r="E366" s="11"/>
      <c r="F366" s="12"/>
      <c r="G366" s="12"/>
    </row>
    <row r="367" spans="2:7" ht="19.95" customHeight="1" x14ac:dyDescent="0.3">
      <c r="B367" s="48"/>
      <c r="C367" s="48"/>
      <c r="D367" s="9"/>
      <c r="E367" s="11"/>
      <c r="F367" s="12"/>
      <c r="G367" s="12"/>
    </row>
    <row r="368" spans="2:7" ht="19.95" customHeight="1" x14ac:dyDescent="0.3">
      <c r="B368" s="48"/>
      <c r="C368" s="48"/>
      <c r="D368" s="9"/>
      <c r="E368" s="11"/>
      <c r="F368" s="12"/>
      <c r="G368" s="12"/>
    </row>
    <row r="369" spans="2:7" ht="19.95" customHeight="1" x14ac:dyDescent="0.3">
      <c r="B369" s="48"/>
      <c r="C369" s="48"/>
      <c r="D369" s="9"/>
      <c r="E369" s="11"/>
      <c r="F369" s="12"/>
      <c r="G369" s="12"/>
    </row>
    <row r="370" spans="2:7" ht="19.95" customHeight="1" x14ac:dyDescent="0.3">
      <c r="B370" s="48"/>
      <c r="C370" s="48"/>
      <c r="D370" s="9"/>
      <c r="E370" s="11"/>
      <c r="F370" s="12"/>
      <c r="G370" s="12"/>
    </row>
    <row r="371" spans="2:7" ht="19.95" customHeight="1" x14ac:dyDescent="0.3">
      <c r="B371" s="48"/>
      <c r="C371" s="48"/>
      <c r="D371" s="9"/>
      <c r="E371" s="11"/>
      <c r="F371" s="12"/>
      <c r="G371" s="12"/>
    </row>
    <row r="372" spans="2:7" ht="19.95" customHeight="1" x14ac:dyDescent="0.3">
      <c r="B372" s="48"/>
      <c r="C372" s="48"/>
      <c r="D372" s="9"/>
      <c r="E372" s="11"/>
      <c r="F372" s="12"/>
      <c r="G372" s="12"/>
    </row>
    <row r="373" spans="2:7" ht="19.95" customHeight="1" x14ac:dyDescent="0.3">
      <c r="B373" s="48"/>
      <c r="C373" s="48"/>
      <c r="D373" s="9"/>
      <c r="E373" s="11"/>
      <c r="F373" s="12"/>
      <c r="G373" s="12"/>
    </row>
    <row r="374" spans="2:7" ht="19.95" customHeight="1" x14ac:dyDescent="0.3">
      <c r="B374" s="48"/>
      <c r="C374" s="48"/>
      <c r="D374" s="9"/>
      <c r="E374" s="11"/>
      <c r="F374" s="12"/>
      <c r="G374" s="12"/>
    </row>
    <row r="375" spans="2:7" ht="19.95" customHeight="1" x14ac:dyDescent="0.3">
      <c r="B375" s="48"/>
      <c r="C375" s="48"/>
      <c r="D375" s="9"/>
      <c r="E375" s="11"/>
      <c r="F375" s="12"/>
      <c r="G375" s="12"/>
    </row>
    <row r="376" spans="2:7" ht="19.95" customHeight="1" x14ac:dyDescent="0.3">
      <c r="B376" s="48"/>
      <c r="C376" s="48"/>
      <c r="D376" s="9"/>
      <c r="E376" s="11"/>
      <c r="F376" s="12"/>
      <c r="G376" s="12"/>
    </row>
    <row r="377" spans="2:7" ht="19.95" customHeight="1" x14ac:dyDescent="0.3">
      <c r="B377" s="48"/>
      <c r="C377" s="48"/>
      <c r="D377" s="9"/>
      <c r="E377" s="11"/>
      <c r="F377" s="12"/>
      <c r="G377" s="12"/>
    </row>
    <row r="378" spans="2:7" ht="19.95" customHeight="1" x14ac:dyDescent="0.3">
      <c r="B378" s="48"/>
      <c r="C378" s="48"/>
      <c r="D378" s="9"/>
      <c r="E378" s="11"/>
      <c r="F378" s="12"/>
      <c r="G378" s="12"/>
    </row>
    <row r="379" spans="2:7" ht="19.95" customHeight="1" x14ac:dyDescent="0.3">
      <c r="B379" s="48"/>
      <c r="C379" s="48"/>
      <c r="D379" s="9"/>
      <c r="E379" s="11"/>
      <c r="F379" s="12"/>
      <c r="G379" s="12"/>
    </row>
    <row r="380" spans="2:7" ht="19.95" customHeight="1" x14ac:dyDescent="0.3">
      <c r="B380" s="48"/>
      <c r="C380" s="48"/>
      <c r="D380" s="9"/>
      <c r="E380" s="11"/>
      <c r="F380" s="12"/>
      <c r="G380" s="12"/>
    </row>
    <row r="381" spans="2:7" ht="19.95" customHeight="1" x14ac:dyDescent="0.3">
      <c r="B381" s="48"/>
      <c r="C381" s="48"/>
      <c r="D381" s="9"/>
      <c r="E381" s="11"/>
      <c r="F381" s="12"/>
      <c r="G381" s="12"/>
    </row>
    <row r="382" spans="2:7" ht="19.95" customHeight="1" x14ac:dyDescent="0.3">
      <c r="B382" s="48"/>
      <c r="C382" s="48"/>
      <c r="D382" s="9"/>
      <c r="E382" s="11"/>
      <c r="F382" s="12"/>
      <c r="G382" s="12"/>
    </row>
    <row r="383" spans="2:7" ht="19.95" customHeight="1" x14ac:dyDescent="0.3">
      <c r="B383" s="48"/>
      <c r="C383" s="48"/>
      <c r="D383" s="9"/>
      <c r="E383" s="11"/>
      <c r="F383" s="12"/>
      <c r="G383" s="12"/>
    </row>
    <row r="384" spans="2:7" ht="19.95" customHeight="1" x14ac:dyDescent="0.3">
      <c r="B384" s="48"/>
      <c r="C384" s="48"/>
      <c r="D384" s="9"/>
      <c r="E384" s="11"/>
      <c r="F384" s="12"/>
      <c r="G384" s="12"/>
    </row>
    <row r="385" spans="2:7" ht="19.95" customHeight="1" x14ac:dyDescent="0.3">
      <c r="B385" s="48"/>
      <c r="C385" s="48"/>
      <c r="D385" s="9"/>
      <c r="E385" s="11"/>
      <c r="F385" s="12"/>
      <c r="G385" s="12"/>
    </row>
    <row r="386" spans="2:7" ht="19.95" customHeight="1" x14ac:dyDescent="0.3">
      <c r="B386" s="48"/>
      <c r="C386" s="48"/>
      <c r="D386" s="9"/>
      <c r="E386" s="11"/>
      <c r="F386" s="12"/>
      <c r="G386" s="12"/>
    </row>
    <row r="387" spans="2:7" ht="19.95" customHeight="1" x14ac:dyDescent="0.3">
      <c r="B387" s="48"/>
      <c r="C387" s="48"/>
      <c r="D387" s="9"/>
      <c r="E387" s="11"/>
      <c r="F387" s="12"/>
      <c r="G387" s="12"/>
    </row>
    <row r="388" spans="2:7" ht="19.95" customHeight="1" x14ac:dyDescent="0.3">
      <c r="B388" s="48"/>
      <c r="C388" s="48"/>
      <c r="D388" s="9"/>
      <c r="E388" s="11"/>
      <c r="F388" s="12"/>
      <c r="G388" s="12"/>
    </row>
    <row r="389" spans="2:7" ht="19.95" customHeight="1" x14ac:dyDescent="0.3">
      <c r="B389" s="48"/>
      <c r="C389" s="48"/>
      <c r="D389" s="9"/>
      <c r="E389" s="11"/>
      <c r="F389" s="12"/>
      <c r="G389" s="12"/>
    </row>
    <row r="390" spans="2:7" ht="19.95" customHeight="1" x14ac:dyDescent="0.3">
      <c r="B390" s="48"/>
      <c r="C390" s="48"/>
      <c r="D390" s="9"/>
      <c r="E390" s="11"/>
      <c r="F390" s="12"/>
      <c r="G390" s="12"/>
    </row>
    <row r="391" spans="2:7" ht="19.95" customHeight="1" x14ac:dyDescent="0.3">
      <c r="B391" s="48"/>
      <c r="C391" s="48"/>
      <c r="D391" s="9"/>
      <c r="E391" s="11"/>
      <c r="F391" s="12"/>
      <c r="G391" s="12"/>
    </row>
    <row r="392" spans="2:7" ht="19.95" customHeight="1" x14ac:dyDescent="0.3">
      <c r="B392" s="48"/>
      <c r="C392" s="48"/>
      <c r="D392" s="9"/>
      <c r="E392" s="11"/>
      <c r="F392" s="12"/>
      <c r="G392" s="12"/>
    </row>
    <row r="393" spans="2:7" ht="19.95" customHeight="1" x14ac:dyDescent="0.3">
      <c r="B393" s="48"/>
      <c r="C393" s="48"/>
      <c r="D393" s="9"/>
      <c r="E393" s="11"/>
      <c r="F393" s="12"/>
      <c r="G393" s="12"/>
    </row>
    <row r="394" spans="2:7" ht="19.95" customHeight="1" x14ac:dyDescent="0.3">
      <c r="B394" s="48"/>
      <c r="C394" s="48"/>
      <c r="D394" s="9"/>
      <c r="E394" s="11"/>
      <c r="F394" s="12"/>
      <c r="G394" s="12"/>
    </row>
    <row r="395" spans="2:7" ht="19.95" customHeight="1" x14ac:dyDescent="0.3">
      <c r="B395" s="48"/>
      <c r="C395" s="48"/>
      <c r="D395" s="9"/>
      <c r="E395" s="11"/>
      <c r="F395" s="12"/>
      <c r="G395" s="12"/>
    </row>
    <row r="396" spans="2:7" ht="19.95" customHeight="1" x14ac:dyDescent="0.3">
      <c r="B396" s="48"/>
      <c r="C396" s="48"/>
      <c r="D396" s="9"/>
      <c r="E396" s="11"/>
      <c r="F396" s="12"/>
      <c r="G396" s="12"/>
    </row>
    <row r="397" spans="2:7" ht="19.95" customHeight="1" x14ac:dyDescent="0.3">
      <c r="B397" s="48"/>
      <c r="C397" s="48"/>
      <c r="D397" s="9"/>
      <c r="E397" s="11"/>
      <c r="F397" s="12"/>
      <c r="G397" s="12"/>
    </row>
    <row r="398" spans="2:7" ht="19.95" customHeight="1" x14ac:dyDescent="0.3">
      <c r="B398" s="48"/>
      <c r="C398" s="48"/>
      <c r="D398" s="9"/>
      <c r="E398" s="11"/>
      <c r="F398" s="12"/>
      <c r="G398" s="12"/>
    </row>
    <row r="399" spans="2:7" ht="19.95" customHeight="1" x14ac:dyDescent="0.3">
      <c r="B399" s="48"/>
      <c r="C399" s="48"/>
      <c r="D399" s="9"/>
      <c r="E399" s="11"/>
      <c r="F399" s="12"/>
      <c r="G399" s="12"/>
    </row>
    <row r="400" spans="2:7" ht="19.95" customHeight="1" x14ac:dyDescent="0.3">
      <c r="B400" s="48"/>
      <c r="C400" s="48"/>
      <c r="D400" s="9"/>
      <c r="E400" s="11"/>
      <c r="F400" s="12"/>
      <c r="G400" s="12"/>
    </row>
    <row r="401" spans="2:7" ht="19.95" customHeight="1" x14ac:dyDescent="0.3">
      <c r="B401" s="48"/>
      <c r="C401" s="48"/>
      <c r="D401" s="9"/>
      <c r="E401" s="11"/>
      <c r="F401" s="12"/>
      <c r="G401" s="12"/>
    </row>
    <row r="402" spans="2:7" ht="19.95" customHeight="1" x14ac:dyDescent="0.3">
      <c r="B402" s="48"/>
      <c r="C402" s="48"/>
      <c r="D402" s="9"/>
      <c r="E402" s="11"/>
      <c r="F402" s="12"/>
      <c r="G402" s="12"/>
    </row>
    <row r="403" spans="2:7" ht="19.95" customHeight="1" x14ac:dyDescent="0.3">
      <c r="B403" s="48"/>
      <c r="C403" s="48"/>
      <c r="D403" s="9"/>
      <c r="E403" s="11"/>
      <c r="F403" s="12"/>
      <c r="G403" s="12"/>
    </row>
    <row r="404" spans="2:7" ht="19.95" customHeight="1" x14ac:dyDescent="0.3">
      <c r="B404" s="48"/>
      <c r="C404" s="48"/>
      <c r="D404" s="9"/>
      <c r="E404" s="11"/>
      <c r="F404" s="12"/>
      <c r="G404" s="12"/>
    </row>
    <row r="405" spans="2:7" ht="19.95" customHeight="1" x14ac:dyDescent="0.3">
      <c r="B405" s="48"/>
      <c r="C405" s="48"/>
      <c r="D405" s="9"/>
      <c r="E405" s="11"/>
      <c r="F405" s="12"/>
      <c r="G405" s="12"/>
    </row>
    <row r="406" spans="2:7" ht="19.95" customHeight="1" x14ac:dyDescent="0.3">
      <c r="B406" s="48"/>
      <c r="C406" s="48"/>
      <c r="D406" s="9"/>
      <c r="E406" s="11"/>
      <c r="F406" s="12"/>
      <c r="G406" s="12"/>
    </row>
    <row r="407" spans="2:7" ht="19.95" customHeight="1" x14ac:dyDescent="0.3">
      <c r="B407" s="48"/>
      <c r="C407" s="48"/>
      <c r="D407" s="9"/>
      <c r="E407" s="11"/>
      <c r="F407" s="12"/>
      <c r="G407" s="12"/>
    </row>
    <row r="408" spans="2:7" ht="19.95" customHeight="1" x14ac:dyDescent="0.3">
      <c r="B408" s="48"/>
      <c r="C408" s="48"/>
      <c r="D408" s="9"/>
      <c r="E408" s="11"/>
      <c r="F408" s="12"/>
      <c r="G408" s="12"/>
    </row>
    <row r="409" spans="2:7" ht="19.95" customHeight="1" x14ac:dyDescent="0.3">
      <c r="B409" s="48"/>
      <c r="C409" s="48"/>
      <c r="D409" s="9"/>
      <c r="E409" s="11"/>
      <c r="F409" s="12"/>
      <c r="G409" s="12"/>
    </row>
    <row r="410" spans="2:7" ht="19.95" customHeight="1" x14ac:dyDescent="0.3">
      <c r="B410" s="48"/>
      <c r="C410" s="48"/>
      <c r="D410" s="9"/>
      <c r="E410" s="11"/>
      <c r="F410" s="12"/>
      <c r="G410" s="12"/>
    </row>
    <row r="411" spans="2:7" ht="19.95" customHeight="1" x14ac:dyDescent="0.3">
      <c r="B411" s="48"/>
      <c r="C411" s="48"/>
      <c r="D411" s="9"/>
      <c r="E411" s="11"/>
      <c r="F411" s="12"/>
      <c r="G411" s="12"/>
    </row>
    <row r="412" spans="2:7" ht="19.95" customHeight="1" x14ac:dyDescent="0.3">
      <c r="B412" s="48"/>
      <c r="C412" s="48"/>
      <c r="D412" s="9"/>
      <c r="E412" s="11"/>
      <c r="F412" s="12"/>
      <c r="G412" s="12"/>
    </row>
    <row r="413" spans="2:7" ht="19.95" customHeight="1" x14ac:dyDescent="0.3">
      <c r="B413" s="48"/>
      <c r="C413" s="48"/>
      <c r="D413" s="9"/>
      <c r="E413" s="11"/>
      <c r="F413" s="12"/>
      <c r="G413" s="12"/>
    </row>
    <row r="414" spans="2:7" ht="19.95" customHeight="1" x14ac:dyDescent="0.3">
      <c r="B414" s="48"/>
      <c r="C414" s="48"/>
      <c r="D414" s="9"/>
      <c r="E414" s="11"/>
      <c r="F414" s="12"/>
      <c r="G414" s="12"/>
    </row>
    <row r="415" spans="2:7" ht="19.95" customHeight="1" x14ac:dyDescent="0.3">
      <c r="B415" s="48"/>
      <c r="C415" s="48"/>
      <c r="D415" s="9"/>
      <c r="E415" s="11"/>
      <c r="F415" s="12"/>
      <c r="G415" s="12"/>
    </row>
    <row r="416" spans="2:7" ht="19.95" customHeight="1" x14ac:dyDescent="0.3">
      <c r="B416" s="48"/>
      <c r="C416" s="48"/>
      <c r="D416" s="9"/>
      <c r="E416" s="11"/>
      <c r="F416" s="12"/>
      <c r="G416" s="12"/>
    </row>
    <row r="417" spans="1:7" ht="19.95" customHeight="1" x14ac:dyDescent="0.3">
      <c r="B417" s="48"/>
      <c r="C417" s="48"/>
      <c r="D417" s="9"/>
      <c r="E417" s="11"/>
      <c r="F417" s="12"/>
      <c r="G417" s="12"/>
    </row>
    <row r="418" spans="1:7" ht="19.95" customHeight="1" x14ac:dyDescent="0.3">
      <c r="B418" s="48"/>
      <c r="C418" s="48"/>
      <c r="D418" s="9"/>
      <c r="E418" s="11"/>
      <c r="F418" s="12"/>
      <c r="G418" s="12"/>
    </row>
    <row r="419" spans="1:7" ht="19.95" customHeight="1" x14ac:dyDescent="0.3">
      <c r="B419" s="48"/>
      <c r="C419" s="48"/>
      <c r="D419" s="9"/>
      <c r="E419" s="11"/>
      <c r="F419" s="12"/>
      <c r="G419" s="12"/>
    </row>
    <row r="420" spans="1:7" ht="19.95" customHeight="1" x14ac:dyDescent="0.3">
      <c r="B420" s="48"/>
      <c r="C420" s="48"/>
      <c r="D420" s="9"/>
      <c r="E420" s="11"/>
      <c r="F420" s="12"/>
      <c r="G420" s="12"/>
    </row>
    <row r="421" spans="1:7" ht="19.95" customHeight="1" x14ac:dyDescent="0.3">
      <c r="B421" s="48"/>
      <c r="C421" s="48"/>
      <c r="D421" s="9"/>
      <c r="E421" s="11"/>
      <c r="F421" s="12"/>
      <c r="G421" s="12"/>
    </row>
    <row r="422" spans="1:7" ht="19.95" customHeight="1" x14ac:dyDescent="0.3">
      <c r="B422" s="48"/>
      <c r="C422" s="48"/>
      <c r="D422" s="9"/>
      <c r="E422" s="11"/>
      <c r="F422" s="12"/>
      <c r="G422" s="12"/>
    </row>
    <row r="423" spans="1:7" ht="19.95" customHeight="1" x14ac:dyDescent="0.3">
      <c r="B423" s="48"/>
      <c r="C423" s="48"/>
      <c r="D423" s="9"/>
      <c r="E423" s="11"/>
      <c r="F423" s="12"/>
      <c r="G423" s="12"/>
    </row>
    <row r="424" spans="1:7" ht="19.95" customHeight="1" x14ac:dyDescent="0.3">
      <c r="B424" s="48"/>
      <c r="C424" s="48"/>
      <c r="D424" s="9"/>
      <c r="E424" s="11"/>
      <c r="F424" s="12"/>
      <c r="G424" s="12"/>
    </row>
    <row r="425" spans="1:7" ht="19.95" customHeight="1" x14ac:dyDescent="0.3">
      <c r="B425" s="48"/>
      <c r="C425" s="48"/>
      <c r="D425" s="9"/>
      <c r="E425" s="11"/>
      <c r="F425" s="12"/>
      <c r="G425" s="12"/>
    </row>
    <row r="426" spans="1:7" ht="19.95" customHeight="1" x14ac:dyDescent="0.3">
      <c r="B426" s="48"/>
      <c r="C426" s="48"/>
      <c r="D426" s="9"/>
      <c r="E426" s="11"/>
      <c r="F426" s="12"/>
      <c r="G426" s="12"/>
    </row>
    <row r="427" spans="1:7" ht="19.95" customHeight="1" x14ac:dyDescent="0.3">
      <c r="B427" s="48"/>
      <c r="C427" s="48"/>
      <c r="D427" s="9"/>
      <c r="E427" s="11"/>
      <c r="F427" s="12"/>
      <c r="G427" s="12"/>
    </row>
    <row r="428" spans="1:7" ht="19.95" customHeight="1" x14ac:dyDescent="0.3">
      <c r="B428" s="48"/>
      <c r="C428" s="48"/>
      <c r="D428" s="9"/>
      <c r="E428" s="11"/>
      <c r="F428" s="12"/>
      <c r="G428" s="12"/>
    </row>
    <row r="429" spans="1:7" ht="19.95" customHeight="1" x14ac:dyDescent="0.3">
      <c r="B429" s="48"/>
      <c r="C429" s="48"/>
      <c r="D429" s="9"/>
      <c r="E429" s="11"/>
      <c r="F429" s="12"/>
      <c r="G429" s="12"/>
    </row>
    <row r="430" spans="1:7" ht="19.95" customHeight="1" x14ac:dyDescent="0.3">
      <c r="B430" s="48"/>
      <c r="C430" s="48"/>
      <c r="D430" s="9"/>
      <c r="E430" s="11"/>
      <c r="F430" s="12"/>
      <c r="G430" s="12"/>
    </row>
    <row r="431" spans="1:7" ht="19.95" customHeight="1" x14ac:dyDescent="0.3">
      <c r="A431" s="7"/>
      <c r="D431" s="9"/>
      <c r="E431" s="11"/>
      <c r="F431" s="12"/>
      <c r="G431" s="12"/>
    </row>
    <row r="432" spans="1:7" ht="19.95" customHeight="1" x14ac:dyDescent="0.3">
      <c r="D432" s="9"/>
      <c r="E432" s="11"/>
      <c r="F432" s="12"/>
      <c r="G432" s="12"/>
    </row>
    <row r="433" spans="1:7" ht="19.95" customHeight="1" x14ac:dyDescent="0.3">
      <c r="D433" s="9"/>
      <c r="E433" s="11"/>
      <c r="F433" s="12"/>
      <c r="G433" s="12"/>
    </row>
    <row r="434" spans="1:7" ht="19.95" customHeight="1" x14ac:dyDescent="0.3">
      <c r="A434" s="7"/>
      <c r="D434" s="9"/>
      <c r="E434" s="11"/>
      <c r="F434" s="12"/>
      <c r="G434" s="12"/>
    </row>
    <row r="435" spans="1:7" ht="19.95" customHeight="1" x14ac:dyDescent="0.3">
      <c r="A435" s="7"/>
      <c r="D435" s="9"/>
      <c r="E435" s="11"/>
      <c r="F435" s="12"/>
      <c r="G435" s="12"/>
    </row>
    <row r="436" spans="1:7" ht="19.95" customHeight="1" x14ac:dyDescent="0.3">
      <c r="D436" s="9"/>
      <c r="E436" s="11"/>
      <c r="F436" s="12"/>
      <c r="G436" s="12"/>
    </row>
    <row r="437" spans="1:7" ht="19.95" customHeight="1" x14ac:dyDescent="0.3">
      <c r="D437" s="9"/>
      <c r="E437" s="11"/>
      <c r="F437" s="12"/>
      <c r="G437" s="12"/>
    </row>
    <row r="438" spans="1:7" ht="19.95" customHeight="1" x14ac:dyDescent="0.3">
      <c r="A438" s="7"/>
      <c r="D438" s="9"/>
      <c r="E438" s="11"/>
      <c r="F438" s="12"/>
      <c r="G438" s="12"/>
    </row>
    <row r="439" spans="1:7" ht="19.95" customHeight="1" x14ac:dyDescent="0.3">
      <c r="A439" s="7"/>
      <c r="D439" s="9"/>
      <c r="E439" s="11"/>
      <c r="F439" s="12"/>
      <c r="G439" s="12"/>
    </row>
    <row r="440" spans="1:7" ht="19.95" customHeight="1" x14ac:dyDescent="0.3">
      <c r="D440" s="9"/>
      <c r="E440" s="11"/>
      <c r="F440" s="12"/>
      <c r="G440" s="12"/>
    </row>
    <row r="441" spans="1:7" ht="19.95" customHeight="1" x14ac:dyDescent="0.3">
      <c r="D441" s="9"/>
      <c r="E441" s="11"/>
      <c r="F441" s="12"/>
      <c r="G441" s="12"/>
    </row>
    <row r="442" spans="1:7" ht="19.95" customHeight="1" x14ac:dyDescent="0.3">
      <c r="A442" s="7"/>
      <c r="D442" s="9"/>
      <c r="E442" s="11"/>
      <c r="F442" s="12"/>
      <c r="G442" s="12"/>
    </row>
    <row r="443" spans="1:7" ht="19.95" customHeight="1" x14ac:dyDescent="0.3">
      <c r="A443" s="7"/>
      <c r="D443" s="9"/>
      <c r="E443" s="11"/>
      <c r="F443" s="12"/>
      <c r="G443" s="12"/>
    </row>
    <row r="444" spans="1:7" ht="19.95" customHeight="1" x14ac:dyDescent="0.3">
      <c r="D444" s="9"/>
      <c r="E444" s="11"/>
      <c r="F444" s="12"/>
      <c r="G444" s="12"/>
    </row>
    <row r="445" spans="1:7" ht="19.95" customHeight="1" x14ac:dyDescent="0.3">
      <c r="D445" s="9"/>
      <c r="E445" s="11"/>
      <c r="F445" s="12"/>
      <c r="G445" s="12"/>
    </row>
    <row r="446" spans="1:7" ht="19.95" customHeight="1" x14ac:dyDescent="0.3">
      <c r="A446" s="7"/>
      <c r="D446" s="9"/>
      <c r="E446" s="11"/>
      <c r="F446" s="12"/>
      <c r="G446" s="12"/>
    </row>
    <row r="447" spans="1:7" ht="19.95" customHeight="1" x14ac:dyDescent="0.3">
      <c r="A447" s="7"/>
      <c r="D447" s="9"/>
      <c r="E447" s="11"/>
      <c r="F447" s="12"/>
      <c r="G447" s="12"/>
    </row>
    <row r="448" spans="1:7" ht="19.95" customHeight="1" x14ac:dyDescent="0.3">
      <c r="D448" s="9"/>
      <c r="E448" s="11"/>
      <c r="F448" s="12"/>
      <c r="G448" s="12"/>
    </row>
    <row r="449" spans="1:7" ht="19.95" customHeight="1" x14ac:dyDescent="0.3">
      <c r="D449" s="9"/>
      <c r="E449" s="11"/>
      <c r="F449" s="12"/>
      <c r="G449" s="12"/>
    </row>
    <row r="450" spans="1:7" ht="19.95" customHeight="1" x14ac:dyDescent="0.3">
      <c r="A450" s="7"/>
      <c r="D450" s="9"/>
      <c r="E450" s="11"/>
      <c r="F450" s="12"/>
      <c r="G450" s="12"/>
    </row>
    <row r="451" spans="1:7" ht="19.95" customHeight="1" x14ac:dyDescent="0.3">
      <c r="A451" s="7"/>
      <c r="D451" s="9"/>
      <c r="E451" s="11"/>
      <c r="F451" s="12"/>
      <c r="G451" s="12"/>
    </row>
    <row r="452" spans="1:7" ht="19.95" customHeight="1" x14ac:dyDescent="0.3">
      <c r="D452" s="9"/>
      <c r="E452" s="11"/>
      <c r="F452" s="12"/>
      <c r="G452" s="12"/>
    </row>
    <row r="453" spans="1:7" ht="19.95" customHeight="1" x14ac:dyDescent="0.3">
      <c r="D453" s="9"/>
      <c r="E453" s="11"/>
      <c r="F453" s="12"/>
      <c r="G453" s="12"/>
    </row>
    <row r="454" spans="1:7" ht="19.95" customHeight="1" x14ac:dyDescent="0.3">
      <c r="A454" s="7"/>
      <c r="D454" s="9"/>
      <c r="E454" s="11"/>
      <c r="F454" s="12"/>
      <c r="G454" s="12"/>
    </row>
    <row r="455" spans="1:7" ht="19.95" customHeight="1" x14ac:dyDescent="0.3">
      <c r="A455" s="7"/>
      <c r="D455" s="9"/>
      <c r="E455" s="11"/>
      <c r="F455" s="12"/>
      <c r="G455" s="12"/>
    </row>
    <row r="456" spans="1:7" ht="19.95" customHeight="1" x14ac:dyDescent="0.3">
      <c r="D456" s="9"/>
      <c r="E456" s="11"/>
      <c r="F456" s="12"/>
      <c r="G456" s="12"/>
    </row>
    <row r="457" spans="1:7" ht="19.95" customHeight="1" x14ac:dyDescent="0.3">
      <c r="D457" s="9"/>
      <c r="E457" s="11"/>
      <c r="F457" s="12"/>
      <c r="G457" s="12"/>
    </row>
    <row r="458" spans="1:7" ht="19.95" customHeight="1" x14ac:dyDescent="0.3">
      <c r="A458" s="7"/>
      <c r="D458" s="9"/>
      <c r="E458" s="11"/>
      <c r="F458" s="12"/>
      <c r="G458" s="12"/>
    </row>
    <row r="459" spans="1:7" ht="19.95" customHeight="1" x14ac:dyDescent="0.3">
      <c r="A459" s="7"/>
      <c r="D459" s="9"/>
      <c r="E459" s="11"/>
      <c r="F459" s="12"/>
      <c r="G459" s="12"/>
    </row>
    <row r="460" spans="1:7" ht="19.95" customHeight="1" x14ac:dyDescent="0.3">
      <c r="D460" s="9"/>
      <c r="E460" s="11"/>
      <c r="F460" s="12"/>
      <c r="G460" s="12"/>
    </row>
    <row r="461" spans="1:7" ht="19.95" customHeight="1" x14ac:dyDescent="0.3">
      <c r="D461" s="9"/>
      <c r="E461" s="11"/>
      <c r="F461" s="12"/>
      <c r="G461" s="12"/>
    </row>
    <row r="462" spans="1:7" ht="19.95" customHeight="1" x14ac:dyDescent="0.3">
      <c r="A462" s="7"/>
      <c r="D462" s="9"/>
      <c r="E462" s="11"/>
      <c r="F462" s="12"/>
      <c r="G462" s="12"/>
    </row>
    <row r="463" spans="1:7" ht="19.95" customHeight="1" x14ac:dyDescent="0.3">
      <c r="A463" s="7"/>
      <c r="D463" s="9"/>
      <c r="E463" s="11"/>
      <c r="F463" s="12"/>
      <c r="G463" s="12"/>
    </row>
    <row r="464" spans="1:7" ht="19.95" customHeight="1" x14ac:dyDescent="0.3">
      <c r="A464" s="7"/>
      <c r="D464" s="9"/>
      <c r="E464" s="11"/>
      <c r="F464" s="12"/>
      <c r="G464" s="12"/>
    </row>
    <row r="465" spans="1:7" ht="19.95" customHeight="1" x14ac:dyDescent="0.3">
      <c r="D465" s="9"/>
      <c r="E465" s="11"/>
      <c r="F465" s="12"/>
      <c r="G465" s="12"/>
    </row>
    <row r="466" spans="1:7" ht="19.95" customHeight="1" x14ac:dyDescent="0.3">
      <c r="D466" s="9"/>
      <c r="E466" s="11"/>
      <c r="F466" s="12"/>
      <c r="G466" s="12"/>
    </row>
    <row r="467" spans="1:7" ht="19.95" customHeight="1" x14ac:dyDescent="0.3">
      <c r="A467" s="7"/>
      <c r="D467" s="9"/>
      <c r="E467" s="11"/>
      <c r="F467" s="12"/>
      <c r="G467" s="12"/>
    </row>
    <row r="468" spans="1:7" ht="19.95" customHeight="1" x14ac:dyDescent="0.3">
      <c r="A468" s="7"/>
      <c r="D468" s="9"/>
      <c r="E468" s="11"/>
      <c r="F468" s="12"/>
      <c r="G468" s="12"/>
    </row>
    <row r="469" spans="1:7" ht="19.95" customHeight="1" x14ac:dyDescent="0.3">
      <c r="D469" s="9"/>
      <c r="E469" s="11"/>
      <c r="F469" s="12"/>
      <c r="G469" s="12"/>
    </row>
    <row r="470" spans="1:7" ht="19.95" customHeight="1" x14ac:dyDescent="0.3">
      <c r="D470" s="9"/>
      <c r="E470" s="11"/>
      <c r="F470" s="12"/>
      <c r="G470" s="12"/>
    </row>
    <row r="471" spans="1:7" ht="19.95" customHeight="1" x14ac:dyDescent="0.3">
      <c r="A471" s="7"/>
      <c r="D471" s="9"/>
      <c r="E471" s="11"/>
      <c r="F471" s="12"/>
      <c r="G471" s="12"/>
    </row>
    <row r="472" spans="1:7" ht="19.95" customHeight="1" x14ac:dyDescent="0.3">
      <c r="A472" s="7"/>
      <c r="D472" s="9"/>
      <c r="E472" s="11"/>
      <c r="F472" s="12"/>
      <c r="G472" s="12"/>
    </row>
    <row r="473" spans="1:7" ht="19.95" customHeight="1" x14ac:dyDescent="0.3">
      <c r="D473" s="9"/>
      <c r="E473" s="11"/>
      <c r="F473" s="12"/>
      <c r="G473" s="12"/>
    </row>
    <row r="474" spans="1:7" ht="19.95" customHeight="1" x14ac:dyDescent="0.3">
      <c r="D474" s="9"/>
      <c r="E474" s="11"/>
      <c r="F474" s="12"/>
      <c r="G474" s="12"/>
    </row>
    <row r="475" spans="1:7" ht="19.95" customHeight="1" x14ac:dyDescent="0.3">
      <c r="A475" s="7"/>
      <c r="D475" s="9"/>
      <c r="E475" s="11"/>
      <c r="F475" s="12"/>
      <c r="G475" s="12"/>
    </row>
    <row r="476" spans="1:7" ht="19.95" customHeight="1" x14ac:dyDescent="0.3">
      <c r="A476" s="7"/>
      <c r="D476" s="9"/>
      <c r="E476" s="11"/>
      <c r="F476" s="12"/>
      <c r="G476" s="12"/>
    </row>
    <row r="477" spans="1:7" ht="19.95" customHeight="1" x14ac:dyDescent="0.3">
      <c r="D477" s="9"/>
      <c r="E477" s="11"/>
      <c r="F477" s="12"/>
      <c r="G477" s="12"/>
    </row>
    <row r="478" spans="1:7" ht="19.95" customHeight="1" x14ac:dyDescent="0.3">
      <c r="D478" s="9"/>
      <c r="E478" s="11"/>
      <c r="F478" s="12"/>
      <c r="G478" s="12"/>
    </row>
    <row r="479" spans="1:7" ht="19.95" customHeight="1" x14ac:dyDescent="0.3">
      <c r="A479" s="7"/>
      <c r="D479" s="9"/>
      <c r="E479" s="11"/>
      <c r="F479" s="12"/>
      <c r="G479" s="12"/>
    </row>
    <row r="480" spans="1:7" ht="19.95" customHeight="1" x14ac:dyDescent="0.3">
      <c r="A480" s="7"/>
      <c r="D480" s="9"/>
      <c r="E480" s="11"/>
      <c r="F480" s="12"/>
      <c r="G480" s="12"/>
    </row>
    <row r="481" spans="1:7" ht="19.95" customHeight="1" x14ac:dyDescent="0.3">
      <c r="D481" s="9"/>
      <c r="E481" s="11"/>
      <c r="F481" s="12"/>
      <c r="G481" s="12"/>
    </row>
    <row r="482" spans="1:7" ht="19.95" customHeight="1" x14ac:dyDescent="0.3">
      <c r="D482" s="9"/>
      <c r="E482" s="11"/>
      <c r="F482" s="12"/>
      <c r="G482" s="12"/>
    </row>
    <row r="483" spans="1:7" ht="19.95" customHeight="1" x14ac:dyDescent="0.3">
      <c r="A483" s="7"/>
      <c r="D483" s="9"/>
      <c r="E483" s="11"/>
      <c r="F483" s="12"/>
      <c r="G483" s="12"/>
    </row>
    <row r="484" spans="1:7" ht="19.95" customHeight="1" x14ac:dyDescent="0.3">
      <c r="A484" s="7"/>
      <c r="D484" s="9"/>
      <c r="E484" s="11"/>
      <c r="F484" s="12"/>
      <c r="G484" s="12"/>
    </row>
    <row r="485" spans="1:7" ht="19.95" customHeight="1" x14ac:dyDescent="0.3">
      <c r="D485" s="9"/>
      <c r="E485" s="11"/>
      <c r="F485" s="12"/>
      <c r="G485" s="12"/>
    </row>
    <row r="486" spans="1:7" ht="19.95" customHeight="1" x14ac:dyDescent="0.3">
      <c r="D486" s="9"/>
      <c r="E486" s="11"/>
      <c r="F486" s="12"/>
      <c r="G486" s="12"/>
    </row>
    <row r="487" spans="1:7" ht="19.95" customHeight="1" x14ac:dyDescent="0.3">
      <c r="A487" s="7"/>
      <c r="D487" s="9"/>
      <c r="E487" s="11"/>
      <c r="F487" s="12"/>
      <c r="G487" s="12"/>
    </row>
    <row r="488" spans="1:7" ht="19.95" customHeight="1" x14ac:dyDescent="0.3">
      <c r="A488" s="7"/>
      <c r="D488" s="9"/>
      <c r="E488" s="11"/>
      <c r="F488" s="12"/>
      <c r="G488" s="12"/>
    </row>
    <row r="489" spans="1:7" ht="19.95" customHeight="1" x14ac:dyDescent="0.3">
      <c r="D489" s="9"/>
      <c r="E489" s="11"/>
      <c r="F489" s="12"/>
      <c r="G489" s="12"/>
    </row>
    <row r="490" spans="1:7" ht="19.95" customHeight="1" x14ac:dyDescent="0.3">
      <c r="D490" s="9"/>
      <c r="E490" s="11"/>
      <c r="F490" s="12"/>
      <c r="G490" s="12"/>
    </row>
    <row r="491" spans="1:7" ht="19.95" customHeight="1" x14ac:dyDescent="0.3">
      <c r="A491" s="7"/>
      <c r="D491" s="9"/>
      <c r="E491" s="11"/>
      <c r="F491" s="12"/>
      <c r="G491" s="12"/>
    </row>
    <row r="492" spans="1:7" ht="19.95" customHeight="1" x14ac:dyDescent="0.3">
      <c r="A492" s="7"/>
      <c r="D492" s="9"/>
      <c r="E492" s="11"/>
      <c r="F492" s="12"/>
      <c r="G492" s="12"/>
    </row>
    <row r="493" spans="1:7" ht="19.95" customHeight="1" x14ac:dyDescent="0.3">
      <c r="A493" s="7"/>
      <c r="D493" s="9"/>
      <c r="E493" s="11"/>
      <c r="F493" s="12"/>
      <c r="G493" s="12"/>
    </row>
    <row r="494" spans="1:7" ht="19.95" customHeight="1" x14ac:dyDescent="0.3">
      <c r="D494" s="9"/>
      <c r="E494" s="11"/>
      <c r="F494" s="12"/>
      <c r="G494" s="12"/>
    </row>
    <row r="495" spans="1:7" ht="19.95" customHeight="1" x14ac:dyDescent="0.3">
      <c r="D495" s="9"/>
      <c r="E495" s="11"/>
      <c r="F495" s="12"/>
      <c r="G495" s="12"/>
    </row>
    <row r="496" spans="1:7" ht="19.95" customHeight="1" x14ac:dyDescent="0.3">
      <c r="A496" s="7"/>
      <c r="D496" s="9"/>
      <c r="E496" s="11"/>
      <c r="F496" s="12"/>
      <c r="G496" s="12"/>
    </row>
    <row r="497" spans="1:7" ht="19.95" customHeight="1" x14ac:dyDescent="0.3">
      <c r="A497" s="7"/>
      <c r="D497" s="9"/>
      <c r="E497" s="11"/>
      <c r="F497" s="12"/>
      <c r="G497" s="12"/>
    </row>
    <row r="498" spans="1:7" ht="19.95" customHeight="1" x14ac:dyDescent="0.3">
      <c r="D498" s="9"/>
      <c r="E498" s="11"/>
      <c r="F498" s="12"/>
      <c r="G498" s="12"/>
    </row>
    <row r="499" spans="1:7" ht="19.95" customHeight="1" x14ac:dyDescent="0.3">
      <c r="D499" s="9"/>
      <c r="E499" s="11"/>
      <c r="F499" s="12"/>
      <c r="G499" s="12"/>
    </row>
    <row r="500" spans="1:7" ht="19.95" customHeight="1" x14ac:dyDescent="0.3">
      <c r="A500" s="7"/>
      <c r="D500" s="9"/>
      <c r="E500" s="11"/>
      <c r="F500" s="12"/>
      <c r="G500" s="12"/>
    </row>
    <row r="501" spans="1:7" ht="19.95" customHeight="1" x14ac:dyDescent="0.3">
      <c r="A501" s="7"/>
      <c r="D501" s="9"/>
      <c r="E501" s="11"/>
      <c r="F501" s="12"/>
      <c r="G501" s="12"/>
    </row>
    <row r="502" spans="1:7" ht="19.95" customHeight="1" x14ac:dyDescent="0.3">
      <c r="D502" s="9"/>
      <c r="E502" s="11"/>
      <c r="F502" s="12"/>
      <c r="G502" s="12"/>
    </row>
    <row r="503" spans="1:7" ht="19.95" customHeight="1" x14ac:dyDescent="0.3">
      <c r="D503" s="9"/>
      <c r="E503" s="11"/>
      <c r="F503" s="12"/>
      <c r="G503" s="12"/>
    </row>
    <row r="504" spans="1:7" ht="19.95" customHeight="1" x14ac:dyDescent="0.3">
      <c r="A504" s="7"/>
      <c r="D504" s="9"/>
      <c r="E504" s="11"/>
      <c r="F504" s="12"/>
      <c r="G504" s="12"/>
    </row>
    <row r="505" spans="1:7" ht="19.95" customHeight="1" x14ac:dyDescent="0.3">
      <c r="A505" s="7"/>
      <c r="D505" s="9"/>
      <c r="E505" s="11"/>
      <c r="F505" s="12"/>
      <c r="G505" s="12"/>
    </row>
    <row r="506" spans="1:7" ht="19.95" customHeight="1" x14ac:dyDescent="0.3">
      <c r="D506" s="9"/>
      <c r="E506" s="11"/>
      <c r="F506" s="12"/>
      <c r="G506" s="12"/>
    </row>
    <row r="507" spans="1:7" ht="19.95" customHeight="1" x14ac:dyDescent="0.3">
      <c r="D507" s="9"/>
      <c r="E507" s="11"/>
      <c r="F507" s="12"/>
      <c r="G507" s="12"/>
    </row>
    <row r="508" spans="1:7" ht="19.95" customHeight="1" x14ac:dyDescent="0.3">
      <c r="A508" s="7"/>
      <c r="D508" s="9"/>
      <c r="E508" s="11"/>
      <c r="F508" s="12"/>
      <c r="G508" s="12"/>
    </row>
    <row r="509" spans="1:7" ht="19.95" customHeight="1" x14ac:dyDescent="0.3">
      <c r="A509" s="7"/>
      <c r="D509" s="9"/>
      <c r="E509" s="11"/>
      <c r="F509" s="12"/>
      <c r="G509" s="12"/>
    </row>
    <row r="510" spans="1:7" ht="19.95" customHeight="1" x14ac:dyDescent="0.3">
      <c r="D510" s="9"/>
      <c r="E510" s="11"/>
      <c r="F510" s="12"/>
      <c r="G510" s="12"/>
    </row>
    <row r="511" spans="1:7" ht="19.95" customHeight="1" x14ac:dyDescent="0.3">
      <c r="D511" s="9"/>
      <c r="E511" s="11"/>
      <c r="F511" s="12"/>
      <c r="G511" s="12"/>
    </row>
    <row r="512" spans="1:7" ht="19.95" customHeight="1" x14ac:dyDescent="0.3">
      <c r="A512" s="7"/>
      <c r="D512" s="9"/>
      <c r="E512" s="11"/>
      <c r="F512" s="12"/>
      <c r="G512" s="12"/>
    </row>
    <row r="513" spans="1:7" ht="19.95" customHeight="1" x14ac:dyDescent="0.3">
      <c r="A513" s="7"/>
      <c r="D513" s="9"/>
      <c r="E513" s="11"/>
      <c r="F513" s="12"/>
      <c r="G513" s="12"/>
    </row>
    <row r="514" spans="1:7" ht="19.95" customHeight="1" x14ac:dyDescent="0.3">
      <c r="D514" s="9"/>
      <c r="E514" s="11"/>
      <c r="F514" s="12"/>
      <c r="G514" s="12"/>
    </row>
    <row r="515" spans="1:7" ht="19.95" customHeight="1" x14ac:dyDescent="0.3">
      <c r="D515" s="9"/>
      <c r="E515" s="11"/>
      <c r="F515" s="12"/>
      <c r="G515" s="12"/>
    </row>
    <row r="516" spans="1:7" ht="19.95" customHeight="1" x14ac:dyDescent="0.3">
      <c r="A516" s="7"/>
      <c r="D516" s="9"/>
      <c r="E516" s="11"/>
      <c r="F516" s="12"/>
      <c r="G516" s="12"/>
    </row>
    <row r="517" spans="1:7" ht="19.95" customHeight="1" x14ac:dyDescent="0.3">
      <c r="A517" s="7"/>
      <c r="D517" s="9"/>
      <c r="E517" s="11"/>
      <c r="F517" s="12"/>
      <c r="G517" s="12"/>
    </row>
    <row r="518" spans="1:7" ht="19.95" customHeight="1" x14ac:dyDescent="0.3">
      <c r="D518" s="9"/>
      <c r="E518" s="11"/>
      <c r="F518" s="12"/>
      <c r="G518" s="12"/>
    </row>
    <row r="519" spans="1:7" ht="19.95" customHeight="1" x14ac:dyDescent="0.3">
      <c r="D519" s="9"/>
      <c r="E519" s="11"/>
      <c r="F519" s="12"/>
      <c r="G519" s="12"/>
    </row>
    <row r="520" spans="1:7" ht="19.95" customHeight="1" x14ac:dyDescent="0.3">
      <c r="A520" s="7"/>
      <c r="D520" s="9"/>
      <c r="E520" s="11"/>
      <c r="F520" s="12"/>
      <c r="G520" s="12"/>
    </row>
    <row r="521" spans="1:7" ht="19.95" customHeight="1" x14ac:dyDescent="0.3">
      <c r="A521" s="7"/>
      <c r="D521" s="9"/>
      <c r="E521" s="11"/>
      <c r="F521" s="12"/>
      <c r="G521" s="12"/>
    </row>
    <row r="522" spans="1:7" ht="19.95" customHeight="1" x14ac:dyDescent="0.3">
      <c r="D522" s="9"/>
      <c r="E522" s="11"/>
      <c r="F522" s="12"/>
      <c r="G522" s="12"/>
    </row>
    <row r="523" spans="1:7" ht="19.95" customHeight="1" x14ac:dyDescent="0.3">
      <c r="D523" s="9"/>
      <c r="E523" s="11"/>
      <c r="F523" s="12"/>
      <c r="G523" s="12"/>
    </row>
    <row r="524" spans="1:7" ht="19.95" customHeight="1" x14ac:dyDescent="0.3">
      <c r="A524" s="7"/>
      <c r="D524" s="9"/>
      <c r="E524" s="11"/>
      <c r="F524" s="12"/>
      <c r="G524" s="12"/>
    </row>
    <row r="525" spans="1:7" ht="19.95" customHeight="1" x14ac:dyDescent="0.3">
      <c r="A525" s="7"/>
      <c r="D525" s="9"/>
      <c r="E525" s="11"/>
      <c r="F525" s="12"/>
      <c r="G525" s="12"/>
    </row>
    <row r="526" spans="1:7" ht="19.95" customHeight="1" x14ac:dyDescent="0.3">
      <c r="D526" s="9"/>
      <c r="E526" s="11"/>
      <c r="F526" s="12"/>
      <c r="G526" s="12"/>
    </row>
    <row r="527" spans="1:7" ht="19.95" customHeight="1" x14ac:dyDescent="0.3">
      <c r="D527" s="9"/>
      <c r="E527" s="11"/>
      <c r="F527" s="12"/>
      <c r="G527" s="12"/>
    </row>
    <row r="528" spans="1:7" ht="19.95" customHeight="1" x14ac:dyDescent="0.3">
      <c r="A528" s="7"/>
      <c r="D528" s="9"/>
      <c r="E528" s="11"/>
      <c r="F528" s="12"/>
      <c r="G528" s="12"/>
    </row>
    <row r="529" spans="1:7" ht="19.95" customHeight="1" x14ac:dyDescent="0.3">
      <c r="A529" s="7"/>
      <c r="D529" s="9"/>
      <c r="E529" s="11"/>
      <c r="F529" s="12"/>
      <c r="G529" s="12"/>
    </row>
    <row r="530" spans="1:7" ht="19.95" customHeight="1" x14ac:dyDescent="0.3">
      <c r="A530" s="7"/>
      <c r="D530" s="9"/>
      <c r="E530" s="11"/>
      <c r="F530" s="12"/>
      <c r="G530" s="12"/>
    </row>
    <row r="531" spans="1:7" ht="19.95" customHeight="1" x14ac:dyDescent="0.3">
      <c r="D531" s="9"/>
      <c r="E531" s="11"/>
      <c r="F531" s="12"/>
      <c r="G531" s="12"/>
    </row>
    <row r="532" spans="1:7" ht="19.95" customHeight="1" x14ac:dyDescent="0.3">
      <c r="D532" s="9"/>
      <c r="E532" s="11"/>
      <c r="F532" s="12"/>
      <c r="G532" s="12"/>
    </row>
    <row r="533" spans="1:7" ht="19.95" customHeight="1" x14ac:dyDescent="0.3">
      <c r="A533" s="7"/>
      <c r="D533" s="9"/>
      <c r="E533" s="11"/>
      <c r="F533" s="12"/>
      <c r="G533" s="12"/>
    </row>
    <row r="534" spans="1:7" ht="19.95" customHeight="1" x14ac:dyDescent="0.3">
      <c r="A534" s="7"/>
      <c r="D534" s="9"/>
      <c r="E534" s="11"/>
      <c r="F534" s="12"/>
      <c r="G534" s="12"/>
    </row>
    <row r="535" spans="1:7" ht="19.95" customHeight="1" x14ac:dyDescent="0.3">
      <c r="D535" s="9"/>
      <c r="E535" s="11"/>
      <c r="F535" s="12"/>
      <c r="G535" s="12"/>
    </row>
    <row r="536" spans="1:7" ht="19.95" customHeight="1" x14ac:dyDescent="0.3">
      <c r="D536" s="9"/>
      <c r="E536" s="11"/>
      <c r="F536" s="12"/>
      <c r="G536" s="12"/>
    </row>
    <row r="537" spans="1:7" ht="19.95" customHeight="1" x14ac:dyDescent="0.3">
      <c r="A537" s="7"/>
      <c r="D537" s="9"/>
      <c r="E537" s="11"/>
      <c r="F537" s="12"/>
      <c r="G537" s="12"/>
    </row>
    <row r="538" spans="1:7" ht="19.95" customHeight="1" x14ac:dyDescent="0.3">
      <c r="A538" s="7"/>
      <c r="D538" s="9"/>
      <c r="E538" s="11"/>
      <c r="F538" s="12"/>
      <c r="G538" s="12"/>
    </row>
    <row r="539" spans="1:7" ht="19.95" customHeight="1" x14ac:dyDescent="0.3">
      <c r="D539" s="9"/>
      <c r="E539" s="11"/>
      <c r="F539" s="12"/>
      <c r="G539" s="12"/>
    </row>
    <row r="540" spans="1:7" ht="19.95" customHeight="1" x14ac:dyDescent="0.3">
      <c r="D540" s="9"/>
      <c r="E540" s="11"/>
      <c r="F540" s="12"/>
      <c r="G540" s="12"/>
    </row>
    <row r="541" spans="1:7" ht="19.95" customHeight="1" x14ac:dyDescent="0.3">
      <c r="A541" s="7"/>
      <c r="D541" s="9"/>
      <c r="E541" s="11"/>
      <c r="F541" s="12"/>
      <c r="G541" s="12"/>
    </row>
    <row r="542" spans="1:7" ht="19.95" customHeight="1" x14ac:dyDescent="0.3">
      <c r="A542" s="7"/>
      <c r="D542" s="9"/>
      <c r="E542" s="11"/>
      <c r="F542" s="12"/>
      <c r="G542" s="12"/>
    </row>
    <row r="543" spans="1:7" ht="19.95" customHeight="1" x14ac:dyDescent="0.3">
      <c r="D543" s="9"/>
      <c r="E543" s="11"/>
      <c r="F543" s="12"/>
      <c r="G543" s="12"/>
    </row>
    <row r="544" spans="1:7" ht="19.95" customHeight="1" x14ac:dyDescent="0.3">
      <c r="D544" s="9"/>
      <c r="E544" s="11"/>
      <c r="F544" s="12"/>
      <c r="G544" s="12"/>
    </row>
    <row r="545" spans="1:7" ht="19.95" customHeight="1" x14ac:dyDescent="0.3">
      <c r="A545" s="7"/>
      <c r="D545" s="9"/>
      <c r="E545" s="11"/>
      <c r="F545" s="12"/>
      <c r="G545" s="12"/>
    </row>
    <row r="546" spans="1:7" ht="19.95" customHeight="1" x14ac:dyDescent="0.3">
      <c r="A546" s="7"/>
      <c r="D546" s="9"/>
      <c r="E546" s="11"/>
      <c r="F546" s="12"/>
      <c r="G546" s="12"/>
    </row>
    <row r="547" spans="1:7" ht="19.95" customHeight="1" x14ac:dyDescent="0.3">
      <c r="D547" s="9"/>
      <c r="E547" s="11"/>
      <c r="F547" s="12"/>
      <c r="G547" s="12"/>
    </row>
    <row r="548" spans="1:7" ht="19.95" customHeight="1" x14ac:dyDescent="0.3">
      <c r="D548" s="9"/>
      <c r="E548" s="11"/>
      <c r="F548" s="12"/>
      <c r="G548" s="12"/>
    </row>
    <row r="549" spans="1:7" ht="19.95" customHeight="1" x14ac:dyDescent="0.3">
      <c r="A549" s="7"/>
      <c r="D549" s="9"/>
      <c r="E549" s="11"/>
      <c r="F549" s="12"/>
      <c r="G549" s="12"/>
    </row>
    <row r="550" spans="1:7" ht="19.95" customHeight="1" x14ac:dyDescent="0.3">
      <c r="A550" s="7"/>
      <c r="D550" s="9"/>
      <c r="E550" s="11"/>
      <c r="F550" s="12"/>
      <c r="G550" s="12"/>
    </row>
    <row r="551" spans="1:7" ht="19.95" customHeight="1" x14ac:dyDescent="0.3">
      <c r="D551" s="9"/>
      <c r="E551" s="11"/>
      <c r="F551" s="12"/>
      <c r="G551" s="12"/>
    </row>
    <row r="552" spans="1:7" ht="19.95" customHeight="1" x14ac:dyDescent="0.3">
      <c r="D552" s="9"/>
      <c r="E552" s="11"/>
      <c r="F552" s="12"/>
      <c r="G552" s="12"/>
    </row>
    <row r="553" spans="1:7" ht="19.95" customHeight="1" x14ac:dyDescent="0.3">
      <c r="A553" s="7"/>
      <c r="D553" s="9"/>
      <c r="E553" s="11"/>
      <c r="F553" s="12"/>
      <c r="G553" s="12"/>
    </row>
    <row r="554" spans="1:7" ht="19.95" customHeight="1" x14ac:dyDescent="0.3">
      <c r="A554" s="7"/>
      <c r="D554" s="9"/>
      <c r="E554" s="11"/>
      <c r="F554" s="12"/>
      <c r="G554" s="12"/>
    </row>
    <row r="555" spans="1:7" ht="19.95" customHeight="1" x14ac:dyDescent="0.3">
      <c r="D555" s="9"/>
      <c r="E555" s="11"/>
      <c r="F555" s="12"/>
      <c r="G555" s="12"/>
    </row>
    <row r="556" spans="1:7" ht="19.95" customHeight="1" x14ac:dyDescent="0.3">
      <c r="D556" s="9"/>
      <c r="E556" s="11"/>
      <c r="F556" s="12"/>
      <c r="G556" s="12"/>
    </row>
    <row r="557" spans="1:7" ht="19.95" customHeight="1" x14ac:dyDescent="0.3">
      <c r="A557" s="7"/>
      <c r="D557" s="9"/>
      <c r="E557" s="11"/>
      <c r="F557" s="12"/>
      <c r="G557" s="12"/>
    </row>
    <row r="558" spans="1:7" ht="19.95" customHeight="1" x14ac:dyDescent="0.3">
      <c r="A558" s="7"/>
      <c r="D558" s="9"/>
      <c r="E558" s="11"/>
      <c r="F558" s="12"/>
      <c r="G558" s="12"/>
    </row>
    <row r="559" spans="1:7" ht="19.95" customHeight="1" x14ac:dyDescent="0.3">
      <c r="D559" s="9"/>
      <c r="E559" s="11"/>
      <c r="F559" s="12"/>
      <c r="G559" s="12"/>
    </row>
    <row r="560" spans="1:7" ht="19.95" customHeight="1" x14ac:dyDescent="0.3">
      <c r="D560" s="9"/>
      <c r="E560" s="11"/>
      <c r="F560" s="12"/>
      <c r="G560" s="12"/>
    </row>
    <row r="561" spans="1:7" ht="19.95" customHeight="1" x14ac:dyDescent="0.3">
      <c r="A561" s="7"/>
      <c r="D561" s="9"/>
      <c r="E561" s="11"/>
      <c r="F561" s="12"/>
      <c r="G561" s="12"/>
    </row>
    <row r="562" spans="1:7" ht="19.95" customHeight="1" x14ac:dyDescent="0.3">
      <c r="A562" s="7"/>
      <c r="D562" s="9"/>
      <c r="E562" s="11"/>
      <c r="F562" s="12"/>
      <c r="G562" s="12"/>
    </row>
    <row r="563" spans="1:7" ht="19.95" customHeight="1" x14ac:dyDescent="0.3">
      <c r="D563" s="9"/>
      <c r="E563" s="11"/>
      <c r="F563" s="12"/>
      <c r="G563" s="12"/>
    </row>
    <row r="564" spans="1:7" ht="19.95" customHeight="1" x14ac:dyDescent="0.3">
      <c r="D564" s="9"/>
      <c r="E564" s="11"/>
      <c r="F564" s="12"/>
      <c r="G564" s="12"/>
    </row>
    <row r="565" spans="1:7" ht="19.95" customHeight="1" x14ac:dyDescent="0.3">
      <c r="A565" s="7"/>
      <c r="D565" s="9"/>
      <c r="E565" s="11"/>
      <c r="F565" s="12"/>
      <c r="G565" s="12"/>
    </row>
    <row r="566" spans="1:7" ht="19.95" customHeight="1" x14ac:dyDescent="0.3">
      <c r="A566" s="7"/>
      <c r="D566" s="9"/>
      <c r="E566" s="11"/>
      <c r="F566" s="12"/>
      <c r="G566" s="12"/>
    </row>
    <row r="567" spans="1:7" ht="19.95" customHeight="1" x14ac:dyDescent="0.3">
      <c r="D567" s="9"/>
      <c r="E567" s="11"/>
      <c r="F567" s="12"/>
      <c r="G567" s="12"/>
    </row>
    <row r="568" spans="1:7" ht="19.95" customHeight="1" x14ac:dyDescent="0.3">
      <c r="D568" s="9"/>
      <c r="E568" s="11"/>
      <c r="F568" s="12"/>
      <c r="G568" s="12"/>
    </row>
    <row r="569" spans="1:7" ht="19.95" customHeight="1" x14ac:dyDescent="0.3">
      <c r="A569" s="7"/>
      <c r="D569" s="9"/>
      <c r="E569" s="11"/>
      <c r="F569" s="12"/>
      <c r="G569" s="12"/>
    </row>
    <row r="570" spans="1:7" ht="19.95" customHeight="1" x14ac:dyDescent="0.3">
      <c r="A570" s="7"/>
      <c r="D570" s="9"/>
      <c r="E570" s="11"/>
      <c r="F570" s="12"/>
      <c r="G570" s="12"/>
    </row>
    <row r="571" spans="1:7" ht="19.95" customHeight="1" x14ac:dyDescent="0.3">
      <c r="A571" s="7"/>
      <c r="D571" s="9"/>
      <c r="E571" s="11"/>
      <c r="F571" s="12"/>
      <c r="G571" s="12"/>
    </row>
    <row r="572" spans="1:7" ht="19.95" customHeight="1" x14ac:dyDescent="0.3">
      <c r="D572" s="9"/>
      <c r="E572" s="11"/>
      <c r="F572" s="12"/>
      <c r="G572" s="12"/>
    </row>
    <row r="573" spans="1:7" ht="19.95" customHeight="1" x14ac:dyDescent="0.3">
      <c r="D573" s="9"/>
      <c r="E573" s="11"/>
      <c r="F573" s="12"/>
      <c r="G573" s="12"/>
    </row>
    <row r="574" spans="1:7" ht="19.95" customHeight="1" x14ac:dyDescent="0.3">
      <c r="A574" s="7"/>
      <c r="D574" s="9"/>
      <c r="E574" s="11"/>
      <c r="F574" s="12"/>
      <c r="G574" s="12"/>
    </row>
    <row r="575" spans="1:7" ht="19.95" customHeight="1" x14ac:dyDescent="0.3">
      <c r="A575" s="7"/>
      <c r="D575" s="9"/>
      <c r="E575" s="11"/>
      <c r="F575" s="12"/>
      <c r="G575" s="12"/>
    </row>
    <row r="576" spans="1:7" ht="19.95" customHeight="1" x14ac:dyDescent="0.3">
      <c r="D576" s="9"/>
      <c r="E576" s="11"/>
      <c r="F576" s="12"/>
      <c r="G576" s="12"/>
    </row>
    <row r="577" spans="1:7" ht="19.95" customHeight="1" x14ac:dyDescent="0.3">
      <c r="D577" s="9"/>
      <c r="E577" s="11"/>
      <c r="F577" s="12"/>
      <c r="G577" s="12"/>
    </row>
    <row r="578" spans="1:7" ht="19.95" customHeight="1" x14ac:dyDescent="0.3">
      <c r="A578" s="7"/>
      <c r="D578" s="9"/>
      <c r="E578" s="11"/>
      <c r="F578" s="12"/>
      <c r="G578" s="12"/>
    </row>
    <row r="579" spans="1:7" ht="19.95" customHeight="1" x14ac:dyDescent="0.3">
      <c r="A579" s="7"/>
      <c r="D579" s="9"/>
      <c r="E579" s="11"/>
      <c r="F579" s="12"/>
      <c r="G579" s="12"/>
    </row>
    <row r="580" spans="1:7" ht="19.95" customHeight="1" x14ac:dyDescent="0.3">
      <c r="D580" s="9"/>
      <c r="E580" s="11"/>
      <c r="F580" s="12"/>
      <c r="G580" s="12"/>
    </row>
    <row r="581" spans="1:7" ht="19.95" customHeight="1" x14ac:dyDescent="0.3">
      <c r="D581" s="9"/>
      <c r="E581" s="11"/>
      <c r="F581" s="12"/>
      <c r="G581" s="12"/>
    </row>
    <row r="582" spans="1:7" ht="19.95" customHeight="1" x14ac:dyDescent="0.3">
      <c r="A582" s="7"/>
      <c r="D582" s="9"/>
      <c r="E582" s="11"/>
      <c r="F582" s="12"/>
      <c r="G582" s="12"/>
    </row>
    <row r="583" spans="1:7" ht="19.95" customHeight="1" x14ac:dyDescent="0.3">
      <c r="A583" s="7"/>
      <c r="D583" s="9"/>
      <c r="E583" s="11"/>
      <c r="F583" s="12"/>
      <c r="G583" s="12"/>
    </row>
    <row r="584" spans="1:7" ht="19.95" customHeight="1" x14ac:dyDescent="0.3">
      <c r="D584" s="9"/>
      <c r="E584" s="11"/>
      <c r="F584" s="12"/>
      <c r="G584" s="12"/>
    </row>
    <row r="585" spans="1:7" ht="19.95" customHeight="1" x14ac:dyDescent="0.3">
      <c r="D585" s="9"/>
      <c r="E585" s="11"/>
      <c r="F585" s="12"/>
      <c r="G585" s="12"/>
    </row>
    <row r="586" spans="1:7" ht="19.95" customHeight="1" x14ac:dyDescent="0.3">
      <c r="A586" s="7"/>
      <c r="D586" s="9"/>
      <c r="E586" s="11"/>
      <c r="F586" s="12"/>
      <c r="G586" s="12"/>
    </row>
    <row r="587" spans="1:7" ht="19.95" customHeight="1" x14ac:dyDescent="0.3">
      <c r="A587" s="7"/>
      <c r="D587" s="9"/>
      <c r="E587" s="11"/>
      <c r="F587" s="12"/>
      <c r="G587" s="12"/>
    </row>
    <row r="588" spans="1:7" ht="19.95" customHeight="1" x14ac:dyDescent="0.3">
      <c r="D588" s="9"/>
      <c r="E588" s="11"/>
      <c r="F588" s="12"/>
      <c r="G588" s="12"/>
    </row>
    <row r="589" spans="1:7" ht="19.95" customHeight="1" x14ac:dyDescent="0.3">
      <c r="D589" s="9"/>
      <c r="E589" s="11"/>
      <c r="F589" s="12"/>
      <c r="G589" s="12"/>
    </row>
    <row r="590" spans="1:7" ht="19.95" customHeight="1" x14ac:dyDescent="0.3">
      <c r="A590" s="7"/>
      <c r="D590" s="9"/>
      <c r="E590" s="11"/>
      <c r="F590" s="12"/>
      <c r="G590" s="12"/>
    </row>
    <row r="591" spans="1:7" ht="19.95" customHeight="1" x14ac:dyDescent="0.3">
      <c r="A591" s="7"/>
      <c r="D591" s="9"/>
      <c r="E591" s="11"/>
      <c r="F591" s="12"/>
      <c r="G591" s="12"/>
    </row>
    <row r="592" spans="1:7" ht="19.95" customHeight="1" x14ac:dyDescent="0.3">
      <c r="D592" s="9"/>
      <c r="E592" s="11"/>
      <c r="F592" s="12"/>
      <c r="G592" s="12"/>
    </row>
    <row r="593" spans="1:7" ht="19.95" customHeight="1" x14ac:dyDescent="0.3">
      <c r="D593" s="9"/>
      <c r="E593" s="11"/>
      <c r="F593" s="12"/>
      <c r="G593" s="12"/>
    </row>
    <row r="594" spans="1:7" ht="19.95" customHeight="1" x14ac:dyDescent="0.3">
      <c r="A594" s="7"/>
    </row>
    <row r="613" spans="1:1" ht="19.95" customHeight="1" x14ac:dyDescent="0.3">
      <c r="A613" s="7"/>
    </row>
    <row r="614" spans="1:1" ht="19.95" customHeight="1" x14ac:dyDescent="0.3">
      <c r="A614" s="7"/>
    </row>
    <row r="616" spans="1:1" ht="19.95" customHeight="1" x14ac:dyDescent="0.3">
      <c r="A616" s="7"/>
    </row>
    <row r="617" spans="1:1" ht="19.95" customHeight="1" x14ac:dyDescent="0.3">
      <c r="A617" s="7"/>
    </row>
  </sheetData>
  <autoFilter ref="A9:P340" xr:uid="{DCC586B1-F337-4596-9A67-DFE25FEB0D1D}"/>
  <mergeCells count="5">
    <mergeCell ref="A1:F1"/>
    <mergeCell ref="A2:F2"/>
    <mergeCell ref="A3:F3"/>
    <mergeCell ref="A4:F4"/>
    <mergeCell ref="A5:F5"/>
  </mergeCells>
  <conditionalFormatting sqref="J8 J10:J1048576">
    <cfRule type="cellIs" dxfId="0" priority="1" operator="lessThan">
      <formula>$I$1-7</formula>
    </cfRule>
  </conditionalFormatting>
  <hyperlinks>
    <hyperlink ref="B127" location="'DORIS MOGOLLON'!Área_de_impresión" display="'DORIS MOGOLLON'!Área_de_impresión" xr:uid="{5FC6CC7C-D154-463D-B832-235D22D48552}"/>
    <hyperlink ref="B187" location="'JESUS SANTANDER'!Área_de_impresión" display="'JESUS SANTANDER'!Área_de_impresión" xr:uid="{54DFEB9C-628B-40C7-A90E-AAAA5EA8C5CF}"/>
    <hyperlink ref="B230" location="'LLUVIA BENDICIONES'!Área_de_impresión" display="'LLUVIA BENDICIONES'!Área_de_impresión" xr:uid="{EF0EC50F-EE0E-4E18-A453-85FD2D7AF4F1}"/>
    <hyperlink ref="B232" location="'LUMA EXPRESS'!Área_de_impresión" display="'LUMA EXPRESS'!Área_de_impresión" xr:uid="{DA62C3E2-A339-47E8-ADAA-AB3962ECD179}"/>
    <hyperlink ref="B260" location="'PADEL X4 BTB'!Área_de_impresión" display="'PADEL X4 BTB'!Área_de_impresión" xr:uid="{591416F2-3099-47CA-993A-AFDB06562FC5}"/>
    <hyperlink ref="B280" location="'PRESTO MARKET'!Área_de_impresión" display="'PRESTO MARKET'!Área_de_impresión" xr:uid="{4F026592-679B-4144-92F5-305478C60ECA}"/>
    <hyperlink ref="B331" location="'FRUTERIA YASMIN'!Área_de_impresión" display="'FRUTERIA YASMIN'!Área_de_impresión" xr:uid="{5C9FFF60-700D-4446-9A0B-2CA262FFEC3D}"/>
    <hyperlink ref="B114" location="'DAVID MORALES'!A1" display="'DAVID MORALES'!A1" xr:uid="{32CC2CC2-1E56-4F08-BBE1-9AE9375050DC}"/>
    <hyperlink ref="B188" location="'JESUS PARRA'!Área_de_impresión" display="'JESUS PARRA'!Área_de_impresión" xr:uid="{0090362E-BC3C-4B34-A689-BF628A92AD3A}"/>
    <hyperlink ref="B211" location="KORNER!Área_de_impresión" display="KORNER!Área_de_impresión" xr:uid="{DEB48C75-1C84-4AD5-83CB-7B8670F17E80}"/>
    <hyperlink ref="B189" location="'JHON COLMENARES'!Área_de_impresión" display="'JHON COLMENARES'!Área_de_impresión" xr:uid="{9316A0D3-17BD-478E-AF63-5D80D0AEFB15}"/>
    <hyperlink ref="B294" location="'ROBERTO FIGUEREDO'!Área_de_impresión" display="'ROBERTO FIGUEREDO'!Área_de_impresión" xr:uid="{025A1C94-5892-4832-B94B-F9BF466FB75A}"/>
    <hyperlink ref="B329" location="'WILFREDO BAYONA'!Área_de_impresión" display="'WILFREDO BAYONA'!Área_de_impresión" xr:uid="{2FA5743C-6C7A-49E1-B127-8C7830A712FF}"/>
    <hyperlink ref="B335" location="'YONATAN NINO'!Área_de_impresión" display="'YONATAN NINO'!Área_de_impresión" xr:uid="{AFF8FC49-1FCE-403D-94C3-4684FCC0AD89}"/>
    <hyperlink ref="B195" location="'KACTUS BODEGON'!Área_de_impresión" display="'KACTUS BODEGON'!Área_de_impresión" xr:uid="{A2377888-52F4-4EA1-9217-1E7829BA342F}"/>
    <hyperlink ref="B168" location="'GLADIS PERNIA'!Área_de_impresión" display="'GLADIS PERNIA'!Área_de_impresión" xr:uid="{0EE23ADD-125F-4D32-928B-56A670931F29}"/>
    <hyperlink ref="B271" location="'PANADERIA MUNDO SABOR'!Área_de_impresión" display="'PANADERIA MUNDO SABOR'!Área_de_impresión" xr:uid="{29AD850C-E458-49DD-A03F-6AD385EC8F0D}"/>
    <hyperlink ref="B43" location="'BOD TOICO CLEIBER'!Área_de_impresión" display="'BOD TOICO CLEIBER'!Área_de_impresión" xr:uid="{3DD19772-FB44-40A3-BF76-21247B9817E3}"/>
    <hyperlink ref="B44" location="'BOD TOICO OSMAR'!A1" display="'BOD TOICO OSMAR'!A1" xr:uid="{424361EA-7FE1-4852-A2C2-663484C9FFC5}"/>
    <hyperlink ref="B104" location="'COMERCIALIZADORA MULTIMASS'!Área_de_impresión" display="'COMERCIALIZADORA MULTIMASS'!Área_de_impresión" xr:uid="{F34AAA9B-EE36-4B08-89A1-CEE3B7FCD20F}"/>
    <hyperlink ref="B70" location="'BODEGON ENZO'!Área_de_impresión" display="'BODEGON ENZO'!Área_de_impresión" xr:uid="{EAA06D57-73D6-4584-BC62-79016AFD67AC}"/>
    <hyperlink ref="B71" location="'BODEGON EXPRESS'!Área_de_impresión" display="'BODEGON EXPRESS'!Área_de_impresión" xr:uid="{8086C295-7138-459D-BB26-C8413313F883}"/>
    <hyperlink ref="B200" location="'KEVIN MARQUEZ'!Área_de_impresión" display="'KEVIN MARQUEZ'!Área_de_impresión" xr:uid="{8A586F2D-A0ED-44CF-9A51-C9BE5FB97870}"/>
    <hyperlink ref="B60" location="'BODEGA NAZARENO'!Área_de_impresión" display="'BODEGA NAZARENO'!Área_de_impresión" xr:uid="{D7B6060B-29DE-4AC7-87D6-99DB6372E715}"/>
    <hyperlink ref="B252" location="'MINI ABASTO EL SOL'!Área_de_impresión" display="'MINI ABASTO EL SOL'!Área_de_impresión" xr:uid="{DDDC7429-F844-464F-9D97-0869957CFC67}"/>
    <hyperlink ref="B325" location="'VILLA ROSSI'!Área_de_impresión" display="'VILLA ROSSI'!Área_de_impresión" xr:uid="{FEE014BA-FEBC-4CEA-B5EE-46D8F6F34B9E}"/>
    <hyperlink ref="B41" location="'BOD MARBELYS ROA'!Área_de_impresión" display="'BOD MARBELYS ROA'!Área_de_impresión" xr:uid="{BBC1BDEC-6A55-4212-902C-481359F6EBE3}"/>
    <hyperlink ref="B284" location="'QUINCALLA JESUS DE NAZARENO'!Área_de_impresión" display="'QUINCALLA JESUS DE NAZARENO'!Área_de_impresión" xr:uid="{2F78F2EE-9A53-4969-8DF3-9ACC2B8E85C0}"/>
    <hyperlink ref="B144" location="'EMPRENDIMIENTO MIRLEY'!Área_de_impresión" display="'EMPRENDIMIENTO MIRLEY'!Área_de_impresión" xr:uid="{A9555D15-A60B-4231-80B4-951EC7E37240}"/>
    <hyperlink ref="B75" location="'BODEGON ESQUINA PARAMILLO'!Área_de_impresión" display="'BODEGON ESQUINA PARAMILLO'!Área_de_impresión" xr:uid="{84B8FCCF-325E-40CF-88C4-7CD22207F006}"/>
    <hyperlink ref="B86" location="'BODEGON UNICO'!Área_de_impresión" display="'BODEGON UNICO'!Área_de_impresión" xr:uid="{B570F1E0-FD6C-4DDE-B05A-3DB0A6F7E699}"/>
    <hyperlink ref="B146" location="'EMPRENDIMIENTO YAHIBE MOLINA'!Área_de_impresión" display="'EMPRENDIMIENTO YAHIBE MOLINA'!Área_de_impresión" xr:uid="{8BD1E9CD-CE36-4FBC-8CF3-FE54739CA22A}"/>
    <hyperlink ref="B142" location="'EMPRENDIMIENTO MANZO'!Área_de_impresión" display="'EMPRENDIMIENTO MANZO'!Área_de_impresión" xr:uid="{611745CD-BC63-4A49-BC46-D9DC413A7820}"/>
    <hyperlink ref="B316" location="'VANESA DIAZ'!Área_de_impresión" display="'VANESA DIAZ'!Área_de_impresión" xr:uid="{E33F95E9-E498-4D71-BDFD-37210B3A44D5}"/>
    <hyperlink ref="B221" location="'LICORERIA KOOP'!Área_de_impresión" display="'LICORERIA KOOP'!Área_de_impresión" xr:uid="{F0A7DE12-D6C6-4474-9291-3E2DC73EA234}"/>
    <hyperlink ref="B84" location="'BODEGON SEVILLANA'!Área_de_impresión" display="'BODEGON SEVILLANA'!Área_de_impresión" xr:uid="{E102AAB1-62EC-47E6-AFE4-4D146A9E37F7}"/>
    <hyperlink ref="B220" location="'LICORERIA GRISYUDAY'!Área_de_impresión" display="'LICORERIA GRISYUDAY'!Área_de_impresión" xr:uid="{40902933-4FB3-4CAF-8919-ABBE6964CB5E}"/>
    <hyperlink ref="B238" location="'MARIA RICO'!Área_de_impresión" display="'MARIA RICO'!Área_de_impresión" xr:uid="{F8ABA02D-5D2B-4FB5-8ABC-B196142CBF25}"/>
    <hyperlink ref="B237" location="'MARIA CARRERO'!Área_de_impresión" display="'MARIA CARRERO'!Área_de_impresión" xr:uid="{559462C4-E90C-44EE-B05E-1187CC1053B8}"/>
    <hyperlink ref="B92" location="'CAROL KARDEIGON'!Área_de_impresión" display="'CAROL KARDEIGON'!Área_de_impresión" xr:uid="{06139920-A348-462D-8457-5CF685ADEA7C}"/>
    <hyperlink ref="B181" location="'INVERSIONES MEID'!Área_de_impresión" display="'INVERSIONES MEID'!Área_de_impresión" xr:uid="{384BE273-8824-4653-B9B1-4301338E0C87}"/>
    <hyperlink ref="B74" location="'BODEGON EXPRESS GREGORI'!Área_de_impresión" display="'BODEGON EXPRESS GREGORI'!Área_de_impresión" xr:uid="{93DE74D3-D66D-43F1-8BE8-5D3F4B4F35A1}"/>
    <hyperlink ref="B42" location="'BOD SOLMAR PINTO'!Área_de_impresión" display="'BOD SOLMAR PINTO'!Área_de_impresión" xr:uid="{B9FE5465-7724-4D83-B3F7-49FC253A9D73}"/>
    <hyperlink ref="B250" location="'MINIMARKET DETODITO'!Área_de_impresión" display="'MINIMARKET DETODITO'!Área_de_impresión" xr:uid="{754717E8-169C-48E3-83F6-065AD0DBB7B0}"/>
    <hyperlink ref="B247" location="'MI ABASTO YELITZA'!Área_de_impresión" display="'MI ABASTO YELITZA'!Área_de_impresión" xr:uid="{AE14B066-1B3E-4A4C-A0F0-310EF32E3C0D}"/>
    <hyperlink ref="B330" location="'YARITZA PEREZ'!Área_de_impresión" display="'YARITZA PEREZ'!Área_de_impresión" xr:uid="{0BB6316B-C5E3-455E-A711-859456F8E6EA}"/>
    <hyperlink ref="B106" location="'COMERCIALIZADORA YUDI'!Área_de_impresión" display="'COMERCIALIZADORA YUDI'!Área_de_impresión" xr:uid="{26FDE181-45EB-4DB8-B232-13CA91933D36}"/>
    <hyperlink ref="B337" location="'YURAIMA MORENO'!Área_de_impresión" display="'YURAIMA MORENO'!Área_de_impresión" xr:uid="{934371B6-B664-4BEE-AE40-D3D8DB7D8D78}"/>
    <hyperlink ref="B257" location="'NOREIMA LA MORDIDA'!Área_de_impresión" display="'NOREIMA LA MORDIDA'!Área_de_impresión" xr:uid="{51CDF2E8-210E-4DAF-AD45-64F4B688939D}"/>
    <hyperlink ref="B198" location="'KARINA B.GOS BODEGON'!Área_de_impresión" display="'KARINA B.GOS BODEGON'!Área_de_impresión" xr:uid="{2754077D-8969-41DF-9F2F-D9217EAAF47D}"/>
    <hyperlink ref="B334" location="'YEIMO CHARCUTERIA'!Área_de_impresión" display="'YEIMO CHARCUTERIA'!Área_de_impresión" xr:uid="{0A01C81D-07BA-4A35-9E8C-C1F9B1D74094}"/>
    <hyperlink ref="B217" location="'LA VAQUERITA'!Área_de_impresión" display="'LA VAQUERITA'!Área_de_impresión" xr:uid="{9E9A5E46-020E-447A-B912-FB1CF5DA542D}"/>
    <hyperlink ref="B28" location="'ALEJANDRA NIETO'!Área_de_impresión" display="'ALEJANDRA NIETO'!Área_de_impresión" xr:uid="{A5A77789-01AE-499B-BC8A-078C714B8D2C}"/>
    <hyperlink ref="B14" location="'ABASTO KLEIDI'!A1" display="'ABASTO KLEIDI'!A1" xr:uid="{B470F390-08BE-4FF2-843F-7A97606228AF}"/>
    <hyperlink ref="B25" location="'ABASTO ZORANNY'!Área_de_impresión" display="'ABASTO ZORANNY'!Área_de_impresión" xr:uid="{B83F63B5-A122-424D-B216-FF6758BBFCF1}"/>
    <hyperlink ref="B54" location="'BODEGA LOS CHACAROS'!Área_de_impresión" display="'BODEGA LOS CHACAROS'!Área_de_impresión" xr:uid="{D4E74A33-133D-4E20-9186-8E192D759C36}"/>
    <hyperlink ref="B77" location="'BODEGON JUANCHO'!Área_de_impresión" display="'BODEGON JUANCHO'!Área_de_impresión" xr:uid="{1D5C95B4-A117-477B-83E6-7350616B7D7A}"/>
    <hyperlink ref="B258" location="'OSITO EXPRESS'!Área_de_impresión" display="'OSITO EXPRESS'!Área_de_impresión" xr:uid="{665A787E-3156-4D8B-8F55-E6BEB9F1A9FE}"/>
    <hyperlink ref="B241" location="'MARIEXTER CACHAPAS'!Área_de_impresión" display="'MARIEXTER CACHAPAS'!Área_de_impresión" xr:uid="{42062461-9D40-466C-B766-E3B16E1BB0ED}"/>
    <hyperlink ref="B103" location="'COMERCIALIZADORA JEALKA'!Área_de_impresión" display="'COMERCIALIZADORA JEALKA'!Área_de_impresión" xr:uid="{1020B917-C191-4875-963B-CEF76F0D7467}"/>
    <hyperlink ref="B323" location="'VARIEDADES LUCY'!Área_de_impresión" display="'VARIEDADES LUCY'!Área_de_impresión" xr:uid="{DF97F8A7-6E1C-4D27-84F5-2D75D2F7DEEA}"/>
    <hyperlink ref="B290" location="'RESTAURANT DONDE SANTOS'!Área_de_impresión" display="'RESTAURANT DONDE SANTOS'!Área_de_impresión" xr:uid="{A7CBFD4C-768C-404B-9175-51FDAF90416C}"/>
    <hyperlink ref="B17" location="'ABASTO LAS MORENAS'!A1" display="'ABASTO LAS MORENAS'!A1" xr:uid="{94D89411-1E06-464A-BFB2-BE878CAB84D8}"/>
    <hyperlink ref="B12" location="'ABASTO GLORIMAR'!A1" display="'ABASTO GLORIMAR'!A1" xr:uid="{AF802AF6-9472-4150-BB31-9F1F67AD6E3B}"/>
    <hyperlink ref="B32" location="'ANDERZON RODRIGUEZ'!Área_de_impresión" display="'ANDERZON RODRIGUEZ'!Área_de_impresión" xr:uid="{64AA4845-54B3-435C-A872-CB543A339FD6}"/>
    <hyperlink ref="B194" location="'JUMBO DOG'!Área_de_impresión" display="'JUMBO DOG'!Área_de_impresión" xr:uid="{82E49F88-A61C-4484-8ABE-05CA63B14B2A}"/>
    <hyperlink ref="B121" location="'DON LEO'!Área_de_impresión" display="'DON LEO'!Área_de_impresión" xr:uid="{EB8300D7-D093-4DB3-B3DC-BD0E7227352A}"/>
    <hyperlink ref="B132" location="'EL REY CACHAPA'!Área_de_impresión" display="'EL REY CACHAPA'!Área_de_impresión" xr:uid="{A0ADFBDD-FDFA-4715-9D1C-41593EDEEDFD}"/>
    <hyperlink ref="B10" location="'ABASTO ANTONY'!A1" display="'ABASTO ANTONY'!A1" xr:uid="{38C4B74F-0B05-4E03-8891-EDE967BC7F98}"/>
    <hyperlink ref="B90" location="'CARNICERIA KARINA'!Área_de_impresión" display="'CARNICERIA KARINA'!Área_de_impresión" xr:uid="{41F61422-5C72-46F4-ABDC-17AB342C1BC8}"/>
    <hyperlink ref="B22" location="'ABASTO VANESA'!A1" display="'ABASTO VANESA'!A1" xr:uid="{0659E141-4976-4FAE-A4FA-AD8E5A888E7D}"/>
    <hyperlink ref="B49" location="'BODEGA EXPRESS'!A1" display="'BODEGA EXPRESS'!A1" xr:uid="{59CF5EFC-3261-434D-81C3-17FC3904225B}"/>
    <hyperlink ref="B82" location="'BODEGON MACHIRI'!Área_de_impresión" display="'BODEGON MACHIRI'!Área_de_impresión" xr:uid="{BC8C6126-8840-4A5C-AEE4-E0073A3BA70C}"/>
    <hyperlink ref="B177" location="'HIPER FRESS'!Área_de_impresión" display="'HIPER FRESS'!Área_de_impresión" xr:uid="{CC013934-E504-42C9-B9D5-C9360EA8C0D5}"/>
    <hyperlink ref="B314" location="TORCOROMA!Área_de_impresión" display="TORCOROMA!Área_de_impresión" xr:uid="{50393EC7-4BDA-49F3-8F01-28E8EBBBF3C6}"/>
    <hyperlink ref="B93" location="'CASA EXPRESS'!Área_de_impresión" display="'CASA EXPRESS'!Área_de_impresión" xr:uid="{591619B8-38B0-42F8-B73A-0CFDF119EAD4}"/>
    <hyperlink ref="B216" location="'LA TIENDITA'!Área_de_impresión" display="'LA TIENDITA'!Área_de_impresión" xr:uid="{135ECB85-AD6F-4096-9848-D55CD2D8101F}"/>
    <hyperlink ref="B215" location="'LA ESPERANZA'!Área_de_impresión" display="'LA ESPERANZA'!Área_de_impresión" xr:uid="{FA765B53-6A5B-49EC-A640-3641141B49D3}"/>
    <hyperlink ref="B62" location="'BODEGON AGUA LINDA'!Área_de_impresión" display="'BODEGON AGUA LINDA'!Área_de_impresión" xr:uid="{A7CEA3CE-1DE8-4748-8999-A7F68300C8E1}"/>
    <hyperlink ref="B59" location="'BODEGA NANCYTA'!Área_de_impresión" display="'BODEGA NANCYTA'!Área_de_impresión" xr:uid="{644BBD1A-DB14-4533-B761-DB533C7B8B95}"/>
    <hyperlink ref="B213" location="'LA ANDINA NARVAEZ'!Área_de_impresión" display="'LA ANDINA NARVAEZ'!Área_de_impresión" xr:uid="{506CBED8-85F1-459B-8F1F-6C76F2911EC7}"/>
    <hyperlink ref="B246" location="'MERCA MAX'!Área_de_impresión" display="'MERCA MAX'!Área_de_impresión" xr:uid="{B0074FE9-7F26-46CF-B076-041DCF2660C9}"/>
    <hyperlink ref="B245" location="'MEGA MARKET'!Área_de_impresión" display="'MEGA MARKET'!Área_de_impresión" xr:uid="{E6F50EEA-C2A5-4A22-A951-C6AA0D2A3F10}"/>
    <hyperlink ref="B40" location="'BOD ALTOS PARAMILLO'!Área_de_impresión" display="'BOD ALTOS PARAMILLO'!Área_de_impresión" xr:uid="{DFFC004B-B411-45A2-843B-27F8F69D92B8}"/>
    <hyperlink ref="B210" location="'KIOSCO VICTORIA'!Área_de_impresión" display="'KIOSCO VICTORIA'!Área_de_impresión" xr:uid="{3A4999F9-ADD3-473A-A4B8-C864022E86B1}"/>
    <hyperlink ref="C60" location="'CAROLINA SANCHEZ'!Área_de_impresión" display="'CAROLINA SANCHEZ'!Área_de_impresión" xr:uid="{15D4448B-D67A-44CF-B262-FA1285E56CF1}"/>
    <hyperlink ref="B299" location="'SNAK''S 31'!Área_de_impresión" display="'SNAK''S 31'!Área_de_impresión" xr:uid="{DBD43E82-E325-4AEE-84DF-53EC9D1E3FFA}"/>
    <hyperlink ref="B202" location="'KIOSCO BLANCO'!Área_de_impresión" display="'KIOSCO BLANCO'!Área_de_impresión" xr:uid="{E104F5FD-4A85-4117-A1DF-3A1666D552FF}"/>
    <hyperlink ref="B273" location="'PANADERIA SMOKED'!Área_de_impresión" display="'PANADERIA SMOKED'!Área_de_impresión" xr:uid="{50E74177-CCAD-4885-80E1-4A80079CE542}"/>
    <hyperlink ref="B88" location="'CAMPO MARKET'!Área_de_impresión" display="'CAMPO MARKET'!Área_de_impresión" xr:uid="{DEB1EF63-0763-483C-A889-630FDA4174FC}"/>
    <hyperlink ref="B270" location="'PANDERIA LA PURISIMA'!Área_de_impresión" display="'PANDERIA LA PURISIMA'!Área_de_impresión" xr:uid="{D6C69C9F-D1A3-462E-9CBA-672F9D466FEA}"/>
    <hyperlink ref="B161" location="'FRUTAS Y VERDURAS PALO GORDO'!Área_de_impresión" display="'FRUTAS Y VERDURAS PALO GORDO'!Área_de_impresión" xr:uid="{96ABC8F0-E033-4000-BB21-23E7C8F4527E}"/>
    <hyperlink ref="B57" location="'BODEGA MILAGRO'!Área_de_impresión" display="'BODEGA MILAGRO'!Área_de_impresión" xr:uid="{E6FF7A41-00BC-4D5D-8F04-80694D159B97}"/>
    <hyperlink ref="B97" location="'CHARCUTERIA LA TOICA'!Área_de_impresión" display="'CHARCUTERIA LA TOICA'!Área_de_impresión" xr:uid="{89E94DF6-F2B6-4264-A4C7-2EECE190AD66}"/>
    <hyperlink ref="B73" location="'BODEGON EXPRESS MARI'!Área_de_impresión" display="'BODEGON EXPRESS MARI'!Área_de_impresión" xr:uid="{676AAF52-C343-478F-9C28-E8E0EB74C70E}"/>
    <hyperlink ref="B80" location="'BODEGON LINARES'!Área_de_impresión" display="'BODEGON LINARES'!Área_de_impresión" xr:uid="{6D3B89DD-12FB-4FCD-BB39-31FE0BCB55E0}"/>
    <hyperlink ref="B179" location="'INVERSIONES DIMARIA'!Área_de_impresión" display="'INVERSIONES DIMARIA'!Área_de_impresión" xr:uid="{00D9591C-F305-46BA-BE7B-FD16FAAD65F4}"/>
    <hyperlink ref="B272" location="'PANADERIA PANINI'!Área_de_impresión" display="'PANADERIA PANINI'!Área_de_impresión" xr:uid="{B4AD852E-1614-41D1-AD48-24BB6975E91A}"/>
    <hyperlink ref="B81" location="'BODEGON LOS NONOS'!Área_de_impresión" display="'BODEGON LOS NONOS'!Área_de_impresión" xr:uid="{C8AB9904-FD17-481B-8709-707E04C0E643}"/>
    <hyperlink ref="B38" location="'BAKAI MACHIRI'!Área_de_impresión" display="'BAKAI MACHIRI'!Área_de_impresión" xr:uid="{05C64290-C7A2-4455-9244-7C37380597D3}"/>
    <hyperlink ref="B63" location="'BODEGON ANDREA''S'!Área_de_impresión" display="'BODEGON ANDREA''S'!Área_de_impresión" xr:uid="{DECD0154-D926-4381-AD6D-5FD29EE984C7}"/>
    <hyperlink ref="B311" location="'TIENDA SANTO CRISTO'!Área_de_impresión" display="'TIENDA SANTO CRISTO'!Área_de_impresión" xr:uid="{26B82984-0E66-4E85-9E15-30F55455A637}"/>
    <hyperlink ref="B305" location="'SUPERMERCADO MIRCAR'!Área_de_impresión" display="'SUPERMERCADO MIRCAR'!Área_de_impresión" xr:uid="{91BA9219-550D-4329-B6EC-564F27DF3337}"/>
    <hyperlink ref="B268" location="'PANADERIA LA CREMITA'!Área_de_impresión" display="'PANADERIA LA CREMITA'!Área_de_impresión" xr:uid="{08D4452F-1D49-4F45-9801-7DDB3CB4221E}"/>
    <hyperlink ref="B203" location="'KIOSCO FRAO'!Área_de_impresión" display="'KIOSCO FRAO'!Área_de_impresión" xr:uid="{9AEE29C6-768E-425B-8CE2-9B82A3AA892D}"/>
    <hyperlink ref="B170" location="'GREYSI JAUREGUI'!Área_de_impresión" display="'GREYSI JAUREGUI'!Área_de_impresión" xr:uid="{D683D896-DF6D-4547-888C-A0C3EBFF5A51}"/>
    <hyperlink ref="B45" location="'BODEGA DE ORO'!Área_de_impresión" display="'BODEGA DE ORO'!Área_de_impresión" xr:uid="{78B662E5-285E-44F7-A3BE-6CE1E9316E28}"/>
    <hyperlink ref="B300" location="'SOLANDE APARICIO'!Área_de_impresión" display="'SOLANDE APARICIO'!Área_de_impresión" xr:uid="{70C75CAB-72B2-4DF6-AC7E-96A7D9DB5F50}"/>
    <hyperlink ref="B262" location="'PANADERIA 3 ESQUINAS'!Área_de_impresión" display="'PANADERIA 3 ESQUINAS'!Área_de_impresión" xr:uid="{AC32DFF1-7F06-4FF2-9AB8-28339B1D9655}"/>
    <hyperlink ref="B18" location="'ABASTO LAS PILAS'!Área_de_impresión" display="'ABASTO LAS PILAS'!Área_de_impresión" xr:uid="{B767C780-6886-42B5-8127-520F431C6BE6}"/>
    <hyperlink ref="B95" location="'CECILIA EMPANADAS'!Área_de_impresión" display="'CECILIA EMPANADAS'!Área_de_impresión" xr:uid="{B1FF3B38-E60E-4D05-A4BE-2E263446D244}"/>
    <hyperlink ref="B285" location="'REINA ALARCON'!Área_de_impresión" display="'REINA ALARCON'!Área_de_impresión" xr:uid="{CD8E5A2D-FF47-4B8D-B6BB-7E8F56478258}"/>
    <hyperlink ref="B219" location="'LIAM SOFI'!Área_de_impresión" display="'LIAM SOFI'!Área_de_impresión" xr:uid="{05D44442-D0A5-4E47-B866-83966BFD1829}"/>
    <hyperlink ref="B89" location="'CARNICERIA 2009'!Área_de_impresión" display="'CARNICERIA 2009'!Área_de_impresión" xr:uid="{EF3B0ABB-D541-4EFD-AF10-AF142D968D8F}"/>
    <hyperlink ref="B131" location="'EL GRONE GOMEZ'!Área_de_impresión" display="'EL GRONE GOMEZ'!Área_de_impresión" xr:uid="{B4F594D9-5803-4DE6-8895-744F51C0E893}"/>
    <hyperlink ref="B265" location="'PANADERIA EL MANJAR'!Área_de_impresión" display="'PANADERIA EL MANJAR'!Área_de_impresión" xr:uid="{BB50CDB1-62C0-4501-9D3A-3F630FBA2B0A}"/>
    <hyperlink ref="B281" location="'POLLO EXPRESS JYB'!Área_de_impresión" display="'POLLO EXPRESS JYB'!Área_de_impresión" xr:uid="{B3496858-C0EE-4E3C-B13C-06FA4B7F554B}"/>
    <hyperlink ref="B26" location="'ALAS COMPAS'!Área_de_impresión" display="'ALAS COMPAS'!Área_de_impresión" xr:uid="{25B3CCFF-1E41-4CCB-9FEF-DC2D7EDB3FAD}"/>
    <hyperlink ref="B85" location="'BODEGON TERESITA'!Área_de_impresión" display="'BODEGON TERESITA'!Área_de_impresión" xr:uid="{5F6F6155-34CF-4C57-9B36-D18369002C83}"/>
    <hyperlink ref="B235" location="'MANGO''S HOT DOG'!Área_de_impresión" display="'MANGO''S HOT DOG'!Área_de_impresión" xr:uid="{C8149CD2-3818-425B-8CD7-B6A4BB2000EF}"/>
    <hyperlink ref="B233" location="'MADEROS BODEGON'!Área_de_impresión" display="'MADEROS BODEGON'!Área_de_impresión" xr:uid="{EB5AB4BB-7EA2-4DA4-88D0-7982454098DE}"/>
    <hyperlink ref="B65" location="'BODEGON DE OLGA'!Área_de_impresión" display="'BODEGON DE OLGA'!Área_de_impresión" xr:uid="{E7467A1E-8BAC-4CCC-B592-97A9FF8A1182}"/>
    <hyperlink ref="B157" location="'FRESCURA DE MI TIERRA'!Área_de_impresión" display="'FRESCURA DE MI TIERRA'!Área_de_impresión" xr:uid="{1AD5F7D0-581E-4ABE-A18C-89151B49313B}"/>
    <hyperlink ref="B207" location="'KIOSCO ROSA VELAZCO'!Área_de_impresión" display="'KIOSCO ROSA VELAZCO'!Área_de_impresión" xr:uid="{5460EFAA-F344-4D9C-8CB5-0B771E89F9CD}"/>
    <hyperlink ref="B58" location="'BODEGA MILAGROS'!Área_de_impresión" display="'BODEGA MILAGROS'!Área_de_impresión" xr:uid="{0BA11FB3-6189-4207-A10C-E6693344BE40}"/>
    <hyperlink ref="B108" location="'COPAS DE PACO'!Área_de_impresión" display="'COPAS DE PACO'!Área_de_impresión" xr:uid="{F9F66A40-132F-4893-A228-22472F690BA9}"/>
    <hyperlink ref="B222" location="'LICORERIA LA VILLA'!Área_de_impresión" display="'LICORERIA LA VILLA'!Área_de_impresión" xr:uid="{C8E96078-1EE5-4AC9-BCBA-FAA703DF0D8E}"/>
    <hyperlink ref="B79" location="'BODEGON LA ESQUINA DE LUIS'!Área_de_impresión" display="'BODEGON LA ESQUINA DE LUIS'!Área_de_impresión" xr:uid="{235DFAE8-F0E8-457B-9495-49574D2C6848}"/>
    <hyperlink ref="B61" location="'BODEGA Y PAPELERIA REY'!Área_de_impresión" display="'BODEGA Y PAPELERIA REY'!Área_de_impresión" xr:uid="{D7DE7564-A9F6-4302-88F4-BB384FDF3AD0}"/>
    <hyperlink ref="B303" location="'SUMINISTRO DE LIMPIEZA PARAMI'!Área_de_impresión" display="'SUMINISTRO DE LIMPIEZA PARAMI'!Área_de_impresión" xr:uid="{EC35BD3F-E2F2-4998-8849-05493D53CE0E}"/>
    <hyperlink ref="B51" location="'BODEGA DONITA'!Área_de_impresión" display="'BODEGA DONITA'!Área_de_impresión" xr:uid="{25C0091E-5EC2-43C7-A385-BC54B28BD810}"/>
    <hyperlink ref="B169" location="'GLORIA RAMIREZ'!Área_de_impresión" display="'GLORIA RAMIREZ'!Área_de_impresión" xr:uid="{7B457781-97C9-49A7-A006-42776EE63C64}"/>
    <hyperlink ref="B154" location="'FLORES DEL TRIGO'!Área_de_impresión" display="'FLORES DEL TRIGO'!Área_de_impresión" xr:uid="{F2A6EBD3-8EE5-413B-93CB-01573535FB35}"/>
    <hyperlink ref="B184" location="'INVERFRUVE SANTANDER'!Área_de_impresión" display="'INVERFRUVE SANTANDER'!Área_de_impresión" xr:uid="{4E7F9F78-00FB-45C7-B592-E6AED6205824}"/>
    <hyperlink ref="B164" location="FRUTITAS!Área_de_impresión" display="FRUTITAS!Área_de_impresión" xr:uid="{69F4C612-8B93-4701-B343-0CFF443D147D}"/>
    <hyperlink ref="B20" location="'ABASTO LUZMAR'!Área_de_impresión" display="'ABASTO LUZMAR'!Área_de_impresión" xr:uid="{09496C66-7DF2-48EC-9B9A-C6D08BDF031E}"/>
    <hyperlink ref="B171" location="'HAMBURGUESAS DONDE YERAL'!Área_de_impresión" display="'HAMBURGUESAS DONDE YERAL'!Área_de_impresión" xr:uid="{066D1FCD-8184-4870-93F2-7D0EDFED18EA}"/>
    <hyperlink ref="B39" location="'BELKIS MONSALVE'!Área_de_impresión" display="'BELKIS MONSALVE'!Área_de_impresión" xr:uid="{A49F711C-9477-4269-B1F0-72EA5C2C6930}"/>
    <hyperlink ref="B231" location="LULU!Área_de_impresión" display="LULU!Área_de_impresión" xr:uid="{F9E27910-98D5-46F1-AD69-186E7F602FC6}"/>
    <hyperlink ref="B269" location="'PANADERIA LA ESPIGA'!Área_de_impresión" display="'PANADERIA LA ESPIGA'!Área_de_impresión" xr:uid="{52435724-EA74-4ADA-9A3F-5E9B663B410E}"/>
    <hyperlink ref="B137" location="'EMPANA LAS NONAS'!Área_de_impresión" display="'EMPANA LAS NONAS'!Área_de_impresión" xr:uid="{EBC1E1EC-4F7D-4BAF-9E82-8101D9C48DE8}"/>
    <hyperlink ref="B266" location="'PANADERIA FLORES TRIGO'!Área_de_impresión" display="'PANADERIA FLORES TRIGO'!Área_de_impresión" xr:uid="{2FC71F19-FB51-404B-852C-B5DE04FBA4F4}"/>
    <hyperlink ref="B301" location="'SONIA GRANADA'!Área_de_impresión" display="'SONIA GRANADA'!Área_de_impresión" xr:uid="{40EA035F-61F5-474A-A6C9-89312250D38F}"/>
    <hyperlink ref="B24" location="'ABASTO YUDERLI'!Área_de_impresión" display="'ABASTO YUDERLI'!Área_de_impresión" xr:uid="{F112C3F2-AB6B-4A97-9986-DD1A180BA1DA}"/>
    <hyperlink ref="B309" location="'TIENDA D DAYANA'!Área_de_impresión" display="'TIENDA D DAYANA'!Área_de_impresión" xr:uid="{187854C8-155E-43E3-B471-FB95EFD31D30}"/>
    <hyperlink ref="B176" location="'HIPER BODEGON'!Área_de_impresión" display="'HIPER BODEGON'!Área_de_impresión" xr:uid="{6C9B9A81-1071-4481-99CA-3B7F18F611F2}"/>
    <hyperlink ref="B256" location="'NEW YORK FITBOXING'!Área_de_impresión" display="'NEW YORK FITBOXING'!Área_de_impresión" xr:uid="{B747E4A7-682A-4372-B6BE-2EEAED02FD63}"/>
    <hyperlink ref="B338" location="'ZONA CAFE'!Área_de_impresión" display="'ZONA CAFE'!Área_de_impresión" xr:uid="{B260E640-E019-4801-AC07-5EE2550418CE}"/>
    <hyperlink ref="B291" location="'RESTAURANT HERMANO DUQUE'!Área_de_impresión" display="'RESTAURANT HERMANO DUQUE'!Área_de_impresión" xr:uid="{56506C72-EE1D-443C-A01A-0C6E0EFA6469}"/>
    <hyperlink ref="B66" location="'BODEGON D KSA'!Área_de_impresión" display="'BODEGON D KSA'!Área_de_impresión" xr:uid="{F3D89644-57FB-4ED8-9F7D-EA3102A7A969}"/>
    <hyperlink ref="B78" location="'BODEGON KATERIN'!Área_de_impresión" display="'BODEGON KATERIN'!Área_de_impresión" xr:uid="{CFC96F42-2529-472C-A218-D14E96E7EB99}"/>
    <hyperlink ref="B151" location="'FARMA BIEN'!Área_de_impresión" display="'FARMA BIEN'!Área_de_impresión" xr:uid="{21AF5EC8-2159-46F7-B49E-9341C2B54335}"/>
    <hyperlink ref="B253" location="'MIREYA MERCHAN'!Área_de_impresión" display="'MIREYA MERCHAN'!Área_de_impresión" xr:uid="{AA2AA8E4-A81C-49B1-A74B-DCB96E1159A9}"/>
    <hyperlink ref="B109" location="'CONSUELO MENDOZA'!Área_de_impresión" display="'CONSUELO MENDOZA'!Área_de_impresión" xr:uid="{F95EC6AD-D2E4-40B5-84FE-81EEC67249F5}"/>
    <hyperlink ref="B278" location="'PLASTICO CONSOLACION'!Área_de_impresión" display="'PLASTICO CONSOLACION'!Área_de_impresión" xr:uid="{41D3A7F6-C30D-4B7C-B54C-0C8EF0245C5B}"/>
    <hyperlink ref="B205" location="'KIOSCO LIAN'!Área_de_impresión" display="'KIOSCO LIAN'!Área_de_impresión" xr:uid="{DC7FFF4D-8939-43D0-8165-8095D03857EF}"/>
    <hyperlink ref="B29" location="AMALUBE!Área_de_impresión" display="AMALUBE!Área_de_impresión" xr:uid="{4F6F41B5-320D-45A1-8556-B158DAEB275E}"/>
    <hyperlink ref="B317" location="'VARIEDADES DYAN'!Área_de_impresión" display="'VARIEDADES DYAN'!Área_de_impresión" xr:uid="{A993AFCB-EF62-4C93-9FF5-5CE0B6C8D3E7}"/>
    <hyperlink ref="B140" location="'EMPRENDIMIENTO LARRY'!Área_de_impresión" display="'EMPRENDIMIENTO LARRY'!Área_de_impresión" xr:uid="{B946E179-FBA2-448B-A83E-E4F5DD811BE2}"/>
    <hyperlink ref="B156" location="FOCACIA!Área_de_impresión" display="FOCACIA!Área_de_impresión" xr:uid="{C75EC6C0-EE12-4836-8F1B-5E577350498A}"/>
    <hyperlink ref="B302" location="'SARAY MOJIKA'!Área_de_impresión" display="'SARAY MOJIKA'!Área_de_impresión" xr:uid="{85CF0E4E-C779-46DB-839C-E1136A01897D}"/>
    <hyperlink ref="B27" location="'ALVARO RINCON'!Área_de_impresión" display="'ALVARO RINCON'!Área_de_impresión" xr:uid="{1317CA84-7D99-4828-840C-4A4BE1CE2CD8}"/>
    <hyperlink ref="B274" location="'PANADERIA VENETIA'!Área_de_impresión" display="'PANADERIA VENETIA'!Área_de_impresión" xr:uid="{E1503C9D-37AD-44FB-B0C7-86A1D6940838}"/>
    <hyperlink ref="B336" location="'YORLEY GELVES'!Área_de_impresión" display="'YORLEY GELVES'!Área_de_impresión" xr:uid="{B27BDB1C-23A1-4E25-8EA6-211007B9B791}"/>
    <hyperlink ref="B152" location="FISICO!Área_de_impresión" display="FISICO!Área_de_impresión" xr:uid="{DDB6A91A-0D56-4655-958C-3719C5217ADD}"/>
    <hyperlink ref="B94" location="'CCP PARAMILLO'!Área_de_impresión" display="'CCP PARAMILLO'!Área_de_impresión" xr:uid="{F58C1600-5794-4EED-B1B8-179794C9F8E0}"/>
    <hyperlink ref="B259" location="'ORIANA CARRILLO'!Área_de_impresión" display="'ORIANA CARRILLO'!Área_de_impresión" xr:uid="{5D2D3191-FC1C-4B86-A988-3D575B38BE2D}"/>
    <hyperlink ref="B283" location="'QUESERA DOBLE A'!Área_de_impresión" display="'QUESERA DOBLE A'!Área_de_impresión" xr:uid="{01BE44EF-8AEB-4890-AA02-65FD5B4B5ADE}"/>
    <hyperlink ref="B124" location="'DONDE QUIERA FOOD HOUSE'!Área_de_impresión" display="'DONDE QUIERA FOOD HOUSE'!Área_de_impresión" xr:uid="{702EE155-8914-4922-87C9-8EE3A98D3907}"/>
    <hyperlink ref="B275" location="'PIEDRA PAPEL O CERVEZA'!Área_de_impresión" display="'PIEDRA PAPEL O CERVEZA'!Área_de_impresión" xr:uid="{D3C3826A-6889-4B9B-987E-8B574573E883}"/>
    <hyperlink ref="B224" location="'LICORERIA MIS ANGELES'!Área_de_impresión" display="'LICORERIA MIS ANGELES'!Área_de_impresión" xr:uid="{A92AB563-E107-4B5E-8802-15C4F19DDAD5}"/>
    <hyperlink ref="B261" location="'PADEL BUNKER'!Área_de_impresión" display="'PADEL BUNKER'!Área_de_impresión" xr:uid="{CCC525A1-1179-4F2C-BC0F-F6CF8D3BB1AB}"/>
    <hyperlink ref="B34" location="APRICOT!Área_de_impresión" display="APRICOT!Área_de_impresión" xr:uid="{EC59F9A6-2598-4CB8-A9EF-43034F01F166}"/>
    <hyperlink ref="B110" location="'CREACIONES YAKY'!Área_de_impresión" display="'CREACIONES YAKY'!Área_de_impresión" xr:uid="{41241497-31C2-4155-ADFC-DB3FED92818E}"/>
    <hyperlink ref="B289" location="'RESTAURANT EL CHAVALO'!Área_de_impresión" display="'RESTAURANT EL CHAVALO'!Área_de_impresión" xr:uid="{C01D6533-B813-4244-9B28-DDF5C74D909E}"/>
    <hyperlink ref="B298" location="'SAUL Q FRUVER'!Área_de_impresión" display="'SAUL Q FRUVER'!Área_de_impresión" xr:uid="{0461D516-DD1A-4D91-B624-61FBE071E82E}"/>
    <hyperlink ref="B295" location="'ROCIO HERRERA'!Área_de_impresión" display="'ROCIO HERRERA'!Área_de_impresión" xr:uid="{FFDA7F88-57AE-4BED-8C17-B0C94809F9FE}"/>
    <hyperlink ref="B115" location="'MINIABASTO SANTO CRISTO'!Área_de_impresión" display="'MINIABASTO SANTO CRISTO'!Área_de_impresión" xr:uid="{078480FB-52CD-4322-9373-3D7910C9A83D}"/>
    <hyperlink ref="B122" location="'DON HECTOR'!Área_de_impresión" display="'DON HECTOR'!Área_de_impresión" xr:uid="{F6D36FCB-3C8A-4B40-B6A2-561ABC54E288}"/>
    <hyperlink ref="B339" location="'ZONA FRESS'!Área_de_impresión" display="'ZONA FRESS'!Área_de_impresión" xr:uid="{09A2A5F0-A0D5-45A2-8980-B739D5E0BFB6}"/>
    <hyperlink ref="B13" location="'ABASTO JAVER'!Área_de_impresión" display="'ABASTO JAVER'!Área_de_impresión" xr:uid="{3549D564-90D6-4F65-BF33-4A1668C75AFC}"/>
    <hyperlink ref="B236" location="'MAIRA CHACON'!Área_de_impresión" display="'MAIRA CHACON'!Área_de_impresión" xr:uid="{2F33A12E-4A7A-4CA8-86A0-99FFCCD1F255}"/>
    <hyperlink ref="B134" location="'EMPRENDIMIENTO EDGAR'!Área_de_impresión" display="'EMPRENDIMIENTO EDGAR'!Área_de_impresión" xr:uid="{BE4817CE-CE1C-4BEF-9127-D89E8825ABE3}"/>
    <hyperlink ref="B276" location="'PIZZERIA ARADO'!Área_de_impresión" display="'PIZZERIA ARADO'!Área_de_impresión" xr:uid="{F8C3A8D0-D895-437A-AD95-AB169ED00DEB}"/>
    <hyperlink ref="B56" location="'BODEGA MARITZA'!Área_de_impresión" display="'BODEGA MARITZA'!Área_de_impresión" xr:uid="{31B14815-6818-4427-9572-89499B021D7C}"/>
    <hyperlink ref="B193" location="'JOSE CONTRERAS'!Área_de_impresión" display="'JOSE CONTRERAS'!Área_de_impresión" xr:uid="{6DF2569E-8314-4A88-82C6-2DDC48EE4D3A}"/>
    <hyperlink ref="B263" location="'PANADERIA CASCARITA'!Área_de_impresión" display="'PANADERIA CASCARITA'!Área_de_impresión" xr:uid="{B01A51CD-DBBA-44D2-93CC-6D636442CCD2}"/>
    <hyperlink ref="B244" location="'MARTA MOLINA'!Área_de_impresión" display="'MARTA MOLINA'!Área_de_impresión" xr:uid="{7D62CCEC-7AD5-4C8C-B5CF-DCFD9C768718}"/>
    <hyperlink ref="B141" location="'EMPRENDIMIENTO MAIBEL'!Área_de_impresión" display="'EMPRENDIMIENTO MAIBEL'!Área_de_impresión" xr:uid="{A51C0D7B-9865-4474-AA82-682E0A6BF463}"/>
    <hyperlink ref="B267" location="'PANADERIA GLENDIZ'!Área_de_impresión" display="'PANADERIA GLENDIZ'!Área_de_impresión" xr:uid="{D0D3CA15-F9CC-47C9-8E6E-A8E2969948D8}"/>
    <hyperlink ref="B68" location="'BODEGON EL COMPADRE'!Área_de_impresión" display="'BODEGON EL COMPADRE'!Área_de_impresión" xr:uid="{CE6E4010-F68B-45F4-901D-6E1232BF9348}"/>
    <hyperlink ref="B125" location="'DONDE YENNY'!Área_de_impresión" display="'DONDE YENNY'!Área_de_impresión" xr:uid="{42BC9890-285F-4496-88C0-B2D4F52D9520}"/>
    <hyperlink ref="B15" location="'ABASTO LAUDA'!Área_de_impresión" display="'ABASTO LAUDA'!Área_de_impresión" xr:uid="{5CFF6C7F-4F52-42C4-8781-44CBD37FB2E2}"/>
    <hyperlink ref="B16" location="'ABASTO LAS CUADRAS'!Área_de_impresión" display="'ABASTO LAS CUADRAS'!Área_de_impresión" xr:uid="{A54874E4-4DB2-4F22-A9E0-3484DB470BEB}"/>
    <hyperlink ref="B76" location="'BODEGON GARCIAS'!Área_de_impresión" display="'BODEGON GARCIAS'!Área_de_impresión" xr:uid="{A971FE48-4D38-4C8B-9803-56AF665145C6}"/>
    <hyperlink ref="B306" location="'TENGO TODO MENESES'!Área_de_impresión" display="'TENGO TODO MENESES'!Área_de_impresión" xr:uid="{7016DAE9-5863-4D96-A455-22BB51CF37CA}"/>
    <hyperlink ref="B53" location="'BODEGA ESCALANTE'!Área_de_impresión" display="'BODEGA ESCALANTE'!Área_de_impresión" xr:uid="{E5AB5692-1862-4B7C-BACC-E7BED2B390DF}"/>
    <hyperlink ref="B116" location="'DE PANA'!Área_de_impresión" display="'DE PANA'!Área_de_impresión" xr:uid="{7435AC70-B564-49E3-8386-57D22B735572}"/>
    <hyperlink ref="B204" location="'KIOSCO FRANKLIN'!Área_de_impresión" display="'KIOSCO FRANKLIN'!Área_de_impresión" xr:uid="{AA565D54-950A-4D56-8231-3DC86DC13A98}"/>
    <hyperlink ref="B99" location="'COLEGIO SANTISIMA TRINIDAD'!Área_de_impresión" display="'COLEGIO SANTISIMA TRINIDAD'!Área_de_impresión" xr:uid="{B241B8FD-7737-4E34-A3F9-C7C5C09DAED2}"/>
    <hyperlink ref="B248" location="'MI RANCHITO'!Área_de_impresión" display="'MI RANCHITO'!Área_de_impresión" xr:uid="{CD8B3245-E86A-4485-82A4-2FD9B30B76B8}"/>
    <hyperlink ref="B340" location="'ZONA MARKET'!Área_de_impresión" display="'ZONA MARKET'!Área_de_impresión" xr:uid="{DE6F9E59-5F2A-49C3-AC0A-B551AF1D3A86}"/>
    <hyperlink ref="B255" location="'NELSON RAMIREZ'!Área_de_impresión" display="'NELSON RAMIREZ'!Área_de_impresión" xr:uid="{51F2A37B-168F-4124-96DA-968F91FA6CB0}"/>
    <hyperlink ref="B67" location="'BODEGON D Y JD'!Área_de_impresión" display="'BODEGON D Y JD'!Área_de_impresión" xr:uid="{EC809810-CC0D-4088-8BBD-DB9DB38C5395}"/>
    <hyperlink ref="B315" location="'VARIEDADES ANA'!Área_de_impresión" display="'VARIEDADES ANA'!Área_de_impresión" xr:uid="{595BC036-B8D5-4502-B85A-F527ECE81711}"/>
    <hyperlink ref="B91" location="'CARNICERIA MARTA'!Área_de_impresión" display="'CARNICERIA MARTA'!Área_de_impresión" xr:uid="{9361CF6D-5122-48CD-BEC2-EC7DD83D02FD}"/>
    <hyperlink ref="B102" location="'COMERCIALIZADORA FLOREZ'!Área_de_impresión" display="'COMERCIALIZADORA FLOREZ'!Área_de_impresión" xr:uid="{9083D234-9169-4468-9525-5ED8C3CB7801}"/>
    <hyperlink ref="B130" location="'EL ATAJO CAFE'!Área_de_impresión" display="'EL ATAJO CAFE'!Área_de_impresión" xr:uid="{18155623-0E89-4DF7-87FB-0DDF8CC49130}"/>
    <hyperlink ref="B318" location="'VARIEDADES EL CHENTE'!Área_de_impresión" display="'VARIEDADES EL CHENTE'!Área_de_impresión" xr:uid="{C77907AC-4DAE-4415-AE8D-702541851C6C}"/>
    <hyperlink ref="B11" location="'ABASTO DON MARCOS'!Área_de_impresión" display="'ABASTO DON MARCOS'!Área_de_impresión" xr:uid="{D5FF02FC-4147-423D-952C-5C3F20F6C0CA}"/>
    <hyperlink ref="B293" location="'RICHARD MONSARI'!Área_de_impresión" display="'RICHARD MONSARI'!Área_de_impresión" xr:uid="{90336F17-8356-4129-B2CA-3206C5CEC091}"/>
    <hyperlink ref="B277" location="'PIZZAS FRATELLO'!Área_de_impresión" display="'PIZZAS FRATELLO'!Área_de_impresión" xr:uid="{5983DD38-51D9-4F4B-BB15-6D4CA7352723}"/>
    <hyperlink ref="B50" location="'BODEGA DE CECI'!Área_de_impresión" display="'BODEGA DE CECI'!Área_de_impresión" xr:uid="{371BF720-B82F-4640-9E96-FBA3E6612363}"/>
    <hyperlink ref="B105" location="'COMERCIALIZADORA ORZY RUZY'!Área_de_impresión" display="'COMERCIALIZADORA ORZY RUZY'!Área_de_impresión" xr:uid="{59E4D610-D1EB-400C-B33B-14D604D49CFC}"/>
    <hyperlink ref="B190" location="'JHONDER COLMENARES'!Área_de_impresión" display="'JHONDER COLMENARES'!Área_de_impresión" xr:uid="{EFE6C557-058B-48CA-815E-D5F0645B6D57}"/>
    <hyperlink ref="B87" location="'CAFE RACER'!Área_de_impresión" display="'CAFE RACER'!Área_de_impresión" xr:uid="{41D7B8F7-29A5-499A-A5F5-92E8E374DC09}"/>
    <hyperlink ref="B119" location="'DISTRIBUIDORA LUCHENI'!Área_de_impresión" display="'DISTRIBUIDORA LUCHENI'!Área_de_impresión" xr:uid="{EABC4F15-A8AE-43F6-8DCE-1E9E4341FDAC}"/>
    <hyperlink ref="B208" location="'KIOSCO QUE PASTELITOS'!Área_de_impresión" display="'KIOSCO QUE PASTELITOS'!Área_de_impresión" xr:uid="{01949568-F636-4460-BF0A-FCA4C0054A27}"/>
    <hyperlink ref="B48" location="'BODEGA EL SOL'!Área_de_impresión" display="'BODEGA EL SOL'!Área_de_impresión" xr:uid="{DB9227AC-FA09-4F3C-98AC-1F480599A83B}"/>
    <hyperlink ref="B167" location="'GERZON CHACON GUERRERO'!Área_de_impresión" display="'GERZON CHACON GUERRERO'!Área_de_impresión" xr:uid="{69B09C83-8237-485B-BC20-F68F25135B62}"/>
    <hyperlink ref="B327" location="'VIVERES CASTELLANA'!Área_de_impresión" display="'VIVERES CASTELLANA'!Área_de_impresión" xr:uid="{330EE0B2-5EE9-477F-A951-CDAC9211FCFC}"/>
    <hyperlink ref="B201" location="'KIOSCO AZUL'!Área_de_impresión" display="'KIOSCO AZUL'!Área_de_impresión" xr:uid="{17E8A874-8E76-40DC-86E9-FCC3922D80BA}"/>
    <hyperlink ref="B296" location="'ROSA AURA MOLINA OLIVEROS'!Área_de_impresión" display="'ROSA AURA MOLINA OLIVEROS'!Área_de_impresión" xr:uid="{68B79E7A-FD43-4F44-A1E4-C8C4099E6961}"/>
    <hyperlink ref="B286" location="'RESTAURANT ALAS BRASAS'!Área_de_impresión" display="'RESTAURANT ALAS BRASAS'!Área_de_impresión" xr:uid="{74F05C61-DDAA-4929-A19B-D785EDD0A2FB}"/>
    <hyperlink ref="B206" location="'KIOSCO N 5'!Área_de_impresión" display="'KIOSCO N 5'!Área_de_impresión" xr:uid="{BBC1D784-C88A-44E6-AC4B-C39B97375857}"/>
    <hyperlink ref="B264" location="'PANADERIA EL CONDOR'!Área_de_impresión" display="'PANADERIA EL CONDOR'!Área_de_impresión" xr:uid="{AE0FAFC3-1720-4BF2-BB3A-87FD7D485637}"/>
    <hyperlink ref="B112" location="'DARIANA ESCALANTE'!Área_de_impresión" display="'DARIANA ESCALANTE'!Área_de_impresión" xr:uid="{B57F9EEB-0CB4-480F-9462-474AF748FB7A}"/>
    <hyperlink ref="B182" location="'INVERSIONES Y VARIEDADES YENIFE'!Área_de_impresión" display="'INVERSIONES Y VARIEDADES YENIFE'!Área_de_impresión" xr:uid="{8A7FA9A0-3512-4074-96FD-620E6744A810}"/>
    <hyperlink ref="B185" location="'JACKSON VILLAMIZAR'!Área_de_impresión" display="'JACKSON VILLAMIZAR'!Área_de_impresión" xr:uid="{730F9909-1AC8-47CD-8EDB-C510C2067121}"/>
    <hyperlink ref="B288" location="'RESTAURANT DONDE GRETA'!Área_de_impresión" display="'RESTAURANT DONDE GRETA'!Área_de_impresión" xr:uid="{8710ECE9-AAED-4816-9595-4CECFA6E5148}"/>
    <hyperlink ref="B197" location="'KARLA ISAZA'!Área_de_impresión" display="'KARLA ISAZA'!Área_de_impresión" xr:uid="{A4286428-2127-4329-9BE8-ACD6C75B92E6}"/>
    <hyperlink ref="B107" location="COMPINCHOS!Área_de_impresión" display="COMPINCHOS!Área_de_impresión" xr:uid="{CEDACB86-13FB-4ED8-9884-EF93E4E5D809}"/>
    <hyperlink ref="B101" location="'COMERCIALIZADORA ALFONSO PEREZ'!Área_de_impresión" display="'COMERCIALIZADORA ALFONSO PEREZ'!Área_de_impresión" xr:uid="{D0DF38BD-C83E-42D3-A17E-3A695136E996}"/>
    <hyperlink ref="B178" location="'HOTEL LA RAMADA'!Área_de_impresión" display="'HOTEL LA RAMADA'!Área_de_impresión" xr:uid="{73DB3697-AED2-4FEF-A3F4-EEE302D53ADA}"/>
    <hyperlink ref="B139" location="'EMPANA SANTA TERESA'!Área_de_impresión" display="'EMPANA SANTA TERESA'!Área_de_impresión" xr:uid="{82B42853-DCD7-4CCC-B079-62E94BFB7D19}"/>
    <hyperlink ref="B297" location="'SANDRA ORTIZ'!Área_de_impresión" display="'SANDRA ORTIZ'!Área_de_impresión" xr:uid="{BA57DFE2-8731-41BB-B494-48A71C7A3795}"/>
    <hyperlink ref="B324" location="'VERIHUZKA ARELLANO'!Área_de_impresión" display="'VERIHUZKA ARELLANO'!Área_de_impresión" xr:uid="{5C8611B6-975D-4D4C-A959-38C991B6C549}"/>
    <hyperlink ref="B129" location="'EDUAR GARCIA'!Área_de_impresión" display="'EDUAR GARCIA'!Área_de_impresión" xr:uid="{E78E00E1-B0E1-49A2-90BD-2CFAE983193C}"/>
    <hyperlink ref="B46" location="'BODEGA EL ARBOLITO'!Área_de_impresión" display="'BODEGA EL ARBOLITO'!Área_de_impresión" xr:uid="{8154EAA5-A3C9-4F00-97DB-99DDD16876BF}"/>
    <hyperlink ref="B199" location="'KARINA MARQUEZ'!Área_de_impresión" display="'KARINA MARQUEZ'!Área_de_impresión" xr:uid="{63DFB415-85F5-4C2D-B408-F276A8DD996C}"/>
    <hyperlink ref="B83" location="'BODEGON MKM'!Área_de_impresión" display="'BODEGON MKM'!Área_de_impresión" xr:uid="{77B30D06-F52F-4FD6-BD91-68C3EDB0DEF5}"/>
    <hyperlink ref="B126" location="'DORIS CAICEDO'!Área_de_impresión" display="'DORIS CAICEDO'!Área_de_impresión" xr:uid="{6BBBCBB5-D920-4DC8-9C98-8791F8DD9D4B}"/>
    <hyperlink ref="B21" location="'ABASTO MIS ANGELES'!Área_de_impresión" display="'ABASTO MIS ANGELES'!Área_de_impresión" xr:uid="{A8CD8E66-6C32-4F0D-8158-1AB1FF8F940E}"/>
    <hyperlink ref="B183" location="'INVERSIONES VIPLAST'!Área_de_impresión" display="'INVERSIONES VIPLAST'!Área_de_impresión" xr:uid="{790FD607-0559-41B5-AA01-252AA8108B95}"/>
    <hyperlink ref="B33" location="'ANDREA URDANETA'!Área_de_impresión" display="'ANDREA URDANETA'!Área_de_impresión" xr:uid="{36D5209D-E8D2-4FB0-B5DA-2E0F4E83CE1C}"/>
    <hyperlink ref="B234" location="'MAGIAS SPA'!Área_de_impresión" display="'MAGIAS SPA'!Área_de_impresión" xr:uid="{DD59B2DB-1D3B-4313-B163-01C9E44E0E3E}"/>
    <hyperlink ref="B72" location="'BODEGON EXPRESS LA ESMERALDA'!Área_de_impresión" display="'BODEGON EXPRESS LA ESMERALDA'!Área_de_impresión" xr:uid="{C13A3F8B-2EBB-4154-AED8-DB4F6159F6FA}"/>
    <hyperlink ref="B145" location="'EMPRENDIMIENTO RAKEL ROJAS'!Área_de_impresión" display="'EMPRENDIMIENTO RAKEL ROJAS'!Área_de_impresión" xr:uid="{CD17E414-5584-4019-A979-477A23E0D8EC}"/>
    <hyperlink ref="B223" location="'LICORERIA LA TURENA'!Área_de_impresión" display="'LICORERIA LA TURENA'!Área_de_impresión" xr:uid="{64409C79-913F-4753-89F2-F96CCB9EA41B}"/>
    <hyperlink ref="B251" location="'MINIMARKET TONY LAS CUADRAS'!Área_de_impresión" display="'MINIMARKET TONY LAS CUADRAS'!Área_de_impresión" xr:uid="{51016858-E54C-4263-9DD9-91FD5CDC996D}"/>
    <hyperlink ref="B133" location="'EL RINCON DEL DULCE'!Área_de_impresión" display="'EL RINCON DEL DULCE'!Área_de_impresión" xr:uid="{ADADCF0B-B127-482A-AEE9-8892FF7E4A9D}"/>
    <hyperlink ref="B312" location="'TRIUNFO BET.COM'!Área_de_impresión" display="'TRIUNFO BET.COM'!Área_de_impresión" xr:uid="{5C548C89-BCE1-46E7-8B5C-9E5E883CBCF9}"/>
    <hyperlink ref="B172" location="'HAMBURGUESAS KIKE'!Área_de_impresión" display="'HAMBURGUESAS KIKE'!Área_de_impresión" xr:uid="{029B4A6A-C574-4FEB-BF1B-E706F5DC5D38}"/>
    <hyperlink ref="B128" location="'EDICSON HERRERA'!Área_de_impresión" display="'EDICSON HERRERA'!Área_de_impresión" xr:uid="{C48A0EB2-9B0F-4CAB-B175-66A1C413E162}"/>
    <hyperlink ref="B243" location="'MERLI CAFE'!Área_de_impresión" display="'MERLI CAFE'!Área_de_impresión" xr:uid="{2002EDD3-DE17-4730-8E5A-E3B902B3183E}"/>
    <hyperlink ref="B120" location="'DISTRIPOLLO LOS ANDES'!Área_de_impresión" display="'DISTRIPOLLO LOS ANDES'!Área_de_impresión" xr:uid="{978DA131-2030-4A31-AEC5-D2EBF8CC9D27}"/>
    <hyperlink ref="B117" location="'DELMIRA RAMIREZ'!Área_de_impresión" display="'DELMIRA RAMIREZ'!Área_de_impresión" xr:uid="{0FA9A13B-BD5D-4A69-9929-14999E1A30B4}"/>
    <hyperlink ref="B192" location="'JOLIVERO LUNA OSTOS'!Área_de_impresión" display="'JOLIVERO LUNA OSTOS'!Área_de_impresión" xr:uid="{EAE8A67E-3CA7-47A8-8767-E53D051D59AF}"/>
    <hyperlink ref="B111" location="'DANIEL VERSIONES DURAN'!Área_de_impresión" display="'DANIEL VERSIONES DURAN'!Área_de_impresión" xr:uid="{6139DBC6-DD6A-4AE2-B0A0-A9D25974DEED}"/>
    <hyperlink ref="B333" location="'YEAH EXPRESS'!Área_de_impresión" display="'YEAH EXPRESS'!Área_de_impresión" xr:uid="{36523068-1934-4773-9705-1A93152E26DB}"/>
    <hyperlink ref="B328" location="WAPUBLICIDAD!Área_de_impresión" display="WAPUBLICIDAD!Área_de_impresión" xr:uid="{1A12CB25-08BB-42F3-8E31-EA36B651D0E5}"/>
    <hyperlink ref="B307" location="'TERRAZA BAR GRILL'!Área_de_impresión" display="'TERRAZA BAR GRILL'!Área_de_impresión" xr:uid="{80F144DE-0750-4C5F-BE6D-BF2BD8E00C05}"/>
    <hyperlink ref="B143" location="'EMPRENDIMIENTO MARIA ROMERO'!Área_de_impresión" display="'EMPRENDIMIENTO MARIA ROMERO'!Área_de_impresión" xr:uid="{D91102BA-D2D6-4185-9E79-CB9A3212DA76}"/>
    <hyperlink ref="B322" location="'VARIEDADES LA TURENA'!Área_de_impresión" display="'VARIEDADES LA TURENA'!Área_de_impresión" xr:uid="{E82B5D62-2A3B-4C66-9FBC-67AC5B47BDE0}"/>
    <hyperlink ref="B47" location="'BODEGA EL GATO'!Área_de_impresión" display="'BODEGA EL GATO'!Área_de_impresión" xr:uid="{129473A8-15A2-4910-B941-F0CD1714CA77}"/>
    <hyperlink ref="B227" location="LUBRICFILTROS!Área_de_impresión" display="LUBRICFILTROS!Área_de_impresión" xr:uid="{0844133A-E566-4C43-935E-56F78E6F44A6}"/>
    <hyperlink ref="B69" location="'BODEGON ENDER GUERRERO'!Área_de_impresión" display="'BODEGON ENDER GUERRERO'!Área_de_impresión" xr:uid="{753F2F31-7DBB-4C2C-A531-A750F44233D0}"/>
    <hyperlink ref="B35" location="'AURA VIVAS'!Área_de_impresión" display="'AURA VIVAS'!Área_de_impresión" xr:uid="{A32A4E4B-8F74-4E87-95A8-70D67C5FA2D3}"/>
    <hyperlink ref="B31" location="'ANDERZON POLAR'!Área_de_impresión" display="'ANDERZON POLAR'!Área_de_impresión" xr:uid="{FCCD9B1B-2DD5-46C6-B212-976E59290C69}"/>
    <hyperlink ref="B55" location="'BODEGA MARIA'!Área_de_impresión" display="'BODEGA MARIA'!Área_de_impresión" xr:uid="{AF241C98-6843-42AD-AD02-7B6A9D2742D6}"/>
    <hyperlink ref="B254" location="'MORCILLAS WENDY'!Área_de_impresión" display="'MORCILLAS WENDY'!Área_de_impresión" xr:uid="{A9BED04E-511F-4BFB-87CE-34465BA1844E}"/>
    <hyperlink ref="B135" location="'EMPANADA ANA RAMIREZ'!A1" display="'EMPANADA ANA RAMIREZ'!A1" xr:uid="{B5A21C50-A8EC-4B10-A2AD-E9FBB86B6AEB}"/>
    <hyperlink ref="B228" location="'LUDY CARRILLO'!Área_de_impresión" display="'LUDY CARRILLO'!Área_de_impresión" xr:uid="{89513CD8-ADC5-4C4F-9613-4124342FCE37}"/>
    <hyperlink ref="B304" location="'SUPERMERCADO MERCAFRUVER'!Área_de_impresión" display="'SUPERMERCADO MERCAFRUVER'!Área_de_impresión" xr:uid="{0DA42F28-8804-4C9B-9E59-DAE66650F97A}"/>
    <hyperlink ref="B209" location="'KIOSCO VIDA VERDE'!Área_de_impresión" display="'KIOSCO VIDA VERDE'!Área_de_impresión" xr:uid="{BB0F9199-C389-4C17-B6F9-B59ACE54BED4}"/>
    <hyperlink ref="B118" location="'DISTRIBUIDO DE DOS'!Área_de_impresión" display="'DISTRIBUIDO DE DOS'!Área_de_impresión" xr:uid="{B15886F5-AC60-4DD2-99F0-082F730B1007}"/>
    <hyperlink ref="B292" location="'RESTAURANT Y PASTELERIA LA TENT'!Área_de_impresión" display="'RESTAURANT Y PASTELERIA LA TENT'!Área_de_impresión" xr:uid="{7DEA00E5-2531-4C85-BCEF-EDA43B413220}"/>
    <hyperlink ref="B19" location="'ABASTO LUZ VALERO'!Área_de_impresión" display="'ABASTO LUZ VALERO'!Área_de_impresión" xr:uid="{ED61FFD9-B894-4531-B1E1-50B21742D555}"/>
    <hyperlink ref="B282" location="'POLLO BRASAS BUSTAMANTE'!Área_de_impresión" display="'POLLO BRASAS BUSTAMANTE'!Área_de_impresión" xr:uid="{A7002FA9-A4C1-46A1-9323-A6AA2127FF05}"/>
    <hyperlink ref="B332" location="'YIMY POLAR'!Área_de_impresión" display="'YIMY POLAR'!Área_de_impresión" xr:uid="{F89B82E6-6E30-46CB-AA87-64DE6B5F3189}"/>
    <hyperlink ref="B180" location="'INVERSIONES ELY'!Área_de_impresión" display="'INVERSIONES ELY'!Área_de_impresión" xr:uid="{E148CF4A-5908-437D-9CF0-DA42D46CE488}"/>
    <hyperlink ref="B23" location="'ABASTO Y CHARCUTERIA WILMARY'!Área_de_impresión" display="'ABASTO Y CHARCUTERIA WILMARY'!Área_de_impresión" xr:uid="{830BF979-DB26-4E36-ABA8-057BFE5BB2D8}"/>
    <hyperlink ref="B326" location="'VIVERES BR'!Área_de_impresión" display="'VIVERES BR'!Área_de_impresión" xr:uid="{3F2CCFCB-744D-4AD2-950C-347D8FD105FC}"/>
    <hyperlink ref="B96" location="CEMUCA!Área_de_impresión" display="CEMUCA!Área_de_impresión" xr:uid="{D96B306A-3278-478A-B2C0-3972CDDDF7E3}"/>
    <hyperlink ref="B226" location="'LOS SARTENES DE AMITA'!Área_de_impresión" display="'LOS SARTENES DE AMITA'!Área_de_impresión" xr:uid="{CC448E62-EB8F-44EC-801C-7295C4C82F52}"/>
    <hyperlink ref="B225" location="'LICORERIA TOICO JYG'!Área_de_impresión" display="'LICORERIA TOICO JYG'!Área_de_impresión" xr:uid="{3831CD50-AA8C-4A4C-9D1D-5AA200CD91FF}"/>
    <hyperlink ref="B242" location="'MARLENE CARRERO'!Área_de_impresión" display="'MARLENE CARRERO'!Área_de_impresión" xr:uid="{1A7FBC3C-FF87-4A8E-AFF7-A63B5F4F76E3}"/>
    <hyperlink ref="B287" location="'RESTAURANT AROMAS'!Área_de_impresión" display="'RESTAURANT AROMAS'!Área_de_impresión" xr:uid="{06857A13-7D16-4B30-84CE-7A7B4207FBAF}"/>
    <hyperlink ref="B212" location="'LAURA NINO DAVILA'!Área_de_impresión" display="'LAURA NINO DAVILA'!Área_de_impresión" xr:uid="{3ACC860C-8AC8-4554-94F1-E9D0FFE9BE8F}"/>
    <hyperlink ref="B162" location="'FRUTERIA LA COLINA'!Área_de_impresión" display="'FRUTERIA LA COLINA'!Área_de_impresión" xr:uid="{993FF323-D2AE-4638-BBD4-DB23A4498617}"/>
    <hyperlink ref="B319" location="'VARIEDADES JHOSTEPH'!Área_de_impresión" display="'VARIEDADES JHOSTEPH'!Área_de_impresión" xr:uid="{06BAA56F-6A4E-4AE8-87F9-35490632B236}"/>
    <hyperlink ref="B249" location="'MINIMARKET BUENA VENTURA'!Área_de_impresión" display="'MINIMARKET BUENA VENTURA'!Área_de_impresión" xr:uid="{81553A43-45D9-4B31-99C0-690D2494FB5E}"/>
    <hyperlink ref="B113" location="'DAVID DIAZ'!Área_de_impresión" display="'DAVID DIAZ'!Área_de_impresión" xr:uid="{895A7842-D4AA-49BD-A774-71E304D8A3A1}"/>
    <hyperlink ref="B149" location="'EVENTO SENIAT'!Área_de_impresión" display="'EVENTO SENIAT'!Área_de_impresión" xr:uid="{870D4114-A4F5-4BCA-84DE-7E1F0AADED7B}"/>
    <hyperlink ref="B52" location="'BODEGA EL GUARO'!Área_de_impresión" display="'BODEGA EL GUARO'!Área_de_impresión" xr:uid="{D7695C5C-FFB7-45EA-A2FA-37D69576BA11}"/>
    <hyperlink ref="B163" location="'FRUTERIA MI PEQUENA AURIYASMIN'!Área_de_impresión" display="'FRUTERIA MI PEQUENA AURIYASMIN'!Área_de_impresión" xr:uid="{C37895C3-0A22-463D-A7E2-D855F01DF111}"/>
    <hyperlink ref="B153" location="'FLOR ASOGATA'!Área_de_impresión" display="'FLOR ASOGATA'!Área_de_impresión" xr:uid="{D302ED59-AFD5-41C1-99B2-D348F76BEAE7}"/>
    <hyperlink ref="B100" location="'COLEGIO SANTO CRISTO'!Área_de_impresión" display="'COLEGIO SANTO CRISTO'!Área_de_impresión" xr:uid="{43D7C989-F522-4DE4-9139-27CF3DA5C75F}"/>
    <hyperlink ref="B214" location="'LA CASA DEL CHOCHECO'!Área_de_impresión" display="'LA CASA DEL CHOCHECO'!Área_de_impresión" xr:uid="{5363840E-CF9A-4030-B37C-DA28D37FF944}"/>
    <hyperlink ref="B150" location="'EVENTUAL NELSON'!Área_de_impresión" display="'EVENTUAL NELSON'!Área_de_impresión" xr:uid="{9585FF49-2FBC-4121-86CF-2BAF8086B413}"/>
    <hyperlink ref="B320" location="'VARIEDADES JOSE GREGORIO HERNAN'!Área_de_impresión" display="'VARIEDADES JOSE GREGORIO HERNAN'!Área_de_impresión" xr:uid="{F3B2CDE2-FB1A-401C-992A-FA927758074C}"/>
    <hyperlink ref="B148" location="'ERIKA DIAMANTE EXPRESS'!Área_de_impresión" display="'ERIKA DIAMANTE EXPRESS'!Área_de_impresión" xr:uid="{E7CA6872-F43F-4CE8-9723-DAEB071D665B}"/>
    <hyperlink ref="B160" location="'FRUTAS Y VERDURAS DON OMAR'!Área_de_impresión" display="'FRUTAS Y VERDURAS DON OMAR'!Área_de_impresión" xr:uid="{FF8C3AFB-42FE-4BC8-B009-9A371F20FF61}"/>
    <hyperlink ref="B159" location="'FRIGORIFICO OROZCO'!Área_de_impresión" display="'FRIGORIFICO OROZCO'!Área_de_impresión" xr:uid="{CA3A2B16-E4B1-44C4-9DD7-8AA6C193DCDA}"/>
    <hyperlink ref="B218" location="'LEIDY GARCIA'!Área_de_impresión" display="'LEIDY GARCIA'!Área_de_impresión" xr:uid="{945586D1-9DB1-41E3-86CE-D10778941F74}"/>
    <hyperlink ref="B239" location="'MARIA JAIMES'!Área_de_impresión" display="'MARIA JAIMES'!Área_de_impresión" xr:uid="{10321C95-F0E5-4B32-99B8-90A956317BED}"/>
    <hyperlink ref="B175" location="'HENRY PARRA'!Área_de_impresión" display="'HENRY PARRA'!Área_de_impresión" xr:uid="{AC01EB67-183B-4E36-A714-FD3DAE04635B}"/>
    <hyperlink ref="B98" location="'CHACARO CREAM'!A1" display="'CHACARO CREAM'!A1" xr:uid="{380CD7F5-62F7-4FD0-A068-5E7B8377539E}"/>
    <hyperlink ref="B158" location="'FRIGORIFICO GABISCAR'!Área_de_impresión" display="'FRIGORIFICO GABISCAR'!Área_de_impresión" xr:uid="{A0E8D871-67D9-4168-8709-BAD055F8C84D}"/>
    <hyperlink ref="B313" location="'TODOCARNES PEDRO'!Área_de_impresión" display="'TODOCARNES PEDRO'!Área_de_impresión" xr:uid="{5D7F5014-A52B-4635-A1C7-7594E21B3F7B}"/>
    <hyperlink ref="B196" location="'KAREN PRADO'!Área_de_impresión" display="'KAREN PRADO'!Área_de_impresión" xr:uid="{9EB29885-A3D7-4763-8C17-2B9F7E802FF0}"/>
    <hyperlink ref="B30" location="'AMEZQUITA BODEGON'!Área_de_impresión" display="'AMEZQUITA BODEGON'!Área_de_impresión" xr:uid="{7A4D6305-D492-4255-86BD-869F601DCA93}"/>
    <hyperlink ref="B310" location="'TIENDA LOS MIOS'!Área_de_impresión" display="'TIENDA LOS MIOS'!Área_de_impresión" xr:uid="{576AE89B-4378-4182-80EF-E0F181BF7B4C}"/>
    <hyperlink ref="B64" location="'BODEGON DE ELIDA'!Área_de_impresión" display="'BODEGON DE ELIDA'!Área_de_impresión" xr:uid="{B85AB263-7CBF-496E-B1DC-087AA47749DB}"/>
    <hyperlink ref="B173" location="'HELADERIA CRETA'!Área_de_impresión" display="'HELADERIA CRETA'!Área_de_impresión" xr:uid="{4ED9B880-F6F8-4D8F-92F6-6C47CA69D5D3}"/>
    <hyperlink ref="B147" location="'EMPRENDIMIENTO YOSMAR GANBOA'!Área_de_impresión" display="'EMPRENDIMIENTO YOSMAR GANBOA'!Área_de_impresión" xr:uid="{B53BD993-4E7B-472F-93EA-EB6E4A81964A}"/>
    <hyperlink ref="B136" location="'EMPANADA BELKIS ZAMBRANO'!A1" display="'EMPANADA BELKIS ZAMBRANO'!A1" xr:uid="{3ADAE4F1-70D8-4DC8-BF3B-C679CF7D98FB}"/>
    <hyperlink ref="B165" location="'FUSION SPORT BAR'!Área_de_impresión" display="'FUSION SPORT BAR'!Área_de_impresión" xr:uid="{18C62226-449C-418C-8B85-FCA6151F1793}"/>
    <hyperlink ref="B36" location="'AVENTURA INFLABLE'!Área_de_impresión" display="'AVENTURA INFLABLE'!Área_de_impresión" xr:uid="{8520A879-C744-4DE9-AE21-BADE2D4A6207}"/>
    <hyperlink ref="B123" location="'DONDE MIGUEL'!Área_de_impresión" display="'DONDE MIGUEL'!Área_de_impresión" xr:uid="{6E1DEB6C-81D6-41A4-89B8-F80D25480123}"/>
    <hyperlink ref="B174" location="'HELADERIA HAPPY DAY'!Área_de_impresión" display="'HELADERIA HAPPY DAY'!Área_de_impresión" xr:uid="{1C507E84-6499-4653-9CB0-111D962F3729}"/>
    <hyperlink ref="B308" location="'TIBISAY MORALES'!Área_de_impresión" display="'TIBISAY MORALES'!Área_de_impresión" xr:uid="{BF72EA39-6954-433E-986A-BF9AB1E192C2}"/>
    <hyperlink ref="B155" location="'FLORESK &amp; CAFE'!Área_de_impresión" display="'FLORESK &amp; CAFE'!Área_de_impresión" xr:uid="{380C8A59-5256-4C38-94EE-A4943F88EBF7}"/>
    <hyperlink ref="B240" location="'MARICARMEN TERRAZA'!Área_de_impresión" display="'MARICARMEN TERRAZA'!Área_de_impresión" xr:uid="{1F2BFE5E-1521-4B8E-AFE4-CB71D75F8EE1}"/>
    <hyperlink ref="B186" location="'JAVIER TERCERIADO'!Área_de_impresión" display="'JAVIER TERCERIADO'!Área_de_impresión" xr:uid="{C49CD0D7-D56E-4659-92DD-16A2E86041B2}"/>
    <hyperlink ref="B37" location="'BARBERIA SPARTA'!Área_de_impresión" display="'BARBERIA SPARTA'!Área_de_impresión" xr:uid="{8BEF388B-D7D3-4BBA-BC73-008E9DDA5D36}"/>
    <hyperlink ref="B191" location="'JONATAN ALEXIS BARON QUEZADA'!Área_de_impresión" display="'JONATAN ALEXIS BARON QUEZADA'!Área_de_impresión" xr:uid="{DD39227E-349C-417E-B552-86B21DB7852C}"/>
    <hyperlink ref="B279" location="'PLASTICO YENNIFER PEREZ'!Área_de_impresión" display="'PLASTICO YENNIFER PEREZ'!Área_de_impresión" xr:uid="{26E3E9A7-EFAF-40D7-8B32-ECE56A913EDF}"/>
    <hyperlink ref="B229" location="'LUNCHERIA LOLITA'!Área_de_impresión" display="'LUNCHERIA LOLITA'!Área_de_impresión" xr:uid="{D70F9C65-9B9D-4F7C-A7E8-01A48C86DBBF}"/>
    <hyperlink ref="B321" location="'VARIEDADES GAVI'!A1" display="'VARIEDADES GAVI'!A1" xr:uid="{1A5AF41D-33E2-46DE-8B8D-FCD642EC5B63}"/>
    <hyperlink ref="B138" location="'EMPANADA LIAM'!Área_de_impresión" display="'EMPANADA LIAM'!Área_de_impresión" xr:uid="{0C2B2AAA-EA40-47A4-8B86-409F9E19210E}"/>
    <hyperlink ref="B166" location="'FUSION SPORT BAR'!Área_de_impresión" display="'FUSION SPORT BAR'!Área_de_impresión" xr:uid="{6F2BAC1A-0639-4767-BF19-138481E86B26}"/>
  </hyperlinks>
  <pageMargins left="0.7" right="0.7" top="0.75" bottom="0.75" header="0.3" footer="0.3"/>
  <pageSetup paperSize="14" scale="58" orientation="portrait" r:id="rId1"/>
  <rowBreaks count="3" manualBreakCount="3">
    <brk id="415" max="11" man="1"/>
    <brk id="476" max="11" man="1"/>
    <brk id="539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57705-5668-4DAE-AA0F-F19524A936B8}">
  <sheetPr codeName="Hoja2"/>
  <dimension ref="A1:H135"/>
  <sheetViews>
    <sheetView view="pageBreakPreview" topLeftCell="A100" zoomScale="80" zoomScaleNormal="100" zoomScaleSheetLayoutView="80" workbookViewId="0">
      <selection activeCell="C135" sqref="C13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119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452.00999999999959</v>
      </c>
      <c r="D3" s="20">
        <f>SUM(D$4:D$1048576)</f>
        <v>1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45815</v>
      </c>
      <c r="B5" s="32" t="s">
        <v>21</v>
      </c>
      <c r="C5" s="24">
        <v>53.29</v>
      </c>
      <c r="D5" s="30">
        <v>1</v>
      </c>
      <c r="E5" s="30"/>
      <c r="F5" s="30"/>
      <c r="G5" s="22"/>
    </row>
    <row r="6" spans="1:8" hidden="1" x14ac:dyDescent="0.3">
      <c r="A6" s="21">
        <v>45815</v>
      </c>
      <c r="B6" s="34" t="s">
        <v>21</v>
      </c>
      <c r="C6" s="24">
        <v>70.599999999999994</v>
      </c>
    </row>
    <row r="7" spans="1:8" hidden="1" x14ac:dyDescent="0.3">
      <c r="A7" s="21">
        <v>45815</v>
      </c>
      <c r="B7" s="46" t="s">
        <v>21</v>
      </c>
      <c r="C7" s="24">
        <v>47.6</v>
      </c>
    </row>
    <row r="8" spans="1:8" hidden="1" x14ac:dyDescent="0.3">
      <c r="A8" s="26">
        <v>45821</v>
      </c>
      <c r="B8" s="27" t="s">
        <v>4</v>
      </c>
      <c r="C8" s="24">
        <v>-171.49</v>
      </c>
    </row>
    <row r="9" spans="1:8" hidden="1" x14ac:dyDescent="0.3">
      <c r="A9" s="26">
        <v>45821</v>
      </c>
      <c r="B9" s="32" t="s">
        <v>21</v>
      </c>
      <c r="C9" s="24">
        <v>48.5</v>
      </c>
    </row>
    <row r="10" spans="1:8" hidden="1" x14ac:dyDescent="0.3">
      <c r="A10" s="26">
        <v>45821</v>
      </c>
      <c r="B10" s="34" t="s">
        <v>21</v>
      </c>
      <c r="C10" s="24">
        <v>18.5</v>
      </c>
    </row>
    <row r="11" spans="1:8" hidden="1" x14ac:dyDescent="0.3">
      <c r="A11" s="26">
        <v>45821</v>
      </c>
      <c r="B11" s="27" t="s">
        <v>1</v>
      </c>
      <c r="C11" s="24">
        <v>245.76</v>
      </c>
    </row>
    <row r="12" spans="1:8" hidden="1" x14ac:dyDescent="0.3">
      <c r="A12" s="26">
        <v>45828</v>
      </c>
      <c r="B12" s="32" t="s">
        <v>21</v>
      </c>
      <c r="C12" s="24">
        <v>30.8</v>
      </c>
      <c r="D12" s="25">
        <v>-1</v>
      </c>
    </row>
    <row r="13" spans="1:8" hidden="1" x14ac:dyDescent="0.3">
      <c r="A13" s="26">
        <v>45828</v>
      </c>
      <c r="B13" s="34" t="s">
        <v>21</v>
      </c>
      <c r="C13" s="24">
        <v>52.06</v>
      </c>
    </row>
    <row r="14" spans="1:8" hidden="1" x14ac:dyDescent="0.3">
      <c r="A14" s="26">
        <v>45828</v>
      </c>
      <c r="B14" s="27" t="s">
        <v>1</v>
      </c>
      <c r="C14" s="24">
        <v>60.4</v>
      </c>
    </row>
    <row r="15" spans="1:8" hidden="1" x14ac:dyDescent="0.3">
      <c r="A15" s="26">
        <v>45831</v>
      </c>
      <c r="B15" s="27" t="s">
        <v>4</v>
      </c>
      <c r="C15" s="24">
        <v>-312.75</v>
      </c>
    </row>
    <row r="16" spans="1:8" hidden="1" x14ac:dyDescent="0.3">
      <c r="A16" s="26">
        <v>45838</v>
      </c>
      <c r="B16" s="27" t="s">
        <v>4</v>
      </c>
      <c r="C16" s="24">
        <v>-143.26</v>
      </c>
    </row>
    <row r="17" spans="1:4" hidden="1" x14ac:dyDescent="0.3">
      <c r="A17" s="26">
        <v>45842</v>
      </c>
      <c r="B17" s="32" t="s">
        <v>21</v>
      </c>
      <c r="C17" s="24">
        <v>82.23</v>
      </c>
    </row>
    <row r="18" spans="1:4" hidden="1" x14ac:dyDescent="0.3">
      <c r="A18" s="26">
        <v>45842</v>
      </c>
      <c r="B18" s="34" t="s">
        <v>21</v>
      </c>
      <c r="C18" s="24">
        <v>93.28</v>
      </c>
    </row>
    <row r="19" spans="1:4" hidden="1" x14ac:dyDescent="0.3">
      <c r="A19" s="26">
        <v>45842</v>
      </c>
      <c r="B19" s="46" t="s">
        <v>21</v>
      </c>
      <c r="C19" s="24">
        <v>16.62</v>
      </c>
    </row>
    <row r="20" spans="1:4" hidden="1" x14ac:dyDescent="0.3">
      <c r="A20" s="26">
        <v>45849</v>
      </c>
      <c r="B20" s="27" t="s">
        <v>4</v>
      </c>
      <c r="C20" s="24">
        <v>-192.13</v>
      </c>
    </row>
    <row r="21" spans="1:4" hidden="1" x14ac:dyDescent="0.3">
      <c r="A21" s="26">
        <v>45849</v>
      </c>
      <c r="B21" s="32" t="s">
        <v>21</v>
      </c>
      <c r="C21" s="24">
        <v>96.57</v>
      </c>
    </row>
    <row r="22" spans="1:4" hidden="1" x14ac:dyDescent="0.3">
      <c r="A22" s="26">
        <v>45849</v>
      </c>
      <c r="B22" s="34" t="s">
        <v>21</v>
      </c>
      <c r="C22" s="24">
        <v>18.29</v>
      </c>
    </row>
    <row r="23" spans="1:4" hidden="1" x14ac:dyDescent="0.3">
      <c r="A23" s="26">
        <v>45849</v>
      </c>
      <c r="B23" s="46" t="s">
        <v>21</v>
      </c>
      <c r="C23" s="24">
        <v>39.32</v>
      </c>
    </row>
    <row r="24" spans="1:4" hidden="1" x14ac:dyDescent="0.3">
      <c r="A24" s="26">
        <v>45849</v>
      </c>
      <c r="B24" s="27" t="s">
        <v>1</v>
      </c>
      <c r="C24" s="24">
        <v>62.4</v>
      </c>
      <c r="D24" s="25">
        <v>3</v>
      </c>
    </row>
    <row r="25" spans="1:4" hidden="1" x14ac:dyDescent="0.3">
      <c r="A25" s="26">
        <v>45859</v>
      </c>
      <c r="B25" s="27" t="s">
        <v>4</v>
      </c>
      <c r="C25" s="24">
        <v>-216.59</v>
      </c>
    </row>
    <row r="26" spans="1:4" hidden="1" x14ac:dyDescent="0.3">
      <c r="A26" s="26">
        <v>45859</v>
      </c>
      <c r="B26" s="27" t="s">
        <v>4</v>
      </c>
      <c r="C26" s="24">
        <v>-181.58</v>
      </c>
    </row>
    <row r="27" spans="1:4" hidden="1" x14ac:dyDescent="0.3">
      <c r="A27" s="26">
        <v>45856</v>
      </c>
      <c r="B27" s="32" t="s">
        <v>21</v>
      </c>
      <c r="C27" s="24">
        <v>105.03</v>
      </c>
      <c r="D27" s="25">
        <v>-2</v>
      </c>
    </row>
    <row r="28" spans="1:4" hidden="1" x14ac:dyDescent="0.3">
      <c r="A28" s="26">
        <v>45856</v>
      </c>
      <c r="B28" s="34" t="s">
        <v>21</v>
      </c>
      <c r="C28" s="24">
        <f>72.61+3.91</f>
        <v>76.52</v>
      </c>
    </row>
    <row r="29" spans="1:4" hidden="1" x14ac:dyDescent="0.3">
      <c r="A29" s="26">
        <v>45863</v>
      </c>
      <c r="B29" s="32" t="s">
        <v>21</v>
      </c>
      <c r="C29" s="24">
        <v>58.9</v>
      </c>
    </row>
    <row r="30" spans="1:4" hidden="1" x14ac:dyDescent="0.3">
      <c r="A30" s="26">
        <v>45863</v>
      </c>
      <c r="B30" s="34" t="s">
        <v>21</v>
      </c>
      <c r="C30" s="24">
        <v>92.16</v>
      </c>
    </row>
    <row r="31" spans="1:4" hidden="1" x14ac:dyDescent="0.3">
      <c r="A31" s="26">
        <v>45867</v>
      </c>
      <c r="B31" s="27" t="s">
        <v>4</v>
      </c>
      <c r="C31" s="24">
        <v>-1029.72</v>
      </c>
    </row>
    <row r="32" spans="1:4" hidden="1" x14ac:dyDescent="0.3">
      <c r="A32" s="26">
        <v>45867</v>
      </c>
      <c r="B32" s="27" t="s">
        <v>4</v>
      </c>
      <c r="C32" s="24">
        <v>-151.06</v>
      </c>
    </row>
    <row r="33" spans="1:3" hidden="1" x14ac:dyDescent="0.3">
      <c r="A33" s="26">
        <v>45867</v>
      </c>
      <c r="B33" s="32" t="s">
        <v>21</v>
      </c>
      <c r="C33" s="24">
        <v>39</v>
      </c>
    </row>
    <row r="34" spans="1:3" hidden="1" x14ac:dyDescent="0.3">
      <c r="A34" s="26">
        <v>45867</v>
      </c>
      <c r="B34" s="34" t="s">
        <v>21</v>
      </c>
      <c r="C34" s="24">
        <v>863.4</v>
      </c>
    </row>
    <row r="35" spans="1:3" hidden="1" x14ac:dyDescent="0.3">
      <c r="A35" s="26">
        <v>45867</v>
      </c>
      <c r="B35" s="27" t="s">
        <v>1</v>
      </c>
      <c r="C35" s="24">
        <v>117.32</v>
      </c>
    </row>
    <row r="36" spans="1:3" hidden="1" x14ac:dyDescent="0.3">
      <c r="A36" s="26">
        <v>45870</v>
      </c>
      <c r="B36" s="32" t="s">
        <v>21</v>
      </c>
      <c r="C36" s="24">
        <v>137.01</v>
      </c>
    </row>
    <row r="37" spans="1:3" hidden="1" x14ac:dyDescent="0.3">
      <c r="A37" s="26">
        <v>45870</v>
      </c>
      <c r="B37" s="34" t="s">
        <v>21</v>
      </c>
      <c r="C37" s="24">
        <v>148.71</v>
      </c>
    </row>
    <row r="38" spans="1:3" hidden="1" x14ac:dyDescent="0.3">
      <c r="A38" s="26">
        <v>45870</v>
      </c>
      <c r="B38" s="46" t="s">
        <v>21</v>
      </c>
      <c r="C38" s="24">
        <v>9.86</v>
      </c>
    </row>
    <row r="39" spans="1:3" hidden="1" x14ac:dyDescent="0.3">
      <c r="A39" s="26">
        <v>45877</v>
      </c>
      <c r="B39" s="27" t="s">
        <v>4</v>
      </c>
      <c r="C39" s="24">
        <v>-295.58</v>
      </c>
    </row>
    <row r="40" spans="1:3" hidden="1" x14ac:dyDescent="0.3">
      <c r="A40" s="26">
        <v>45877</v>
      </c>
      <c r="B40" s="27" t="s">
        <v>4</v>
      </c>
      <c r="C40" s="24">
        <v>-384.42</v>
      </c>
    </row>
    <row r="41" spans="1:3" hidden="1" x14ac:dyDescent="0.3">
      <c r="A41" s="26">
        <v>45877</v>
      </c>
      <c r="B41" s="32" t="s">
        <v>21</v>
      </c>
      <c r="C41" s="24">
        <v>73.72</v>
      </c>
    </row>
    <row r="42" spans="1:3" hidden="1" x14ac:dyDescent="0.3">
      <c r="A42" s="26">
        <v>45877</v>
      </c>
      <c r="B42" s="34" t="s">
        <v>21</v>
      </c>
      <c r="C42" s="24">
        <v>570.39</v>
      </c>
    </row>
    <row r="43" spans="1:3" hidden="1" x14ac:dyDescent="0.3">
      <c r="A43" s="26">
        <v>45877</v>
      </c>
      <c r="B43" s="46" t="s">
        <v>21</v>
      </c>
      <c r="C43" s="24">
        <v>64.03</v>
      </c>
    </row>
    <row r="44" spans="1:3" hidden="1" x14ac:dyDescent="0.3">
      <c r="A44" s="26">
        <v>45884</v>
      </c>
      <c r="B44" s="32" t="s">
        <v>21</v>
      </c>
      <c r="C44" s="24">
        <v>126.47</v>
      </c>
    </row>
    <row r="45" spans="1:3" hidden="1" x14ac:dyDescent="0.3">
      <c r="A45" s="26">
        <v>45884</v>
      </c>
      <c r="B45" s="34" t="s">
        <v>21</v>
      </c>
      <c r="C45" s="24">
        <v>259.02</v>
      </c>
    </row>
    <row r="46" spans="1:3" hidden="1" x14ac:dyDescent="0.3">
      <c r="A46" s="26">
        <v>45884</v>
      </c>
      <c r="B46" s="46" t="s">
        <v>21</v>
      </c>
      <c r="C46" s="24">
        <v>114.51</v>
      </c>
    </row>
    <row r="47" spans="1:3" hidden="1" x14ac:dyDescent="0.3">
      <c r="A47" s="26">
        <v>45891</v>
      </c>
      <c r="B47" s="27" t="s">
        <v>4</v>
      </c>
      <c r="C47" s="24">
        <v>-323.72000000000003</v>
      </c>
    </row>
    <row r="48" spans="1:3" hidden="1" x14ac:dyDescent="0.3">
      <c r="A48" s="26">
        <v>45891</v>
      </c>
      <c r="B48" s="32" t="s">
        <v>21</v>
      </c>
      <c r="C48" s="24">
        <v>58.22</v>
      </c>
    </row>
    <row r="49" spans="1:4" hidden="1" x14ac:dyDescent="0.3">
      <c r="A49" s="26">
        <v>45891</v>
      </c>
      <c r="B49" s="34" t="s">
        <v>21</v>
      </c>
      <c r="C49" s="24">
        <v>436</v>
      </c>
    </row>
    <row r="50" spans="1:4" hidden="1" x14ac:dyDescent="0.3">
      <c r="A50" s="26">
        <v>45891</v>
      </c>
      <c r="B50" s="46" t="s">
        <v>21</v>
      </c>
      <c r="C50" s="24">
        <v>47.05</v>
      </c>
    </row>
    <row r="51" spans="1:4" hidden="1" x14ac:dyDescent="0.3">
      <c r="A51" s="26">
        <v>45891</v>
      </c>
      <c r="B51" s="27" t="s">
        <v>1</v>
      </c>
      <c r="C51" s="24">
        <v>12.8</v>
      </c>
    </row>
    <row r="52" spans="1:4" hidden="1" x14ac:dyDescent="0.3">
      <c r="A52" s="26">
        <v>45894</v>
      </c>
      <c r="B52" s="27" t="s">
        <v>4</v>
      </c>
      <c r="C52" s="24">
        <v>-241.14</v>
      </c>
    </row>
    <row r="53" spans="1:4" hidden="1" x14ac:dyDescent="0.3">
      <c r="A53" s="26">
        <v>45898</v>
      </c>
      <c r="B53" s="27" t="s">
        <v>4</v>
      </c>
      <c r="C53" s="24">
        <v>-248.83</v>
      </c>
    </row>
    <row r="54" spans="1:4" hidden="1" x14ac:dyDescent="0.3">
      <c r="A54" s="26">
        <v>45898</v>
      </c>
      <c r="B54" s="32" t="s">
        <v>21</v>
      </c>
      <c r="C54" s="24">
        <v>74.73</v>
      </c>
    </row>
    <row r="55" spans="1:4" hidden="1" x14ac:dyDescent="0.3">
      <c r="A55" s="26">
        <v>45898</v>
      </c>
      <c r="B55" s="34" t="s">
        <v>21</v>
      </c>
      <c r="C55" s="24">
        <v>416.95</v>
      </c>
    </row>
    <row r="56" spans="1:4" hidden="1" x14ac:dyDescent="0.3">
      <c r="A56" s="26">
        <v>45898</v>
      </c>
      <c r="B56" s="46" t="s">
        <v>21</v>
      </c>
      <c r="C56" s="24">
        <v>33.049999999999997</v>
      </c>
    </row>
    <row r="57" spans="1:4" hidden="1" x14ac:dyDescent="0.3">
      <c r="A57" s="26">
        <v>45898</v>
      </c>
      <c r="B57" s="27" t="s">
        <v>1</v>
      </c>
      <c r="C57" s="24">
        <v>47.6</v>
      </c>
    </row>
    <row r="58" spans="1:4" hidden="1" x14ac:dyDescent="0.3">
      <c r="A58" s="26">
        <v>45902</v>
      </c>
      <c r="B58" s="27" t="s">
        <v>4</v>
      </c>
      <c r="C58" s="24">
        <v>-419.32</v>
      </c>
    </row>
    <row r="59" spans="1:4" hidden="1" x14ac:dyDescent="0.3">
      <c r="A59" s="26">
        <v>45905</v>
      </c>
      <c r="B59" s="27" t="s">
        <v>4</v>
      </c>
      <c r="C59" s="24">
        <v>-134.72999999999999</v>
      </c>
    </row>
    <row r="60" spans="1:4" hidden="1" x14ac:dyDescent="0.3">
      <c r="A60" s="26">
        <v>45905</v>
      </c>
      <c r="B60" s="32" t="s">
        <v>21</v>
      </c>
      <c r="C60" s="24">
        <v>46.15</v>
      </c>
    </row>
    <row r="61" spans="1:4" hidden="1" x14ac:dyDescent="0.3">
      <c r="A61" s="26">
        <v>45905</v>
      </c>
      <c r="B61" s="34" t="s">
        <v>21</v>
      </c>
      <c r="C61" s="24">
        <v>82.85</v>
      </c>
    </row>
    <row r="62" spans="1:4" hidden="1" x14ac:dyDescent="0.3">
      <c r="A62" s="26">
        <v>45905</v>
      </c>
      <c r="B62" s="46" t="s">
        <v>21</v>
      </c>
      <c r="C62" s="24">
        <v>23.08</v>
      </c>
    </row>
    <row r="63" spans="1:4" hidden="1" x14ac:dyDescent="0.3">
      <c r="A63" s="26">
        <v>45905</v>
      </c>
      <c r="B63" s="27" t="s">
        <v>1</v>
      </c>
      <c r="C63" s="24">
        <v>20.8</v>
      </c>
      <c r="D63" s="25">
        <v>1</v>
      </c>
    </row>
    <row r="64" spans="1:4" hidden="1" x14ac:dyDescent="0.3">
      <c r="A64" s="26">
        <v>45911</v>
      </c>
      <c r="B64" s="27" t="s">
        <v>4</v>
      </c>
      <c r="C64" s="24">
        <v>-190.2</v>
      </c>
    </row>
    <row r="65" spans="1:4" hidden="1" x14ac:dyDescent="0.3">
      <c r="A65" s="26">
        <v>45912</v>
      </c>
      <c r="B65" s="27" t="s">
        <v>4</v>
      </c>
      <c r="C65" s="24">
        <v>-157.30000000000001</v>
      </c>
    </row>
    <row r="66" spans="1:4" hidden="1" x14ac:dyDescent="0.3">
      <c r="A66" s="26">
        <v>45916</v>
      </c>
      <c r="B66" s="27" t="s">
        <v>4</v>
      </c>
      <c r="C66" s="24">
        <v>-249.3</v>
      </c>
    </row>
    <row r="67" spans="1:4" hidden="1" x14ac:dyDescent="0.3">
      <c r="A67" s="26">
        <v>45912</v>
      </c>
      <c r="B67" s="32" t="s">
        <v>21</v>
      </c>
      <c r="D67" s="25">
        <v>-2</v>
      </c>
    </row>
    <row r="68" spans="1:4" hidden="1" x14ac:dyDescent="0.3">
      <c r="A68" s="26">
        <v>45912</v>
      </c>
      <c r="B68" s="34" t="s">
        <v>21</v>
      </c>
      <c r="C68" s="24">
        <v>413.32</v>
      </c>
    </row>
    <row r="69" spans="1:4" hidden="1" x14ac:dyDescent="0.3">
      <c r="A69" s="26">
        <v>45912</v>
      </c>
      <c r="B69" s="27" t="s">
        <v>1</v>
      </c>
      <c r="C69" s="24">
        <v>23.8</v>
      </c>
    </row>
    <row r="70" spans="1:4" hidden="1" x14ac:dyDescent="0.3">
      <c r="A70" s="26">
        <v>45915</v>
      </c>
      <c r="B70" s="27" t="s">
        <v>4</v>
      </c>
      <c r="C70" s="24">
        <v>-186.98</v>
      </c>
    </row>
    <row r="71" spans="1:4" hidden="1" x14ac:dyDescent="0.3">
      <c r="A71" s="26">
        <v>45917</v>
      </c>
      <c r="B71" s="27" t="s">
        <v>4</v>
      </c>
      <c r="C71" s="24">
        <v>-154.43</v>
      </c>
    </row>
    <row r="72" spans="1:4" hidden="1" x14ac:dyDescent="0.3">
      <c r="A72" s="26">
        <v>45918</v>
      </c>
      <c r="B72" s="27" t="s">
        <v>4</v>
      </c>
      <c r="C72" s="24">
        <v>-244.14</v>
      </c>
    </row>
    <row r="73" spans="1:4" hidden="1" x14ac:dyDescent="0.3">
      <c r="A73" s="26">
        <v>45919</v>
      </c>
      <c r="B73" s="32" t="s">
        <v>21</v>
      </c>
      <c r="C73" s="24">
        <v>57.15</v>
      </c>
    </row>
    <row r="74" spans="1:4" hidden="1" x14ac:dyDescent="0.3">
      <c r="A74" s="26">
        <v>45919</v>
      </c>
      <c r="B74" s="34" t="s">
        <v>21</v>
      </c>
      <c r="C74" s="24">
        <v>461.08</v>
      </c>
    </row>
    <row r="75" spans="1:4" hidden="1" x14ac:dyDescent="0.3">
      <c r="A75" s="26">
        <v>45919</v>
      </c>
      <c r="B75" s="46" t="s">
        <v>21</v>
      </c>
      <c r="C75" s="24">
        <v>10.34</v>
      </c>
    </row>
    <row r="76" spans="1:4" hidden="1" x14ac:dyDescent="0.3">
      <c r="A76" s="26">
        <v>45922</v>
      </c>
      <c r="B76" s="27" t="s">
        <v>4</v>
      </c>
      <c r="C76" s="24">
        <v>-549.82000000000005</v>
      </c>
    </row>
    <row r="77" spans="1:4" hidden="1" x14ac:dyDescent="0.3">
      <c r="A77" s="26">
        <v>45926</v>
      </c>
      <c r="B77" s="32" t="s">
        <v>21</v>
      </c>
      <c r="C77" s="24">
        <v>38.65</v>
      </c>
    </row>
    <row r="78" spans="1:4" hidden="1" x14ac:dyDescent="0.3">
      <c r="A78" s="26">
        <v>45926</v>
      </c>
      <c r="B78" s="34" t="s">
        <v>21</v>
      </c>
      <c r="C78" s="24">
        <v>125.88</v>
      </c>
    </row>
    <row r="79" spans="1:4" hidden="1" x14ac:dyDescent="0.3">
      <c r="A79" s="26">
        <v>45926</v>
      </c>
      <c r="B79" s="46" t="s">
        <v>21</v>
      </c>
      <c r="C79" s="24">
        <v>8.0399999999999991</v>
      </c>
    </row>
    <row r="80" spans="1:4" hidden="1" x14ac:dyDescent="0.3">
      <c r="A80" s="26">
        <v>45930</v>
      </c>
      <c r="B80" s="27" t="s">
        <v>4</v>
      </c>
      <c r="C80" s="24">
        <v>-151.31</v>
      </c>
    </row>
    <row r="81" spans="1:4" hidden="1" x14ac:dyDescent="0.3">
      <c r="A81" s="26">
        <v>45933</v>
      </c>
      <c r="B81" s="32" t="s">
        <v>21</v>
      </c>
      <c r="C81" s="24">
        <v>31.15</v>
      </c>
    </row>
    <row r="82" spans="1:4" hidden="1" x14ac:dyDescent="0.3">
      <c r="A82" s="26">
        <v>45933</v>
      </c>
      <c r="B82" s="34" t="s">
        <v>21</v>
      </c>
      <c r="C82" s="24">
        <v>731.84</v>
      </c>
    </row>
    <row r="83" spans="1:4" hidden="1" x14ac:dyDescent="0.3">
      <c r="A83" s="26">
        <v>45933</v>
      </c>
      <c r="B83" s="46" t="s">
        <v>21</v>
      </c>
      <c r="C83" s="24">
        <v>6.62</v>
      </c>
    </row>
    <row r="84" spans="1:4" ht="14.4" hidden="1" customHeight="1" x14ac:dyDescent="0.3">
      <c r="A84" s="26">
        <v>45933</v>
      </c>
      <c r="B84" s="27" t="s">
        <v>1</v>
      </c>
      <c r="C84" s="24">
        <v>71.400000000000006</v>
      </c>
    </row>
    <row r="85" spans="1:4" hidden="1" x14ac:dyDescent="0.3">
      <c r="A85" s="26">
        <v>45936</v>
      </c>
      <c r="B85" s="27" t="s">
        <v>4</v>
      </c>
      <c r="C85" s="24">
        <v>-841.77</v>
      </c>
    </row>
    <row r="86" spans="1:4" x14ac:dyDescent="0.3">
      <c r="A86" s="26">
        <v>45940</v>
      </c>
      <c r="B86" s="32" t="s">
        <v>21</v>
      </c>
      <c r="C86" s="24">
        <v>77.58</v>
      </c>
      <c r="D86" s="25">
        <v>1</v>
      </c>
    </row>
    <row r="87" spans="1:4" x14ac:dyDescent="0.3">
      <c r="A87" s="26">
        <v>45940</v>
      </c>
      <c r="B87" s="34" t="s">
        <v>21</v>
      </c>
      <c r="C87" s="24">
        <v>302.36</v>
      </c>
    </row>
    <row r="88" spans="1:4" x14ac:dyDescent="0.3">
      <c r="A88" s="26">
        <v>45940</v>
      </c>
      <c r="B88" s="46" t="s">
        <v>21</v>
      </c>
      <c r="C88" s="24">
        <v>31.7</v>
      </c>
    </row>
    <row r="89" spans="1:4" x14ac:dyDescent="0.3">
      <c r="A89" s="26">
        <v>45940</v>
      </c>
      <c r="B89" s="27" t="s">
        <v>1</v>
      </c>
      <c r="C89" s="24">
        <v>46</v>
      </c>
    </row>
    <row r="90" spans="1:4" x14ac:dyDescent="0.3">
      <c r="A90" s="26">
        <v>45947</v>
      </c>
      <c r="B90" s="32" t="s">
        <v>21</v>
      </c>
      <c r="C90" s="24">
        <v>75.260000000000005</v>
      </c>
    </row>
    <row r="91" spans="1:4" x14ac:dyDescent="0.3">
      <c r="A91" s="26">
        <v>45947</v>
      </c>
      <c r="B91" s="34" t="s">
        <v>21</v>
      </c>
      <c r="C91" s="24">
        <v>118.08</v>
      </c>
    </row>
    <row r="92" spans="1:4" x14ac:dyDescent="0.3">
      <c r="A92" s="26">
        <v>45947</v>
      </c>
      <c r="B92" s="46" t="s">
        <v>21</v>
      </c>
      <c r="C92" s="24">
        <v>21.36</v>
      </c>
    </row>
    <row r="93" spans="1:4" x14ac:dyDescent="0.3">
      <c r="A93" s="26">
        <v>45950</v>
      </c>
      <c r="B93" s="27" t="s">
        <v>4</v>
      </c>
      <c r="C93" s="24">
        <v>-291.72000000000003</v>
      </c>
    </row>
    <row r="94" spans="1:4" x14ac:dyDescent="0.3">
      <c r="A94" s="26">
        <v>45950</v>
      </c>
      <c r="B94" s="27" t="s">
        <v>4</v>
      </c>
      <c r="C94" s="24">
        <v>-395.61</v>
      </c>
    </row>
    <row r="95" spans="1:4" x14ac:dyDescent="0.3">
      <c r="A95" s="26">
        <v>45954</v>
      </c>
      <c r="B95" s="32" t="s">
        <v>21</v>
      </c>
      <c r="C95" s="24">
        <v>51.18</v>
      </c>
    </row>
    <row r="96" spans="1:4" x14ac:dyDescent="0.3">
      <c r="A96" s="26">
        <v>45954</v>
      </c>
      <c r="B96" s="34" t="s">
        <v>21</v>
      </c>
      <c r="C96" s="24">
        <v>447.25</v>
      </c>
    </row>
    <row r="97" spans="1:3" x14ac:dyDescent="0.3">
      <c r="A97" s="26">
        <v>45954</v>
      </c>
      <c r="B97" s="46" t="s">
        <v>21</v>
      </c>
      <c r="C97" s="24">
        <v>73.83</v>
      </c>
    </row>
    <row r="98" spans="1:3" x14ac:dyDescent="0.3">
      <c r="A98" s="26">
        <v>45961</v>
      </c>
      <c r="B98" s="27" t="s">
        <v>4</v>
      </c>
      <c r="C98" s="24">
        <v>-567.28</v>
      </c>
    </row>
    <row r="99" spans="1:3" x14ac:dyDescent="0.3">
      <c r="A99" s="26">
        <v>45961</v>
      </c>
      <c r="B99" s="32" t="s">
        <v>21</v>
      </c>
      <c r="C99" s="24">
        <v>73</v>
      </c>
    </row>
    <row r="100" spans="1:3" x14ac:dyDescent="0.3">
      <c r="A100" s="26">
        <v>45961</v>
      </c>
      <c r="B100" s="34" t="s">
        <v>21</v>
      </c>
      <c r="C100" s="24">
        <v>434.39</v>
      </c>
    </row>
    <row r="101" spans="1:3" x14ac:dyDescent="0.3">
      <c r="A101" s="26">
        <v>45968</v>
      </c>
      <c r="B101" s="32" t="s">
        <v>21</v>
      </c>
      <c r="C101" s="24">
        <v>101.48</v>
      </c>
    </row>
    <row r="102" spans="1:3" x14ac:dyDescent="0.3">
      <c r="A102" s="26">
        <v>45968</v>
      </c>
      <c r="B102" s="34" t="s">
        <v>21</v>
      </c>
      <c r="C102" s="24">
        <v>671.72</v>
      </c>
    </row>
    <row r="103" spans="1:3" x14ac:dyDescent="0.3">
      <c r="A103" s="26">
        <v>45968</v>
      </c>
      <c r="B103" s="46" t="s">
        <v>21</v>
      </c>
      <c r="C103" s="24">
        <v>52.96</v>
      </c>
    </row>
    <row r="104" spans="1:3" x14ac:dyDescent="0.3">
      <c r="A104" s="26">
        <v>45968</v>
      </c>
      <c r="B104" s="27" t="s">
        <v>1</v>
      </c>
      <c r="C104" s="24">
        <v>31.11</v>
      </c>
    </row>
    <row r="105" spans="1:3" x14ac:dyDescent="0.3">
      <c r="A105" s="26">
        <v>45972</v>
      </c>
      <c r="B105" s="27" t="s">
        <v>4</v>
      </c>
      <c r="C105" s="24">
        <v>-300</v>
      </c>
    </row>
    <row r="106" spans="1:3" x14ac:dyDescent="0.3">
      <c r="A106" s="26">
        <v>45975</v>
      </c>
      <c r="B106" s="27" t="s">
        <v>1</v>
      </c>
      <c r="C106" s="24">
        <v>429.4</v>
      </c>
    </row>
    <row r="107" spans="1:3" x14ac:dyDescent="0.3">
      <c r="A107" s="26">
        <v>45978</v>
      </c>
      <c r="B107" s="27" t="s">
        <v>4</v>
      </c>
      <c r="C107" s="24">
        <v>-211.45</v>
      </c>
    </row>
    <row r="108" spans="1:3" x14ac:dyDescent="0.3">
      <c r="A108" s="26">
        <v>45979</v>
      </c>
      <c r="B108" s="27" t="s">
        <v>4</v>
      </c>
      <c r="C108" s="24">
        <v>-210.3</v>
      </c>
    </row>
    <row r="109" spans="1:3" x14ac:dyDescent="0.3">
      <c r="A109" s="26">
        <v>45981</v>
      </c>
      <c r="B109" s="27" t="s">
        <v>4</v>
      </c>
      <c r="C109" s="24">
        <v>-208.06</v>
      </c>
    </row>
    <row r="110" spans="1:3" x14ac:dyDescent="0.3">
      <c r="A110" s="26">
        <v>45982</v>
      </c>
      <c r="B110" s="27" t="s">
        <v>4</v>
      </c>
      <c r="C110" s="24">
        <v>-269.06</v>
      </c>
    </row>
    <row r="111" spans="1:3" x14ac:dyDescent="0.3">
      <c r="A111" s="26">
        <v>45982</v>
      </c>
      <c r="B111" s="27" t="s">
        <v>1</v>
      </c>
      <c r="C111" s="24">
        <v>829.18</v>
      </c>
    </row>
    <row r="112" spans="1:3" x14ac:dyDescent="0.3">
      <c r="A112" s="26">
        <v>45982</v>
      </c>
      <c r="B112" s="27" t="s">
        <v>503</v>
      </c>
      <c r="C112" s="24">
        <v>-22.8</v>
      </c>
    </row>
    <row r="113" spans="1:3" x14ac:dyDescent="0.3">
      <c r="A113" s="26">
        <v>45985</v>
      </c>
      <c r="B113" s="27" t="s">
        <v>4</v>
      </c>
      <c r="C113" s="24">
        <v>-584.41999999999996</v>
      </c>
    </row>
    <row r="114" spans="1:3" x14ac:dyDescent="0.3">
      <c r="A114" s="26">
        <v>45989</v>
      </c>
      <c r="B114" s="27" t="s">
        <v>1</v>
      </c>
      <c r="C114" s="24">
        <v>507.28</v>
      </c>
    </row>
    <row r="115" spans="1:3" x14ac:dyDescent="0.3">
      <c r="A115" s="26">
        <v>45993</v>
      </c>
      <c r="B115" s="27" t="s">
        <v>4</v>
      </c>
      <c r="C115" s="24">
        <v>-503.11</v>
      </c>
    </row>
    <row r="116" spans="1:3" x14ac:dyDescent="0.3">
      <c r="A116" s="26">
        <v>45996</v>
      </c>
      <c r="B116" s="27" t="s">
        <v>1</v>
      </c>
      <c r="C116" s="24">
        <v>760.67</v>
      </c>
    </row>
    <row r="117" spans="1:3" x14ac:dyDescent="0.3">
      <c r="A117" s="26">
        <v>46002</v>
      </c>
      <c r="B117" s="27" t="s">
        <v>4</v>
      </c>
      <c r="C117" s="24">
        <v>-249.99</v>
      </c>
    </row>
    <row r="118" spans="1:3" x14ac:dyDescent="0.3">
      <c r="A118" s="26">
        <v>46002</v>
      </c>
      <c r="B118" s="27" t="s">
        <v>4</v>
      </c>
      <c r="C118" s="24">
        <v>-159.55000000000001</v>
      </c>
    </row>
    <row r="119" spans="1:3" x14ac:dyDescent="0.3">
      <c r="A119" s="26">
        <v>46003</v>
      </c>
      <c r="B119" s="27" t="s">
        <v>1</v>
      </c>
      <c r="C119" s="24">
        <v>410.65</v>
      </c>
    </row>
    <row r="120" spans="1:3" x14ac:dyDescent="0.3">
      <c r="A120" s="26">
        <v>46004</v>
      </c>
      <c r="B120" s="27" t="s">
        <v>4</v>
      </c>
      <c r="C120" s="24">
        <v>-369.99</v>
      </c>
    </row>
    <row r="121" spans="1:3" x14ac:dyDescent="0.3">
      <c r="A121" s="26">
        <v>46010</v>
      </c>
      <c r="B121" s="27" t="s">
        <v>4</v>
      </c>
      <c r="C121" s="24">
        <v>-250</v>
      </c>
    </row>
    <row r="122" spans="1:3" x14ac:dyDescent="0.3">
      <c r="A122" s="26">
        <v>46010</v>
      </c>
      <c r="B122" s="27" t="s">
        <v>4</v>
      </c>
      <c r="C122" s="24">
        <v>-399.99</v>
      </c>
    </row>
    <row r="123" spans="1:3" x14ac:dyDescent="0.3">
      <c r="A123" s="26">
        <v>46010</v>
      </c>
      <c r="B123" s="27" t="s">
        <v>1</v>
      </c>
      <c r="C123" s="24">
        <v>309.36</v>
      </c>
    </row>
    <row r="124" spans="1:3" x14ac:dyDescent="0.3">
      <c r="A124" s="26">
        <v>46013</v>
      </c>
      <c r="B124" s="27" t="s">
        <v>4</v>
      </c>
      <c r="C124" s="24">
        <v>-250</v>
      </c>
    </row>
    <row r="125" spans="1:3" x14ac:dyDescent="0.3">
      <c r="A125" s="26">
        <v>46013</v>
      </c>
      <c r="B125" s="27" t="s">
        <v>4</v>
      </c>
      <c r="C125" s="24">
        <v>-400</v>
      </c>
    </row>
    <row r="126" spans="1:3" x14ac:dyDescent="0.3">
      <c r="A126" s="26">
        <v>46014</v>
      </c>
      <c r="B126" s="27" t="s">
        <v>4</v>
      </c>
      <c r="C126" s="24">
        <v>-211.71</v>
      </c>
    </row>
    <row r="127" spans="1:3" x14ac:dyDescent="0.3">
      <c r="A127" s="26">
        <v>46038</v>
      </c>
      <c r="B127" s="27" t="s">
        <v>1</v>
      </c>
      <c r="C127" s="24">
        <v>594.91</v>
      </c>
    </row>
    <row r="128" spans="1:3" x14ac:dyDescent="0.3">
      <c r="A128" s="26">
        <v>46038</v>
      </c>
      <c r="B128" s="27" t="s">
        <v>503</v>
      </c>
      <c r="C128" s="24">
        <v>-7.2</v>
      </c>
    </row>
    <row r="129" spans="1:3" x14ac:dyDescent="0.3">
      <c r="A129" s="26">
        <v>46042</v>
      </c>
      <c r="B129" s="27" t="s">
        <v>4</v>
      </c>
      <c r="C129" s="24">
        <v>-200</v>
      </c>
    </row>
    <row r="130" spans="1:3" x14ac:dyDescent="0.3">
      <c r="A130" s="26">
        <v>46043</v>
      </c>
      <c r="B130" s="27" t="s">
        <v>4</v>
      </c>
      <c r="C130" s="24">
        <v>-250</v>
      </c>
    </row>
    <row r="131" spans="1:3" x14ac:dyDescent="0.3">
      <c r="A131" s="26">
        <v>46044</v>
      </c>
      <c r="B131" s="27" t="s">
        <v>4</v>
      </c>
      <c r="C131" s="24">
        <v>-146.06</v>
      </c>
    </row>
    <row r="132" spans="1:3" x14ac:dyDescent="0.3">
      <c r="A132" s="26">
        <v>46045</v>
      </c>
      <c r="B132" s="27" t="s">
        <v>1</v>
      </c>
      <c r="C132" s="24">
        <v>244.98</v>
      </c>
    </row>
    <row r="133" spans="1:3" x14ac:dyDescent="0.3">
      <c r="A133" s="26">
        <v>46048</v>
      </c>
      <c r="B133" s="27" t="s">
        <v>4</v>
      </c>
      <c r="C133" s="24">
        <v>-239.06</v>
      </c>
    </row>
    <row r="134" spans="1:3" x14ac:dyDescent="0.3">
      <c r="A134" s="26">
        <v>46052</v>
      </c>
      <c r="B134" s="27" t="s">
        <v>1</v>
      </c>
      <c r="C134" s="24">
        <v>461.63</v>
      </c>
    </row>
    <row r="135" spans="1:3" x14ac:dyDescent="0.3">
      <c r="A135" s="26">
        <v>46052</v>
      </c>
      <c r="B135" s="27" t="s">
        <v>503</v>
      </c>
      <c r="C135" s="24">
        <v>-7.2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2057F-01A8-423B-B1EE-392A6F7537B2}">
  <dimension ref="A1:H86"/>
  <sheetViews>
    <sheetView view="pageBreakPreview" zoomScale="80" zoomScaleNormal="100" zoomScaleSheetLayoutView="80" workbookViewId="0">
      <selection activeCell="C54" sqref="C54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347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348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98.009999999999991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45848</v>
      </c>
      <c r="B5" s="32" t="s">
        <v>21</v>
      </c>
      <c r="C5" s="24">
        <v>15.85</v>
      </c>
      <c r="D5" s="30"/>
      <c r="E5" s="30"/>
      <c r="F5" s="30"/>
      <c r="G5" s="22"/>
    </row>
    <row r="6" spans="1:8" hidden="1" x14ac:dyDescent="0.3">
      <c r="A6" s="21">
        <v>45863</v>
      </c>
      <c r="B6" s="27" t="s">
        <v>4</v>
      </c>
      <c r="C6" s="24">
        <v>-15.86</v>
      </c>
    </row>
    <row r="7" spans="1:8" hidden="1" x14ac:dyDescent="0.3">
      <c r="A7" s="21">
        <v>45869</v>
      </c>
      <c r="B7" s="34" t="s">
        <v>1</v>
      </c>
      <c r="C7" s="24">
        <v>41</v>
      </c>
    </row>
    <row r="8" spans="1:8" hidden="1" x14ac:dyDescent="0.3">
      <c r="A8" s="26">
        <v>45880</v>
      </c>
      <c r="B8" s="27" t="s">
        <v>4</v>
      </c>
      <c r="C8" s="24">
        <v>-40.42</v>
      </c>
    </row>
    <row r="9" spans="1:8" hidden="1" x14ac:dyDescent="0.3">
      <c r="A9" s="26">
        <v>45877</v>
      </c>
      <c r="B9" s="34" t="s">
        <v>1</v>
      </c>
      <c r="C9" s="24">
        <v>34.979999999999997</v>
      </c>
    </row>
    <row r="10" spans="1:8" hidden="1" x14ac:dyDescent="0.3">
      <c r="A10" s="26">
        <v>45889</v>
      </c>
      <c r="B10" s="27" t="s">
        <v>4</v>
      </c>
      <c r="C10" s="24">
        <v>-29.62</v>
      </c>
    </row>
    <row r="11" spans="1:8" hidden="1" x14ac:dyDescent="0.3">
      <c r="A11" s="26">
        <v>45893</v>
      </c>
      <c r="B11" s="27" t="s">
        <v>4</v>
      </c>
      <c r="C11" s="24">
        <v>-62.47</v>
      </c>
    </row>
    <row r="12" spans="1:8" hidden="1" x14ac:dyDescent="0.3">
      <c r="A12" s="26">
        <v>45891</v>
      </c>
      <c r="B12" s="34" t="s">
        <v>1</v>
      </c>
      <c r="C12" s="24">
        <v>113.83</v>
      </c>
    </row>
    <row r="13" spans="1:8" hidden="1" x14ac:dyDescent="0.3">
      <c r="A13" s="26">
        <v>45899</v>
      </c>
      <c r="B13" s="34" t="s">
        <v>1</v>
      </c>
      <c r="C13" s="24">
        <v>46.83</v>
      </c>
    </row>
    <row r="14" spans="1:8" hidden="1" x14ac:dyDescent="0.3">
      <c r="A14" s="26">
        <v>45901</v>
      </c>
      <c r="B14" s="27" t="s">
        <v>4</v>
      </c>
      <c r="C14" s="24">
        <v>-46.83</v>
      </c>
    </row>
    <row r="15" spans="1:8" hidden="1" x14ac:dyDescent="0.3">
      <c r="A15" s="26">
        <v>45901</v>
      </c>
      <c r="B15" s="27" t="s">
        <v>4</v>
      </c>
      <c r="C15" s="24">
        <v>-25.73</v>
      </c>
    </row>
    <row r="16" spans="1:8" hidden="1" x14ac:dyDescent="0.3">
      <c r="A16" s="26">
        <v>45901</v>
      </c>
      <c r="B16" s="27" t="s">
        <v>4</v>
      </c>
      <c r="C16" s="24">
        <v>-31.27</v>
      </c>
    </row>
    <row r="17" spans="1:3" hidden="1" x14ac:dyDescent="0.3">
      <c r="A17" s="26">
        <v>45905</v>
      </c>
      <c r="B17" s="34" t="s">
        <v>1</v>
      </c>
      <c r="C17" s="24">
        <v>26.16</v>
      </c>
    </row>
    <row r="18" spans="1:3" hidden="1" x14ac:dyDescent="0.3">
      <c r="A18" s="26">
        <v>45912</v>
      </c>
      <c r="B18" s="34" t="s">
        <v>1</v>
      </c>
      <c r="C18" s="24">
        <v>30.42</v>
      </c>
    </row>
    <row r="19" spans="1:3" hidden="1" x14ac:dyDescent="0.3">
      <c r="A19" s="26">
        <v>45915</v>
      </c>
      <c r="B19" s="27" t="s">
        <v>4</v>
      </c>
      <c r="C19" s="24">
        <v>-26.16</v>
      </c>
    </row>
    <row r="20" spans="1:3" hidden="1" x14ac:dyDescent="0.3">
      <c r="A20" s="26">
        <v>45920</v>
      </c>
      <c r="B20" s="27" t="s">
        <v>4</v>
      </c>
      <c r="C20" s="24">
        <v>-30.42</v>
      </c>
    </row>
    <row r="21" spans="1:3" hidden="1" x14ac:dyDescent="0.3">
      <c r="A21" s="26">
        <v>45920</v>
      </c>
      <c r="B21" s="27" t="s">
        <v>4</v>
      </c>
      <c r="C21" s="24">
        <v>-55.58</v>
      </c>
    </row>
    <row r="22" spans="1:3" hidden="1" x14ac:dyDescent="0.3">
      <c r="A22" s="26">
        <v>45920</v>
      </c>
      <c r="B22" s="34" t="s">
        <v>1</v>
      </c>
      <c r="C22" s="24">
        <v>96.62</v>
      </c>
    </row>
    <row r="23" spans="1:3" hidden="1" x14ac:dyDescent="0.3">
      <c r="A23" s="26">
        <v>45929</v>
      </c>
      <c r="B23" s="27" t="s">
        <v>4</v>
      </c>
      <c r="C23" s="24">
        <v>-41.04</v>
      </c>
    </row>
    <row r="24" spans="1:3" hidden="1" x14ac:dyDescent="0.3">
      <c r="A24" s="26">
        <v>45932</v>
      </c>
      <c r="B24" s="34" t="s">
        <v>1</v>
      </c>
      <c r="C24" s="24">
        <v>112.66</v>
      </c>
    </row>
    <row r="25" spans="1:3" hidden="1" x14ac:dyDescent="0.3">
      <c r="A25" s="26">
        <v>45943</v>
      </c>
      <c r="B25" s="27" t="s">
        <v>4</v>
      </c>
      <c r="C25" s="24">
        <v>-30.73</v>
      </c>
    </row>
    <row r="26" spans="1:3" hidden="1" x14ac:dyDescent="0.3">
      <c r="A26" s="26">
        <v>45943</v>
      </c>
      <c r="B26" s="27" t="s">
        <v>4</v>
      </c>
      <c r="C26" s="24">
        <v>-81.93</v>
      </c>
    </row>
    <row r="27" spans="1:3" hidden="1" x14ac:dyDescent="0.3">
      <c r="A27" s="26">
        <v>45953</v>
      </c>
      <c r="B27" s="34" t="s">
        <v>1</v>
      </c>
      <c r="C27" s="24">
        <v>83.87</v>
      </c>
    </row>
    <row r="28" spans="1:3" hidden="1" x14ac:dyDescent="0.3">
      <c r="A28" s="26">
        <v>45957</v>
      </c>
      <c r="B28" s="27" t="s">
        <v>4</v>
      </c>
      <c r="C28" s="24">
        <v>-83.87</v>
      </c>
    </row>
    <row r="29" spans="1:3" hidden="1" x14ac:dyDescent="0.3">
      <c r="A29" s="26">
        <v>45960</v>
      </c>
      <c r="B29" s="34" t="s">
        <v>1</v>
      </c>
      <c r="C29" s="24">
        <v>24.6</v>
      </c>
    </row>
    <row r="30" spans="1:3" hidden="1" x14ac:dyDescent="0.3">
      <c r="A30" s="26">
        <v>45964</v>
      </c>
      <c r="B30" s="27" t="s">
        <v>4</v>
      </c>
      <c r="C30" s="24">
        <v>-24.6</v>
      </c>
    </row>
    <row r="31" spans="1:3" hidden="1" x14ac:dyDescent="0.3">
      <c r="A31" s="26">
        <v>45968</v>
      </c>
      <c r="B31" s="34" t="s">
        <v>1</v>
      </c>
      <c r="C31" s="24">
        <v>91.51</v>
      </c>
    </row>
    <row r="32" spans="1:3" hidden="1" x14ac:dyDescent="0.3">
      <c r="A32" s="26">
        <v>45978</v>
      </c>
      <c r="B32" s="27" t="s">
        <v>4</v>
      </c>
      <c r="C32" s="24">
        <v>-91.5</v>
      </c>
    </row>
    <row r="33" spans="1:3" hidden="1" x14ac:dyDescent="0.3">
      <c r="A33" s="26">
        <v>45981</v>
      </c>
      <c r="B33" s="27" t="s">
        <v>1</v>
      </c>
      <c r="C33" s="24">
        <v>88.37</v>
      </c>
    </row>
    <row r="34" spans="1:3" hidden="1" x14ac:dyDescent="0.3">
      <c r="A34" s="26">
        <v>45986</v>
      </c>
      <c r="B34" s="27" t="s">
        <v>4</v>
      </c>
      <c r="C34" s="24">
        <v>-88.37</v>
      </c>
    </row>
    <row r="35" spans="1:3" x14ac:dyDescent="0.3">
      <c r="A35" s="26">
        <v>45988</v>
      </c>
      <c r="B35" s="27" t="s">
        <v>1</v>
      </c>
      <c r="C35" s="24">
        <v>92.84</v>
      </c>
    </row>
    <row r="36" spans="1:3" x14ac:dyDescent="0.3">
      <c r="A36" s="26">
        <v>45994</v>
      </c>
      <c r="B36" s="27" t="s">
        <v>4</v>
      </c>
      <c r="C36" s="24">
        <v>-40.130000000000003</v>
      </c>
    </row>
    <row r="37" spans="1:3" x14ac:dyDescent="0.3">
      <c r="A37" s="26">
        <v>45995</v>
      </c>
      <c r="B37" s="27" t="s">
        <v>1</v>
      </c>
      <c r="C37" s="24">
        <v>54.65</v>
      </c>
    </row>
    <row r="38" spans="1:3" x14ac:dyDescent="0.3">
      <c r="A38" s="26">
        <v>45996</v>
      </c>
      <c r="B38" s="27" t="s">
        <v>4</v>
      </c>
      <c r="C38" s="24">
        <v>-53</v>
      </c>
    </row>
    <row r="39" spans="1:3" x14ac:dyDescent="0.3">
      <c r="A39" s="26">
        <v>46002</v>
      </c>
      <c r="B39" s="27" t="s">
        <v>1</v>
      </c>
      <c r="C39" s="24">
        <v>52.49</v>
      </c>
    </row>
    <row r="40" spans="1:3" x14ac:dyDescent="0.3">
      <c r="A40" s="26">
        <v>46007</v>
      </c>
      <c r="B40" s="27" t="s">
        <v>4</v>
      </c>
      <c r="C40" s="24">
        <v>-54.65</v>
      </c>
    </row>
    <row r="41" spans="1:3" x14ac:dyDescent="0.3">
      <c r="A41" s="26">
        <v>46009</v>
      </c>
      <c r="B41" s="27" t="s">
        <v>4</v>
      </c>
      <c r="C41" s="24">
        <v>-54.65</v>
      </c>
    </row>
    <row r="42" spans="1:3" x14ac:dyDescent="0.3">
      <c r="A42" s="26">
        <v>46010</v>
      </c>
      <c r="B42" s="27" t="s">
        <v>1</v>
      </c>
      <c r="C42" s="24">
        <v>80.42</v>
      </c>
    </row>
    <row r="43" spans="1:3" x14ac:dyDescent="0.3">
      <c r="A43" s="26">
        <v>46015</v>
      </c>
      <c r="B43" s="27" t="s">
        <v>1</v>
      </c>
      <c r="C43" s="24">
        <v>70.760000000000005</v>
      </c>
    </row>
    <row r="44" spans="1:3" x14ac:dyDescent="0.3">
      <c r="A44" s="26">
        <v>46020</v>
      </c>
      <c r="B44" s="27" t="s">
        <v>4</v>
      </c>
      <c r="C44" s="24">
        <v>-80.42</v>
      </c>
    </row>
    <row r="45" spans="1:3" x14ac:dyDescent="0.3">
      <c r="A45" s="26">
        <v>46021</v>
      </c>
      <c r="B45" s="27" t="s">
        <v>1</v>
      </c>
      <c r="C45" s="24">
        <v>44.91</v>
      </c>
    </row>
    <row r="46" spans="1:3" x14ac:dyDescent="0.3">
      <c r="A46" s="26">
        <v>46027</v>
      </c>
      <c r="B46" s="27" t="s">
        <v>4</v>
      </c>
      <c r="C46" s="24">
        <v>-44.91</v>
      </c>
    </row>
    <row r="47" spans="1:3" x14ac:dyDescent="0.3">
      <c r="A47" s="26">
        <v>46031</v>
      </c>
      <c r="B47" s="27" t="s">
        <v>1</v>
      </c>
      <c r="C47" s="24">
        <v>32.32</v>
      </c>
    </row>
    <row r="48" spans="1:3" x14ac:dyDescent="0.3">
      <c r="A48" s="26">
        <v>46037</v>
      </c>
      <c r="B48" s="27" t="s">
        <v>4</v>
      </c>
      <c r="C48" s="24">
        <v>-55</v>
      </c>
    </row>
    <row r="49" spans="1:3" x14ac:dyDescent="0.3">
      <c r="A49" s="26">
        <v>46038</v>
      </c>
      <c r="B49" s="27" t="s">
        <v>4</v>
      </c>
      <c r="C49" s="24">
        <v>-45.93</v>
      </c>
    </row>
    <row r="50" spans="1:3" x14ac:dyDescent="0.3">
      <c r="A50" s="26">
        <v>46037</v>
      </c>
      <c r="B50" s="27" t="s">
        <v>1</v>
      </c>
      <c r="C50" s="24">
        <v>64.39</v>
      </c>
    </row>
    <row r="51" spans="1:3" x14ac:dyDescent="0.3">
      <c r="A51" s="26">
        <v>46044</v>
      </c>
      <c r="B51" s="27" t="s">
        <v>1</v>
      </c>
      <c r="C51" s="24">
        <v>80.349999999999994</v>
      </c>
    </row>
    <row r="52" spans="1:3" x14ac:dyDescent="0.3">
      <c r="A52" s="26">
        <v>46052</v>
      </c>
      <c r="B52" s="27" t="s">
        <v>1</v>
      </c>
      <c r="C52" s="24">
        <v>83.27</v>
      </c>
    </row>
    <row r="53" spans="1:3" x14ac:dyDescent="0.3">
      <c r="A53" s="26">
        <v>46055</v>
      </c>
      <c r="B53" s="27" t="s">
        <v>4</v>
      </c>
      <c r="C53" s="24">
        <v>-130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D0B01-BB9C-431A-9A9D-A6001E5F1AA7}">
  <sheetPr codeName="Hoja3"/>
  <dimension ref="A1:H118"/>
  <sheetViews>
    <sheetView view="pageBreakPreview" zoomScaleNormal="100" zoomScaleSheetLayoutView="100" workbookViewId="0">
      <selection activeCell="C119" sqref="C11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114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110.21999999999977</v>
      </c>
      <c r="D3" s="20">
        <f>SUM(D$4:D$1048576)</f>
        <v>2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45815</v>
      </c>
      <c r="B5" s="32" t="s">
        <v>21</v>
      </c>
      <c r="C5" s="24">
        <v>44.6</v>
      </c>
      <c r="D5" s="30"/>
      <c r="E5" s="30"/>
      <c r="F5" s="30"/>
      <c r="G5" s="22"/>
    </row>
    <row r="6" spans="1:8" hidden="1" x14ac:dyDescent="0.3">
      <c r="A6" s="21">
        <v>45815</v>
      </c>
      <c r="B6" s="34" t="s">
        <v>21</v>
      </c>
      <c r="C6" s="24">
        <v>61.9</v>
      </c>
    </row>
    <row r="7" spans="1:8" hidden="1" x14ac:dyDescent="0.3">
      <c r="A7" s="26">
        <v>45817</v>
      </c>
      <c r="B7" s="27" t="s">
        <v>4</v>
      </c>
      <c r="C7" s="24">
        <v>-106.54</v>
      </c>
    </row>
    <row r="8" spans="1:8" hidden="1" x14ac:dyDescent="0.3">
      <c r="A8" s="21">
        <v>45820</v>
      </c>
      <c r="B8" s="27" t="s">
        <v>21</v>
      </c>
      <c r="C8" s="24">
        <v>48.2</v>
      </c>
    </row>
    <row r="9" spans="1:8" hidden="1" x14ac:dyDescent="0.3">
      <c r="A9" s="21">
        <v>45820</v>
      </c>
      <c r="B9" s="32" t="s">
        <v>1</v>
      </c>
      <c r="C9" s="24">
        <v>35.6</v>
      </c>
    </row>
    <row r="10" spans="1:8" hidden="1" x14ac:dyDescent="0.3">
      <c r="A10" s="26">
        <v>45827</v>
      </c>
      <c r="B10" s="31" t="s">
        <v>4</v>
      </c>
      <c r="C10" s="24">
        <v>-83.28</v>
      </c>
    </row>
    <row r="11" spans="1:8" hidden="1" x14ac:dyDescent="0.3">
      <c r="A11" s="26">
        <v>45827</v>
      </c>
      <c r="B11" s="31" t="s">
        <v>1</v>
      </c>
      <c r="C11" s="24">
        <v>1514</v>
      </c>
      <c r="D11" s="25">
        <v>11</v>
      </c>
    </row>
    <row r="12" spans="1:8" hidden="1" x14ac:dyDescent="0.3">
      <c r="A12" s="26">
        <v>45827</v>
      </c>
      <c r="B12" s="32" t="s">
        <v>1</v>
      </c>
      <c r="C12" s="24">
        <v>15.85</v>
      </c>
    </row>
    <row r="13" spans="1:8" hidden="1" x14ac:dyDescent="0.3">
      <c r="A13" s="26">
        <v>45834</v>
      </c>
      <c r="B13" s="27" t="s">
        <v>4</v>
      </c>
      <c r="C13" s="24">
        <v>-1529.85</v>
      </c>
    </row>
    <row r="14" spans="1:8" hidden="1" x14ac:dyDescent="0.3">
      <c r="A14" s="26">
        <v>45834</v>
      </c>
      <c r="B14" s="27" t="s">
        <v>1</v>
      </c>
      <c r="C14" s="24">
        <v>579.79999999999995</v>
      </c>
      <c r="D14" s="25">
        <v>-7</v>
      </c>
    </row>
    <row r="15" spans="1:8" hidden="1" x14ac:dyDescent="0.3">
      <c r="A15" s="26">
        <v>45834</v>
      </c>
      <c r="B15" s="32" t="s">
        <v>1</v>
      </c>
      <c r="C15" s="24">
        <v>29.34</v>
      </c>
    </row>
    <row r="16" spans="1:8" hidden="1" x14ac:dyDescent="0.3">
      <c r="A16" s="26">
        <v>45835</v>
      </c>
      <c r="B16" s="27" t="s">
        <v>4</v>
      </c>
      <c r="C16" s="24">
        <v>-459.14</v>
      </c>
    </row>
    <row r="17" spans="1:4" hidden="1" x14ac:dyDescent="0.3">
      <c r="A17" s="26">
        <v>45841</v>
      </c>
      <c r="B17" s="27" t="s">
        <v>4</v>
      </c>
      <c r="C17" s="24">
        <v>-150</v>
      </c>
    </row>
    <row r="18" spans="1:4" hidden="1" x14ac:dyDescent="0.3">
      <c r="A18" s="26">
        <v>45841</v>
      </c>
      <c r="B18" s="27" t="s">
        <v>22</v>
      </c>
      <c r="D18" s="25">
        <v>-4</v>
      </c>
    </row>
    <row r="19" spans="1:4" hidden="1" x14ac:dyDescent="0.3">
      <c r="A19" s="26">
        <v>45841</v>
      </c>
      <c r="B19" s="32" t="s">
        <v>1</v>
      </c>
      <c r="C19" s="24">
        <v>31.7</v>
      </c>
    </row>
    <row r="20" spans="1:4" hidden="1" x14ac:dyDescent="0.3">
      <c r="A20" s="26">
        <v>45845</v>
      </c>
      <c r="B20" s="27" t="s">
        <v>4</v>
      </c>
      <c r="C20" s="24">
        <v>-31.78</v>
      </c>
    </row>
    <row r="21" spans="1:4" hidden="1" x14ac:dyDescent="0.3">
      <c r="A21" s="26">
        <v>45848</v>
      </c>
      <c r="B21" s="27" t="s">
        <v>1</v>
      </c>
      <c r="C21" s="24">
        <v>1472.6</v>
      </c>
      <c r="D21" s="25">
        <v>24</v>
      </c>
    </row>
    <row r="22" spans="1:4" hidden="1" x14ac:dyDescent="0.3">
      <c r="A22" s="26">
        <v>45848</v>
      </c>
      <c r="B22" s="32" t="s">
        <v>1</v>
      </c>
      <c r="C22" s="24">
        <v>25.69</v>
      </c>
    </row>
    <row r="23" spans="1:4" hidden="1" x14ac:dyDescent="0.3">
      <c r="A23" s="26">
        <v>45848</v>
      </c>
      <c r="B23" s="32" t="s">
        <v>1</v>
      </c>
      <c r="C23" s="24">
        <v>15.1</v>
      </c>
    </row>
    <row r="24" spans="1:4" hidden="1" x14ac:dyDescent="0.3">
      <c r="A24" s="26">
        <v>45848</v>
      </c>
      <c r="B24" s="34" t="s">
        <v>21</v>
      </c>
      <c r="C24" s="24">
        <v>145.28</v>
      </c>
    </row>
    <row r="25" spans="1:4" hidden="1" x14ac:dyDescent="0.3">
      <c r="A25" s="26">
        <v>45848</v>
      </c>
      <c r="B25" s="46" t="s">
        <v>21</v>
      </c>
      <c r="C25" s="24">
        <v>21.56</v>
      </c>
    </row>
    <row r="26" spans="1:4" hidden="1" x14ac:dyDescent="0.3">
      <c r="A26" s="26">
        <v>45852</v>
      </c>
      <c r="B26" s="27" t="s">
        <v>7</v>
      </c>
      <c r="C26" s="24">
        <v>-1497.29</v>
      </c>
    </row>
    <row r="27" spans="1:4" hidden="1" x14ac:dyDescent="0.3">
      <c r="A27" s="26">
        <v>45860</v>
      </c>
      <c r="B27" s="27" t="s">
        <v>1</v>
      </c>
      <c r="C27" s="24">
        <v>385.5</v>
      </c>
      <c r="D27" s="25">
        <v>-24</v>
      </c>
    </row>
    <row r="28" spans="1:4" hidden="1" x14ac:dyDescent="0.3">
      <c r="A28" s="26">
        <v>45860</v>
      </c>
      <c r="B28" s="32" t="s">
        <v>1</v>
      </c>
      <c r="C28" s="24">
        <v>62.7</v>
      </c>
    </row>
    <row r="29" spans="1:4" hidden="1" x14ac:dyDescent="0.3">
      <c r="A29" s="26">
        <v>45866</v>
      </c>
      <c r="B29" s="27" t="s">
        <v>4</v>
      </c>
      <c r="C29" s="24">
        <v>-182.4</v>
      </c>
    </row>
    <row r="30" spans="1:4" hidden="1" x14ac:dyDescent="0.3">
      <c r="A30" s="26">
        <v>45866</v>
      </c>
      <c r="B30" s="27" t="s">
        <v>4</v>
      </c>
      <c r="C30" s="24">
        <v>-449.14</v>
      </c>
    </row>
    <row r="31" spans="1:4" hidden="1" x14ac:dyDescent="0.3">
      <c r="A31" s="26">
        <v>45868</v>
      </c>
      <c r="B31" s="27" t="s">
        <v>1</v>
      </c>
      <c r="C31" s="24">
        <v>363.6</v>
      </c>
    </row>
    <row r="32" spans="1:4" hidden="1" x14ac:dyDescent="0.3">
      <c r="A32" s="26">
        <v>45873</v>
      </c>
      <c r="B32" s="27" t="s">
        <v>4</v>
      </c>
      <c r="C32" s="24">
        <v>-363.6</v>
      </c>
    </row>
    <row r="33" spans="1:4" hidden="1" x14ac:dyDescent="0.3">
      <c r="A33" s="26">
        <v>45875</v>
      </c>
      <c r="B33" s="27" t="s">
        <v>1</v>
      </c>
      <c r="C33" s="24">
        <v>1129.2</v>
      </c>
    </row>
    <row r="34" spans="1:4" hidden="1" x14ac:dyDescent="0.3">
      <c r="A34" s="26">
        <v>45875</v>
      </c>
      <c r="B34" s="32" t="s">
        <v>1</v>
      </c>
      <c r="C34" s="24">
        <v>96.44</v>
      </c>
    </row>
    <row r="35" spans="1:4" hidden="1" x14ac:dyDescent="0.3">
      <c r="A35" s="26">
        <v>45876</v>
      </c>
      <c r="B35" s="27" t="s">
        <v>4</v>
      </c>
      <c r="C35" s="24">
        <v>-612.82000000000005</v>
      </c>
    </row>
    <row r="36" spans="1:4" hidden="1" x14ac:dyDescent="0.3">
      <c r="A36" s="26">
        <v>45876</v>
      </c>
      <c r="B36" s="27" t="s">
        <v>4</v>
      </c>
      <c r="C36" s="24">
        <v>-612.82000000000005</v>
      </c>
    </row>
    <row r="37" spans="1:4" hidden="1" x14ac:dyDescent="0.3">
      <c r="A37" s="26">
        <v>45876</v>
      </c>
      <c r="B37" s="27" t="s">
        <v>4</v>
      </c>
      <c r="C37" s="24">
        <v>-542.41</v>
      </c>
    </row>
    <row r="38" spans="1:4" hidden="1" x14ac:dyDescent="0.3">
      <c r="A38" s="26">
        <v>45877</v>
      </c>
      <c r="B38" s="27" t="s">
        <v>4</v>
      </c>
      <c r="C38" s="24">
        <v>-390.39</v>
      </c>
    </row>
    <row r="39" spans="1:4" hidden="1" x14ac:dyDescent="0.3">
      <c r="A39" s="26">
        <v>45877</v>
      </c>
      <c r="B39" s="27" t="s">
        <v>1</v>
      </c>
      <c r="C39" s="24">
        <v>932.8</v>
      </c>
      <c r="D39" s="25">
        <v>46</v>
      </c>
    </row>
    <row r="40" spans="1:4" hidden="1" x14ac:dyDescent="0.3">
      <c r="A40" s="26">
        <v>45882</v>
      </c>
      <c r="B40" s="27" t="s">
        <v>1</v>
      </c>
      <c r="C40" s="24">
        <v>35.4</v>
      </c>
      <c r="D40" s="25">
        <v>-33</v>
      </c>
    </row>
    <row r="41" spans="1:4" hidden="1" x14ac:dyDescent="0.3">
      <c r="A41" s="26">
        <v>45882</v>
      </c>
      <c r="B41" s="32" t="s">
        <v>1</v>
      </c>
      <c r="C41" s="24">
        <v>9</v>
      </c>
    </row>
    <row r="42" spans="1:4" hidden="1" x14ac:dyDescent="0.3">
      <c r="A42" s="26">
        <v>45888</v>
      </c>
      <c r="B42" s="27" t="s">
        <v>4</v>
      </c>
      <c r="C42" s="24">
        <v>-44.4</v>
      </c>
    </row>
    <row r="43" spans="1:4" hidden="1" x14ac:dyDescent="0.3">
      <c r="A43" s="26">
        <v>45889</v>
      </c>
      <c r="B43" s="27" t="s">
        <v>1</v>
      </c>
      <c r="C43" s="24">
        <v>666.6</v>
      </c>
      <c r="D43" s="25">
        <v>-13</v>
      </c>
    </row>
    <row r="44" spans="1:4" hidden="1" x14ac:dyDescent="0.3">
      <c r="A44" s="26">
        <v>45889</v>
      </c>
      <c r="B44" s="32" t="s">
        <v>1</v>
      </c>
      <c r="C44" s="24">
        <v>31.7</v>
      </c>
    </row>
    <row r="45" spans="1:4" hidden="1" x14ac:dyDescent="0.3">
      <c r="A45" s="26">
        <v>45891</v>
      </c>
      <c r="B45" s="27" t="s">
        <v>4</v>
      </c>
      <c r="C45" s="24">
        <v>-342.77</v>
      </c>
    </row>
    <row r="46" spans="1:4" hidden="1" x14ac:dyDescent="0.3">
      <c r="A46" s="26">
        <v>45891</v>
      </c>
      <c r="B46" s="27" t="s">
        <v>4</v>
      </c>
      <c r="C46" s="24">
        <v>-355.47</v>
      </c>
    </row>
    <row r="47" spans="1:4" hidden="1" x14ac:dyDescent="0.3">
      <c r="A47" s="26">
        <v>45895</v>
      </c>
      <c r="B47" s="27" t="s">
        <v>4</v>
      </c>
      <c r="C47" s="24">
        <v>-572.1</v>
      </c>
    </row>
    <row r="48" spans="1:4" hidden="1" x14ac:dyDescent="0.3">
      <c r="A48" s="26">
        <v>45895</v>
      </c>
      <c r="B48" s="27" t="s">
        <v>1</v>
      </c>
      <c r="C48" s="24">
        <v>540.4</v>
      </c>
    </row>
    <row r="49" spans="1:3" hidden="1" x14ac:dyDescent="0.3">
      <c r="A49" s="26">
        <v>45895</v>
      </c>
      <c r="B49" s="32" t="s">
        <v>1</v>
      </c>
      <c r="C49" s="24">
        <v>31.7</v>
      </c>
    </row>
    <row r="50" spans="1:3" hidden="1" x14ac:dyDescent="0.3">
      <c r="A50" s="26">
        <v>45897</v>
      </c>
      <c r="B50" s="27" t="s">
        <v>4</v>
      </c>
      <c r="C50" s="24">
        <v>-58.44</v>
      </c>
    </row>
    <row r="51" spans="1:3" hidden="1" x14ac:dyDescent="0.3">
      <c r="A51" s="26">
        <v>45897</v>
      </c>
      <c r="B51" s="34" t="s">
        <v>21</v>
      </c>
      <c r="C51" s="24">
        <v>58.44</v>
      </c>
    </row>
    <row r="52" spans="1:3" hidden="1" x14ac:dyDescent="0.3">
      <c r="A52" s="26">
        <v>45904</v>
      </c>
      <c r="B52" s="27" t="s">
        <v>1</v>
      </c>
      <c r="C52" s="24">
        <v>915.2</v>
      </c>
    </row>
    <row r="53" spans="1:3" hidden="1" x14ac:dyDescent="0.3">
      <c r="A53" s="26">
        <v>45904</v>
      </c>
      <c r="B53" s="32" t="s">
        <v>1</v>
      </c>
      <c r="C53" s="24">
        <v>9</v>
      </c>
    </row>
    <row r="54" spans="1:3" hidden="1" x14ac:dyDescent="0.3">
      <c r="A54" s="26">
        <v>45904</v>
      </c>
      <c r="B54" s="34" t="s">
        <v>21</v>
      </c>
      <c r="C54" s="24">
        <v>15</v>
      </c>
    </row>
    <row r="55" spans="1:3" hidden="1" x14ac:dyDescent="0.3">
      <c r="A55" s="26">
        <v>45905</v>
      </c>
      <c r="B55" s="27" t="s">
        <v>4</v>
      </c>
      <c r="C55" s="24">
        <v>-15</v>
      </c>
    </row>
    <row r="56" spans="1:3" hidden="1" x14ac:dyDescent="0.3">
      <c r="A56" s="26">
        <v>45905</v>
      </c>
      <c r="B56" s="27" t="s">
        <v>4</v>
      </c>
      <c r="C56" s="24">
        <v>-588.91999999999996</v>
      </c>
    </row>
    <row r="57" spans="1:3" hidden="1" x14ac:dyDescent="0.3">
      <c r="A57" s="26">
        <v>45905</v>
      </c>
      <c r="B57" s="27" t="s">
        <v>4</v>
      </c>
      <c r="C57" s="24">
        <v>-335.28</v>
      </c>
    </row>
    <row r="58" spans="1:3" hidden="1" x14ac:dyDescent="0.3">
      <c r="A58" s="26">
        <v>45912</v>
      </c>
      <c r="B58" s="34" t="s">
        <v>21</v>
      </c>
      <c r="C58" s="24">
        <v>51.25</v>
      </c>
    </row>
    <row r="59" spans="1:3" hidden="1" x14ac:dyDescent="0.3">
      <c r="A59" s="26">
        <v>45916</v>
      </c>
      <c r="B59" s="27" t="s">
        <v>1</v>
      </c>
      <c r="C59" s="24">
        <v>1308.8</v>
      </c>
    </row>
    <row r="60" spans="1:3" hidden="1" x14ac:dyDescent="0.3">
      <c r="A60" s="26">
        <v>45916</v>
      </c>
      <c r="B60" s="32" t="s">
        <v>1</v>
      </c>
      <c r="C60" s="24">
        <v>59.8</v>
      </c>
    </row>
    <row r="61" spans="1:3" hidden="1" x14ac:dyDescent="0.3">
      <c r="A61" s="26">
        <v>45922</v>
      </c>
      <c r="B61" s="27" t="s">
        <v>4</v>
      </c>
      <c r="C61" s="24">
        <v>-759.42</v>
      </c>
    </row>
    <row r="62" spans="1:3" hidden="1" x14ac:dyDescent="0.3">
      <c r="A62" s="26">
        <v>45922</v>
      </c>
      <c r="B62" s="27" t="s">
        <v>4</v>
      </c>
      <c r="C62" s="24">
        <v>-660.33</v>
      </c>
    </row>
    <row r="63" spans="1:3" hidden="1" x14ac:dyDescent="0.3">
      <c r="A63" s="26">
        <v>45925</v>
      </c>
      <c r="B63" s="32" t="s">
        <v>1</v>
      </c>
      <c r="C63" s="24">
        <v>24.1</v>
      </c>
    </row>
    <row r="64" spans="1:3" hidden="1" x14ac:dyDescent="0.3">
      <c r="A64" s="26">
        <v>45933</v>
      </c>
      <c r="B64" s="27" t="s">
        <v>4</v>
      </c>
      <c r="C64" s="24">
        <v>-184</v>
      </c>
    </row>
    <row r="65" spans="1:3" hidden="1" x14ac:dyDescent="0.3">
      <c r="A65" s="26">
        <v>45933</v>
      </c>
      <c r="B65" s="27" t="s">
        <v>4</v>
      </c>
      <c r="C65" s="24">
        <v>-1122</v>
      </c>
    </row>
    <row r="66" spans="1:3" hidden="1" x14ac:dyDescent="0.3">
      <c r="A66" s="26">
        <v>45933</v>
      </c>
      <c r="B66" s="27" t="s">
        <v>4</v>
      </c>
      <c r="C66" s="24">
        <v>-382.23</v>
      </c>
    </row>
    <row r="67" spans="1:3" hidden="1" x14ac:dyDescent="0.3">
      <c r="A67" s="26">
        <v>45933</v>
      </c>
      <c r="B67" s="27" t="s">
        <v>1</v>
      </c>
      <c r="C67" s="24">
        <v>1733.8</v>
      </c>
    </row>
    <row r="68" spans="1:3" hidden="1" x14ac:dyDescent="0.3">
      <c r="A68" s="26">
        <v>45933</v>
      </c>
      <c r="B68" s="32" t="s">
        <v>1</v>
      </c>
      <c r="C68" s="24">
        <v>31.7</v>
      </c>
    </row>
    <row r="69" spans="1:3" hidden="1" x14ac:dyDescent="0.3">
      <c r="A69" s="26">
        <v>45939</v>
      </c>
      <c r="B69" s="27" t="s">
        <v>1</v>
      </c>
      <c r="C69" s="24">
        <v>710.61</v>
      </c>
    </row>
    <row r="70" spans="1:3" hidden="1" x14ac:dyDescent="0.3">
      <c r="A70" s="26">
        <v>45939</v>
      </c>
      <c r="B70" s="32" t="s">
        <v>1</v>
      </c>
      <c r="C70" s="24">
        <v>49.18</v>
      </c>
    </row>
    <row r="71" spans="1:3" hidden="1" x14ac:dyDescent="0.3">
      <c r="A71" s="26">
        <v>45944</v>
      </c>
      <c r="B71" s="27" t="s">
        <v>4</v>
      </c>
      <c r="C71" s="24">
        <v>-202.79</v>
      </c>
    </row>
    <row r="72" spans="1:3" hidden="1" x14ac:dyDescent="0.3">
      <c r="A72" s="26">
        <v>45944</v>
      </c>
      <c r="B72" s="27" t="s">
        <v>4</v>
      </c>
      <c r="C72" s="24">
        <v>-658.53</v>
      </c>
    </row>
    <row r="73" spans="1:3" hidden="1" x14ac:dyDescent="0.3">
      <c r="A73" s="26">
        <v>45946</v>
      </c>
      <c r="B73" s="27" t="s">
        <v>4</v>
      </c>
      <c r="C73" s="24">
        <v>-314.3</v>
      </c>
    </row>
    <row r="74" spans="1:3" hidden="1" x14ac:dyDescent="0.3">
      <c r="A74" s="26">
        <v>45946</v>
      </c>
      <c r="B74" s="27" t="s">
        <v>1</v>
      </c>
      <c r="C74" s="24">
        <v>435.3</v>
      </c>
    </row>
    <row r="75" spans="1:3" hidden="1" x14ac:dyDescent="0.3">
      <c r="A75" s="26">
        <v>45946</v>
      </c>
      <c r="B75" s="32" t="s">
        <v>1</v>
      </c>
      <c r="C75" s="24">
        <v>9</v>
      </c>
    </row>
    <row r="76" spans="1:3" hidden="1" x14ac:dyDescent="0.3">
      <c r="A76" s="26">
        <v>45946</v>
      </c>
      <c r="B76" s="32" t="s">
        <v>1</v>
      </c>
      <c r="C76" s="24">
        <v>35.58</v>
      </c>
    </row>
    <row r="77" spans="1:3" hidden="1" x14ac:dyDescent="0.3">
      <c r="A77" s="26">
        <v>45946</v>
      </c>
      <c r="B77" s="34" t="s">
        <v>21</v>
      </c>
      <c r="C77" s="24">
        <v>139.80000000000001</v>
      </c>
    </row>
    <row r="78" spans="1:3" hidden="1" x14ac:dyDescent="0.3">
      <c r="A78" s="26">
        <v>45946</v>
      </c>
      <c r="B78" s="46" t="s">
        <v>21</v>
      </c>
      <c r="C78" s="24">
        <v>17.04</v>
      </c>
    </row>
    <row r="79" spans="1:3" hidden="1" x14ac:dyDescent="0.3">
      <c r="A79" s="26">
        <v>45951</v>
      </c>
      <c r="B79" s="27" t="s">
        <v>4</v>
      </c>
      <c r="C79" s="24">
        <v>-322.42</v>
      </c>
    </row>
    <row r="80" spans="1:3" hidden="1" x14ac:dyDescent="0.3">
      <c r="A80" s="26">
        <v>45959</v>
      </c>
      <c r="B80" s="27" t="s">
        <v>4</v>
      </c>
      <c r="C80" s="24">
        <v>-462.17</v>
      </c>
    </row>
    <row r="81" spans="1:4" hidden="1" x14ac:dyDescent="0.3">
      <c r="A81" s="26">
        <v>45959</v>
      </c>
      <c r="B81" s="27" t="s">
        <v>4</v>
      </c>
      <c r="C81" s="24">
        <v>-579.45000000000005</v>
      </c>
    </row>
    <row r="82" spans="1:4" hidden="1" x14ac:dyDescent="0.3">
      <c r="A82" s="26">
        <v>45959</v>
      </c>
      <c r="B82" s="27" t="s">
        <v>4</v>
      </c>
      <c r="C82" s="24">
        <v>-56.56</v>
      </c>
    </row>
    <row r="83" spans="1:4" hidden="1" x14ac:dyDescent="0.3">
      <c r="A83" s="26">
        <v>45959</v>
      </c>
      <c r="B83" s="27" t="s">
        <v>1</v>
      </c>
      <c r="C83" s="24">
        <v>1041.6199999999999</v>
      </c>
    </row>
    <row r="84" spans="1:4" hidden="1" x14ac:dyDescent="0.3">
      <c r="A84" s="26">
        <v>45959</v>
      </c>
      <c r="B84" s="32" t="s">
        <v>1</v>
      </c>
      <c r="C84" s="24">
        <v>58.56</v>
      </c>
    </row>
    <row r="85" spans="1:4" hidden="1" x14ac:dyDescent="0.3">
      <c r="A85" s="26">
        <v>45961</v>
      </c>
      <c r="B85" s="27" t="s">
        <v>4</v>
      </c>
      <c r="C85" s="24">
        <v>-56.46</v>
      </c>
    </row>
    <row r="86" spans="1:4" hidden="1" x14ac:dyDescent="0.3">
      <c r="A86" s="26">
        <v>45961</v>
      </c>
      <c r="B86" s="34" t="s">
        <v>21</v>
      </c>
      <c r="C86" s="24">
        <v>56.46</v>
      </c>
    </row>
    <row r="87" spans="1:4" hidden="1" x14ac:dyDescent="0.3">
      <c r="A87" s="26">
        <v>45974</v>
      </c>
      <c r="B87" s="27" t="s">
        <v>1</v>
      </c>
      <c r="C87" s="24">
        <v>1250.8599999999999</v>
      </c>
    </row>
    <row r="88" spans="1:4" hidden="1" x14ac:dyDescent="0.3">
      <c r="A88" s="26">
        <v>45974</v>
      </c>
      <c r="B88" s="27" t="s">
        <v>1</v>
      </c>
      <c r="C88" s="24">
        <v>136.69</v>
      </c>
    </row>
    <row r="89" spans="1:4" hidden="1" x14ac:dyDescent="0.3">
      <c r="A89" s="26">
        <v>45975</v>
      </c>
      <c r="B89" s="27" t="s">
        <v>4</v>
      </c>
      <c r="C89" s="24">
        <v>-136.69</v>
      </c>
    </row>
    <row r="90" spans="1:4" hidden="1" x14ac:dyDescent="0.3">
      <c r="A90" s="26">
        <v>45975</v>
      </c>
      <c r="B90" s="27" t="s">
        <v>4</v>
      </c>
      <c r="C90" s="24">
        <v>-320</v>
      </c>
    </row>
    <row r="91" spans="1:4" hidden="1" x14ac:dyDescent="0.3">
      <c r="A91" s="26">
        <v>45976</v>
      </c>
      <c r="B91" s="27" t="s">
        <v>4</v>
      </c>
      <c r="C91" s="24">
        <v>-210</v>
      </c>
    </row>
    <row r="92" spans="1:4" hidden="1" x14ac:dyDescent="0.3">
      <c r="A92" s="26">
        <v>45978</v>
      </c>
      <c r="B92" s="27" t="s">
        <v>4</v>
      </c>
      <c r="C92" s="24">
        <v>-220</v>
      </c>
    </row>
    <row r="93" spans="1:4" hidden="1" x14ac:dyDescent="0.3">
      <c r="A93" s="26">
        <v>45979</v>
      </c>
      <c r="B93" s="27" t="s">
        <v>4</v>
      </c>
      <c r="C93" s="24">
        <v>-380</v>
      </c>
    </row>
    <row r="94" spans="1:4" hidden="1" x14ac:dyDescent="0.3">
      <c r="A94" s="26">
        <v>45985</v>
      </c>
      <c r="B94" s="27" t="s">
        <v>4</v>
      </c>
      <c r="C94" s="24">
        <v>-122.86</v>
      </c>
    </row>
    <row r="95" spans="1:4" x14ac:dyDescent="0.3">
      <c r="A95" s="26">
        <v>45988</v>
      </c>
      <c r="B95" s="27" t="s">
        <v>1</v>
      </c>
      <c r="C95" s="24">
        <v>1147.52</v>
      </c>
      <c r="D95" s="25">
        <v>2</v>
      </c>
    </row>
    <row r="96" spans="1:4" x14ac:dyDescent="0.3">
      <c r="A96" s="26">
        <v>45988</v>
      </c>
      <c r="B96" s="27" t="s">
        <v>1</v>
      </c>
      <c r="C96" s="24">
        <v>83.56</v>
      </c>
    </row>
    <row r="97" spans="1:3" x14ac:dyDescent="0.3">
      <c r="A97" s="26">
        <v>45992</v>
      </c>
      <c r="B97" s="27" t="s">
        <v>4</v>
      </c>
      <c r="C97" s="24">
        <v>-424.53</v>
      </c>
    </row>
    <row r="98" spans="1:3" x14ac:dyDescent="0.3">
      <c r="A98" s="26">
        <v>45992</v>
      </c>
      <c r="B98" s="27" t="s">
        <v>4</v>
      </c>
      <c r="C98" s="24">
        <v>-606.54999999999995</v>
      </c>
    </row>
    <row r="99" spans="1:3" x14ac:dyDescent="0.3">
      <c r="A99" s="26">
        <v>45992</v>
      </c>
      <c r="B99" s="27" t="s">
        <v>4</v>
      </c>
      <c r="C99" s="24">
        <v>-200</v>
      </c>
    </row>
    <row r="100" spans="1:3" x14ac:dyDescent="0.3">
      <c r="A100" s="26">
        <v>46002</v>
      </c>
      <c r="B100" s="27" t="s">
        <v>1</v>
      </c>
      <c r="C100" s="24">
        <v>889.52</v>
      </c>
    </row>
    <row r="101" spans="1:3" x14ac:dyDescent="0.3">
      <c r="A101" s="26">
        <v>46009</v>
      </c>
      <c r="B101" s="27" t="s">
        <v>4</v>
      </c>
      <c r="C101" s="24">
        <v>-169.62</v>
      </c>
    </row>
    <row r="102" spans="1:3" x14ac:dyDescent="0.3">
      <c r="A102" s="26">
        <v>46009</v>
      </c>
      <c r="B102" s="27" t="s">
        <v>4</v>
      </c>
      <c r="C102" s="24">
        <v>-715.4</v>
      </c>
    </row>
    <row r="103" spans="1:3" x14ac:dyDescent="0.3">
      <c r="A103" s="26">
        <v>46009</v>
      </c>
      <c r="B103" s="27" t="s">
        <v>4</v>
      </c>
      <c r="C103" s="24">
        <v>-4.5</v>
      </c>
    </row>
    <row r="104" spans="1:3" x14ac:dyDescent="0.3">
      <c r="A104" s="26">
        <v>46010</v>
      </c>
      <c r="B104" s="27" t="s">
        <v>4</v>
      </c>
      <c r="C104" s="24">
        <v>-530.95000000000005</v>
      </c>
    </row>
    <row r="105" spans="1:3" x14ac:dyDescent="0.3">
      <c r="A105" s="26">
        <v>46010</v>
      </c>
      <c r="B105" s="27" t="s">
        <v>4</v>
      </c>
      <c r="C105" s="24">
        <v>-113.05</v>
      </c>
    </row>
    <row r="106" spans="1:3" x14ac:dyDescent="0.3">
      <c r="A106" s="26">
        <v>46013</v>
      </c>
      <c r="B106" s="27" t="s">
        <v>1</v>
      </c>
      <c r="C106" s="24">
        <v>1172</v>
      </c>
    </row>
    <row r="107" spans="1:3" x14ac:dyDescent="0.3">
      <c r="A107" s="26">
        <v>46014</v>
      </c>
      <c r="B107" s="27" t="s">
        <v>4</v>
      </c>
      <c r="C107" s="24">
        <v>-341.36</v>
      </c>
    </row>
    <row r="108" spans="1:3" x14ac:dyDescent="0.3">
      <c r="A108" s="26">
        <v>46021</v>
      </c>
      <c r="B108" s="27" t="s">
        <v>1</v>
      </c>
      <c r="C108" s="24">
        <v>807</v>
      </c>
    </row>
    <row r="109" spans="1:3" x14ac:dyDescent="0.3">
      <c r="A109" s="26">
        <v>46024</v>
      </c>
      <c r="B109" s="27" t="s">
        <v>4</v>
      </c>
      <c r="C109" s="24">
        <v>-400</v>
      </c>
    </row>
    <row r="110" spans="1:3" x14ac:dyDescent="0.3">
      <c r="A110" s="26">
        <v>46024</v>
      </c>
      <c r="B110" s="27" t="s">
        <v>4</v>
      </c>
      <c r="C110" s="24">
        <v>-186.64</v>
      </c>
    </row>
    <row r="111" spans="1:3" x14ac:dyDescent="0.3">
      <c r="A111" s="26">
        <v>46024</v>
      </c>
      <c r="B111" s="27" t="s">
        <v>4</v>
      </c>
      <c r="C111" s="24">
        <v>-407</v>
      </c>
    </row>
    <row r="112" spans="1:3" x14ac:dyDescent="0.3">
      <c r="A112" s="26">
        <v>46031</v>
      </c>
      <c r="B112" s="27" t="s">
        <v>1</v>
      </c>
      <c r="C112" s="24">
        <v>353.46</v>
      </c>
    </row>
    <row r="113" spans="1:3" x14ac:dyDescent="0.3">
      <c r="A113" s="26">
        <v>46031</v>
      </c>
      <c r="B113" s="27" t="s">
        <v>503</v>
      </c>
      <c r="C113" s="24">
        <v>-7.2</v>
      </c>
    </row>
    <row r="114" spans="1:3" x14ac:dyDescent="0.3">
      <c r="A114" s="26">
        <v>46036</v>
      </c>
      <c r="B114" s="27" t="s">
        <v>1</v>
      </c>
      <c r="C114" s="24">
        <v>60.64</v>
      </c>
    </row>
    <row r="115" spans="1:3" x14ac:dyDescent="0.3">
      <c r="A115" s="26">
        <v>46042</v>
      </c>
      <c r="B115" s="27" t="s">
        <v>4</v>
      </c>
      <c r="C115" s="24">
        <v>-60.64</v>
      </c>
    </row>
    <row r="116" spans="1:3" x14ac:dyDescent="0.3">
      <c r="A116" s="26">
        <v>46042</v>
      </c>
      <c r="B116" s="27" t="s">
        <v>4</v>
      </c>
      <c r="C116" s="24">
        <v>-346.26</v>
      </c>
    </row>
    <row r="117" spans="1:3" x14ac:dyDescent="0.3">
      <c r="A117" s="26">
        <v>46045</v>
      </c>
      <c r="B117" s="27" t="s">
        <v>1</v>
      </c>
      <c r="C117" s="24">
        <v>49.5</v>
      </c>
    </row>
    <row r="118" spans="1:3" x14ac:dyDescent="0.3">
      <c r="A118" s="26">
        <v>46050</v>
      </c>
      <c r="B118" s="27" t="s">
        <v>1</v>
      </c>
      <c r="C118" s="24">
        <v>60.72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6FBC-C967-4C25-A213-847E9E56F7A2}">
  <sheetPr codeName="Hoja30"/>
  <dimension ref="A1:H1048576"/>
  <sheetViews>
    <sheetView view="pageBreakPreview" zoomScale="80" zoomScaleNormal="100" zoomScaleSheetLayoutView="80" workbookViewId="0">
      <selection sqref="A1:H4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293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294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45831</v>
      </c>
      <c r="B5" s="32" t="s">
        <v>21</v>
      </c>
      <c r="C5" s="24">
        <v>59.18</v>
      </c>
      <c r="D5" s="30"/>
      <c r="E5" s="30"/>
      <c r="F5" s="30"/>
      <c r="G5" s="22"/>
    </row>
    <row r="6" spans="1:8" hidden="1" x14ac:dyDescent="0.3">
      <c r="A6" s="21">
        <v>45835</v>
      </c>
      <c r="B6" s="32" t="s">
        <v>21</v>
      </c>
      <c r="C6" s="24">
        <v>12.1</v>
      </c>
    </row>
    <row r="7" spans="1:8" hidden="1" x14ac:dyDescent="0.3">
      <c r="A7" s="21">
        <v>45839</v>
      </c>
      <c r="B7" s="27" t="s">
        <v>4</v>
      </c>
      <c r="C7" s="24">
        <v>-79.41</v>
      </c>
    </row>
    <row r="8" spans="1:8" hidden="1" x14ac:dyDescent="0.3">
      <c r="A8" s="21">
        <v>45839</v>
      </c>
      <c r="B8" s="27" t="s">
        <v>4</v>
      </c>
      <c r="C8" s="24">
        <v>-87.1</v>
      </c>
    </row>
    <row r="9" spans="1:8" hidden="1" x14ac:dyDescent="0.3">
      <c r="A9" s="21">
        <v>45839</v>
      </c>
      <c r="B9" s="32" t="s">
        <v>1</v>
      </c>
      <c r="C9" s="24">
        <v>87.1</v>
      </c>
    </row>
    <row r="10" spans="1:8" hidden="1" x14ac:dyDescent="0.3">
      <c r="A10" s="26">
        <v>45846</v>
      </c>
      <c r="B10" s="32" t="s">
        <v>1</v>
      </c>
      <c r="C10" s="24">
        <v>54.18</v>
      </c>
    </row>
    <row r="11" spans="1:8" hidden="1" x14ac:dyDescent="0.3">
      <c r="A11" s="26">
        <v>45847</v>
      </c>
      <c r="B11" s="32" t="s">
        <v>1</v>
      </c>
      <c r="C11" s="24">
        <v>90</v>
      </c>
    </row>
    <row r="12" spans="1:8" hidden="1" x14ac:dyDescent="0.3">
      <c r="A12" s="26">
        <v>45848</v>
      </c>
      <c r="B12" s="27" t="s">
        <v>4</v>
      </c>
      <c r="C12" s="24">
        <v>-90</v>
      </c>
    </row>
    <row r="13" spans="1:8" hidden="1" x14ac:dyDescent="0.3">
      <c r="A13" s="26">
        <v>45853</v>
      </c>
      <c r="B13" s="27" t="s">
        <v>7</v>
      </c>
      <c r="C13" s="24">
        <v>-46.06</v>
      </c>
    </row>
    <row r="14" spans="1:8" hidden="1" x14ac:dyDescent="0.3">
      <c r="A14" s="26">
        <v>45853</v>
      </c>
      <c r="B14" s="32" t="s">
        <v>1</v>
      </c>
      <c r="C14" s="24">
        <v>26.15</v>
      </c>
    </row>
    <row r="15" spans="1:8" hidden="1" x14ac:dyDescent="0.3">
      <c r="A15" s="26">
        <v>45860</v>
      </c>
      <c r="B15" s="27" t="s">
        <v>4</v>
      </c>
      <c r="C15" s="24">
        <v>-167.13</v>
      </c>
    </row>
    <row r="16" spans="1:8" hidden="1" x14ac:dyDescent="0.3">
      <c r="A16" s="26">
        <v>45860</v>
      </c>
      <c r="B16" s="34" t="s">
        <v>1</v>
      </c>
      <c r="C16" s="24">
        <v>389.72</v>
      </c>
    </row>
    <row r="17" spans="1:3" hidden="1" x14ac:dyDescent="0.3">
      <c r="A17" s="26">
        <v>45860</v>
      </c>
      <c r="B17" s="27" t="s">
        <v>7</v>
      </c>
      <c r="C17" s="24">
        <v>-26.15</v>
      </c>
    </row>
    <row r="18" spans="1:3" hidden="1" x14ac:dyDescent="0.3">
      <c r="A18" s="26">
        <v>45861</v>
      </c>
      <c r="B18" s="27" t="s">
        <v>4</v>
      </c>
      <c r="C18" s="24">
        <v>-215.9</v>
      </c>
    </row>
    <row r="19" spans="1:3" hidden="1" x14ac:dyDescent="0.3">
      <c r="A19" s="26">
        <v>45867</v>
      </c>
      <c r="B19" s="27" t="s">
        <v>7</v>
      </c>
      <c r="C19" s="24">
        <v>-6.7</v>
      </c>
    </row>
    <row r="20" spans="1:3" hidden="1" x14ac:dyDescent="0.3">
      <c r="A20" s="26">
        <v>45867</v>
      </c>
      <c r="B20" s="32" t="s">
        <v>1</v>
      </c>
      <c r="C20" s="24">
        <v>31.7</v>
      </c>
    </row>
    <row r="21" spans="1:3" hidden="1" x14ac:dyDescent="0.3">
      <c r="A21" s="26">
        <v>45869</v>
      </c>
      <c r="B21" s="27" t="s">
        <v>4</v>
      </c>
      <c r="C21" s="24">
        <v>-31.7</v>
      </c>
    </row>
    <row r="22" spans="1:3" hidden="1" x14ac:dyDescent="0.3">
      <c r="A22" s="26">
        <v>45881</v>
      </c>
      <c r="B22" s="32" t="s">
        <v>1</v>
      </c>
      <c r="C22" s="24">
        <v>24.2</v>
      </c>
    </row>
    <row r="23" spans="1:3" hidden="1" x14ac:dyDescent="0.3">
      <c r="A23" s="26">
        <v>45881</v>
      </c>
      <c r="B23" s="34" t="s">
        <v>1</v>
      </c>
      <c r="C23" s="24">
        <v>82.8</v>
      </c>
    </row>
    <row r="24" spans="1:3" hidden="1" x14ac:dyDescent="0.3">
      <c r="A24" s="26">
        <v>45889</v>
      </c>
      <c r="B24" s="27" t="s">
        <v>4</v>
      </c>
      <c r="C24" s="24">
        <v>-46.02</v>
      </c>
    </row>
    <row r="25" spans="1:3" hidden="1" x14ac:dyDescent="0.3">
      <c r="A25" s="26">
        <v>45889</v>
      </c>
      <c r="B25" s="27" t="s">
        <v>4</v>
      </c>
      <c r="C25" s="24">
        <v>-60.96</v>
      </c>
    </row>
    <row r="26" spans="1:3" hidden="1" x14ac:dyDescent="0.3">
      <c r="A26" s="26">
        <v>45895</v>
      </c>
      <c r="B26" s="32" t="s">
        <v>1</v>
      </c>
      <c r="C26" s="24">
        <v>10.3</v>
      </c>
    </row>
    <row r="27" spans="1:3" hidden="1" x14ac:dyDescent="0.3">
      <c r="A27" s="26">
        <v>45897</v>
      </c>
      <c r="B27" s="27" t="s">
        <v>4</v>
      </c>
      <c r="C27" s="24">
        <v>-10.3</v>
      </c>
    </row>
    <row r="28" spans="1:3" hidden="1" x14ac:dyDescent="0.3">
      <c r="A28" s="26">
        <v>45909</v>
      </c>
      <c r="B28" s="32" t="s">
        <v>1</v>
      </c>
      <c r="C28" s="24">
        <v>25.69</v>
      </c>
    </row>
    <row r="29" spans="1:3" hidden="1" x14ac:dyDescent="0.3">
      <c r="A29" s="26">
        <v>45916</v>
      </c>
      <c r="B29" s="27" t="s">
        <v>4</v>
      </c>
      <c r="C29" s="24">
        <v>-25.7</v>
      </c>
    </row>
    <row r="30" spans="1:3" hidden="1" x14ac:dyDescent="0.3">
      <c r="A30" s="26">
        <v>45916</v>
      </c>
      <c r="B30" s="32" t="s">
        <v>1</v>
      </c>
      <c r="C30" s="24">
        <v>14.9</v>
      </c>
    </row>
    <row r="31" spans="1:3" hidden="1" x14ac:dyDescent="0.3">
      <c r="A31" s="26">
        <v>45923</v>
      </c>
      <c r="B31" s="27" t="s">
        <v>4</v>
      </c>
      <c r="C31" s="24">
        <v>-14.9</v>
      </c>
    </row>
    <row r="32" spans="1:3" hidden="1" x14ac:dyDescent="0.3">
      <c r="A32" s="26">
        <v>45923</v>
      </c>
      <c r="B32" s="27" t="s">
        <v>4</v>
      </c>
      <c r="C32" s="24">
        <v>-20.6</v>
      </c>
    </row>
    <row r="33" spans="1:3" hidden="1" x14ac:dyDescent="0.3">
      <c r="A33" s="26">
        <v>45923</v>
      </c>
      <c r="B33" s="27" t="s">
        <v>4</v>
      </c>
      <c r="C33" s="24">
        <v>-24.34</v>
      </c>
    </row>
    <row r="34" spans="1:3" hidden="1" x14ac:dyDescent="0.3">
      <c r="A34" s="26">
        <v>45923</v>
      </c>
      <c r="B34" s="27" t="s">
        <v>4</v>
      </c>
      <c r="C34" s="24">
        <v>-42.14</v>
      </c>
    </row>
    <row r="35" spans="1:3" hidden="1" x14ac:dyDescent="0.3">
      <c r="A35" s="26">
        <v>45923</v>
      </c>
      <c r="B35" s="32" t="s">
        <v>1</v>
      </c>
      <c r="C35" s="24">
        <v>20.6</v>
      </c>
    </row>
    <row r="36" spans="1:3" hidden="1" x14ac:dyDescent="0.3">
      <c r="A36" s="26">
        <v>45923</v>
      </c>
      <c r="B36" s="34" t="s">
        <v>1</v>
      </c>
      <c r="C36" s="24">
        <v>66.48</v>
      </c>
    </row>
    <row r="37" spans="1:3" hidden="1" x14ac:dyDescent="0.3">
      <c r="A37" s="26">
        <v>45944</v>
      </c>
      <c r="B37" s="32" t="s">
        <v>1</v>
      </c>
      <c r="C37" s="24">
        <v>46.18</v>
      </c>
    </row>
    <row r="38" spans="1:3" hidden="1" x14ac:dyDescent="0.3">
      <c r="A38" s="26">
        <v>45946</v>
      </c>
      <c r="B38" s="27" t="s">
        <v>4</v>
      </c>
      <c r="C38" s="24">
        <v>-46.18</v>
      </c>
    </row>
    <row r="39" spans="1:3" x14ac:dyDescent="0.3">
      <c r="A39" s="26">
        <v>45972</v>
      </c>
      <c r="B39" s="27" t="s">
        <v>21</v>
      </c>
      <c r="C39" s="24">
        <v>16.32</v>
      </c>
    </row>
    <row r="40" spans="1:3" x14ac:dyDescent="0.3">
      <c r="A40" s="26">
        <v>45979</v>
      </c>
      <c r="B40" s="27" t="s">
        <v>4</v>
      </c>
      <c r="C40" s="24">
        <v>-16.309999999999999</v>
      </c>
    </row>
    <row r="86" spans="2:2" x14ac:dyDescent="0.3">
      <c r="B86" s="31"/>
    </row>
    <row r="1048576" spans="1:1" x14ac:dyDescent="0.3">
      <c r="A1048576" s="2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11C1-E2D7-4176-BEC7-8D075D87FB32}">
  <sheetPr codeName="Hoja4"/>
  <dimension ref="A1:H27"/>
  <sheetViews>
    <sheetView view="pageBreakPreview" zoomScale="80" zoomScaleNormal="100" zoomScaleSheetLayoutView="80" workbookViewId="0">
      <selection activeCell="C28" sqref="C2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87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88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1.3499999999999943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45815</v>
      </c>
      <c r="B5" s="27" t="s">
        <v>4</v>
      </c>
      <c r="C5" s="24">
        <v>-15.85</v>
      </c>
      <c r="D5" s="30"/>
      <c r="E5" s="30"/>
      <c r="F5" s="30"/>
      <c r="G5" s="22"/>
    </row>
    <row r="6" spans="1:8" hidden="1" x14ac:dyDescent="0.3">
      <c r="A6" s="21">
        <v>45815</v>
      </c>
      <c r="B6" s="72" t="s">
        <v>21</v>
      </c>
      <c r="C6" s="24">
        <v>15.85</v>
      </c>
    </row>
    <row r="7" spans="1:8" hidden="1" x14ac:dyDescent="0.3">
      <c r="A7" s="26">
        <v>45870</v>
      </c>
      <c r="B7" s="72" t="s">
        <v>21</v>
      </c>
      <c r="C7" s="24">
        <v>15.85</v>
      </c>
    </row>
    <row r="8" spans="1:8" hidden="1" x14ac:dyDescent="0.3">
      <c r="A8" s="26">
        <v>45870</v>
      </c>
      <c r="B8" s="73" t="s">
        <v>21</v>
      </c>
      <c r="C8" s="24">
        <v>47.76</v>
      </c>
    </row>
    <row r="9" spans="1:8" hidden="1" x14ac:dyDescent="0.3">
      <c r="A9" s="26">
        <v>45884</v>
      </c>
      <c r="B9" s="27" t="s">
        <v>7</v>
      </c>
      <c r="C9" s="24">
        <v>-63.61</v>
      </c>
    </row>
    <row r="10" spans="1:8" hidden="1" x14ac:dyDescent="0.3">
      <c r="A10" s="26">
        <v>45884</v>
      </c>
      <c r="B10" s="72" t="s">
        <v>21</v>
      </c>
      <c r="C10" s="24">
        <v>33.6</v>
      </c>
    </row>
    <row r="11" spans="1:8" hidden="1" x14ac:dyDescent="0.3">
      <c r="A11" s="26">
        <v>45898</v>
      </c>
      <c r="B11" s="73" t="s">
        <v>21</v>
      </c>
      <c r="C11" s="24">
        <v>20.93</v>
      </c>
    </row>
    <row r="12" spans="1:8" hidden="1" x14ac:dyDescent="0.3">
      <c r="A12" s="26">
        <v>45903</v>
      </c>
      <c r="B12" s="31" t="s">
        <v>4</v>
      </c>
      <c r="C12" s="24">
        <v>-33.81</v>
      </c>
    </row>
    <row r="13" spans="1:8" hidden="1" x14ac:dyDescent="0.3">
      <c r="A13" s="26">
        <v>45912</v>
      </c>
      <c r="B13" s="27" t="s">
        <v>7</v>
      </c>
      <c r="C13" s="24">
        <v>-20.93</v>
      </c>
    </row>
    <row r="14" spans="1:8" hidden="1" x14ac:dyDescent="0.3">
      <c r="A14" s="26">
        <v>45912</v>
      </c>
      <c r="B14" s="73" t="s">
        <v>21</v>
      </c>
      <c r="C14" s="24">
        <v>24.93</v>
      </c>
    </row>
    <row r="15" spans="1:8" hidden="1" x14ac:dyDescent="0.3">
      <c r="A15" s="26">
        <v>45933</v>
      </c>
      <c r="B15" s="27" t="s">
        <v>7</v>
      </c>
      <c r="C15" s="24">
        <v>-24.73</v>
      </c>
    </row>
    <row r="16" spans="1:8" hidden="1" x14ac:dyDescent="0.3">
      <c r="A16" s="26">
        <v>45933</v>
      </c>
      <c r="B16" s="73" t="s">
        <v>21</v>
      </c>
      <c r="C16" s="24">
        <v>31.16</v>
      </c>
    </row>
    <row r="17" spans="1:3" hidden="1" x14ac:dyDescent="0.3">
      <c r="A17" s="26">
        <v>45940</v>
      </c>
      <c r="B17" s="27" t="s">
        <v>7</v>
      </c>
      <c r="C17" s="24">
        <v>-31.15</v>
      </c>
    </row>
    <row r="18" spans="1:3" x14ac:dyDescent="0.3">
      <c r="A18" s="26">
        <v>45940</v>
      </c>
      <c r="B18" s="73" t="s">
        <v>21</v>
      </c>
      <c r="C18" s="24">
        <v>19.440000000000001</v>
      </c>
    </row>
    <row r="19" spans="1:3" x14ac:dyDescent="0.3">
      <c r="A19" s="26">
        <v>45940</v>
      </c>
      <c r="B19" s="73" t="s">
        <v>21</v>
      </c>
      <c r="C19" s="24">
        <v>19.14</v>
      </c>
    </row>
    <row r="20" spans="1:3" x14ac:dyDescent="0.3">
      <c r="A20" s="26">
        <v>45968</v>
      </c>
      <c r="B20" s="27" t="s">
        <v>4</v>
      </c>
      <c r="C20" s="24">
        <v>-19.25</v>
      </c>
    </row>
    <row r="21" spans="1:3" x14ac:dyDescent="0.3">
      <c r="A21" s="26">
        <v>45968</v>
      </c>
      <c r="B21" s="72" t="s">
        <v>21</v>
      </c>
      <c r="C21" s="24">
        <v>16.38</v>
      </c>
    </row>
    <row r="22" spans="1:3" x14ac:dyDescent="0.3">
      <c r="A22" s="26">
        <v>45989</v>
      </c>
      <c r="B22" s="27" t="s">
        <v>7</v>
      </c>
      <c r="C22" s="24">
        <v>-17</v>
      </c>
    </row>
    <row r="23" spans="1:3" x14ac:dyDescent="0.3">
      <c r="A23" s="26">
        <v>45989</v>
      </c>
      <c r="B23" s="27" t="s">
        <v>1</v>
      </c>
      <c r="C23" s="24">
        <v>27.7</v>
      </c>
    </row>
    <row r="24" spans="1:3" x14ac:dyDescent="0.3">
      <c r="A24" s="26">
        <v>45992</v>
      </c>
      <c r="B24" s="27" t="s">
        <v>4</v>
      </c>
      <c r="C24" s="24">
        <v>-27.7</v>
      </c>
    </row>
    <row r="25" spans="1:3" x14ac:dyDescent="0.3">
      <c r="A25" s="26">
        <v>46052</v>
      </c>
      <c r="B25" s="27" t="s">
        <v>4</v>
      </c>
      <c r="C25" s="24">
        <v>-44.03</v>
      </c>
    </row>
    <row r="26" spans="1:3" x14ac:dyDescent="0.3">
      <c r="A26" s="26">
        <v>46052</v>
      </c>
      <c r="B26" s="27" t="s">
        <v>1</v>
      </c>
      <c r="C26" s="24">
        <v>43.91</v>
      </c>
    </row>
    <row r="27" spans="1:3" x14ac:dyDescent="0.3">
      <c r="A27" s="26">
        <v>46052</v>
      </c>
      <c r="B27" s="27" t="s">
        <v>7</v>
      </c>
      <c r="C27" s="24">
        <v>-17.239999999999998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4DC45-66E7-495A-9A32-29D9CE4E1916}">
  <sheetPr codeName="Hoja5"/>
  <dimension ref="A1:H85"/>
  <sheetViews>
    <sheetView view="pageBreakPreview" zoomScale="80" zoomScaleNormal="100" zoomScaleSheetLayoutView="80" workbookViewId="0">
      <selection activeCell="C86" sqref="C8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4.55468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447</v>
      </c>
      <c r="B1" s="17" t="s">
        <v>189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190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816.14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45820</v>
      </c>
      <c r="B5" s="32" t="s">
        <v>21</v>
      </c>
      <c r="C5" s="24">
        <v>27.48</v>
      </c>
      <c r="D5" s="30"/>
      <c r="E5" s="30"/>
      <c r="F5" s="30"/>
      <c r="G5" s="22"/>
    </row>
    <row r="6" spans="1:8" hidden="1" x14ac:dyDescent="0.3">
      <c r="A6" s="21">
        <v>45820</v>
      </c>
      <c r="B6" s="34" t="s">
        <v>21</v>
      </c>
      <c r="C6" s="24">
        <v>360.98</v>
      </c>
    </row>
    <row r="7" spans="1:8" hidden="1" x14ac:dyDescent="0.3">
      <c r="A7" s="21">
        <v>45824</v>
      </c>
      <c r="B7" s="27" t="s">
        <v>4</v>
      </c>
      <c r="C7" s="24">
        <v>-384.37</v>
      </c>
    </row>
    <row r="8" spans="1:8" hidden="1" x14ac:dyDescent="0.3">
      <c r="A8" s="26">
        <v>45833</v>
      </c>
      <c r="B8" s="32" t="s">
        <v>21</v>
      </c>
      <c r="C8" s="24">
        <v>19.68</v>
      </c>
    </row>
    <row r="9" spans="1:8" hidden="1" x14ac:dyDescent="0.3">
      <c r="A9" s="26">
        <v>45833</v>
      </c>
      <c r="B9" s="34" t="s">
        <v>21</v>
      </c>
      <c r="C9" s="24">
        <v>185.25</v>
      </c>
    </row>
    <row r="10" spans="1:8" hidden="1" x14ac:dyDescent="0.3">
      <c r="A10" s="26">
        <v>45834</v>
      </c>
      <c r="B10" s="31" t="s">
        <v>4</v>
      </c>
      <c r="C10" s="24">
        <v>-209.05</v>
      </c>
    </row>
    <row r="11" spans="1:8" hidden="1" x14ac:dyDescent="0.3">
      <c r="A11" s="26">
        <v>45840</v>
      </c>
      <c r="B11" s="32" t="s">
        <v>21</v>
      </c>
      <c r="C11" s="24">
        <v>31.7</v>
      </c>
    </row>
    <row r="12" spans="1:8" hidden="1" x14ac:dyDescent="0.3">
      <c r="A12" s="26">
        <v>45840</v>
      </c>
      <c r="B12" s="34" t="s">
        <v>21</v>
      </c>
      <c r="C12" s="24">
        <v>160.46</v>
      </c>
    </row>
    <row r="13" spans="1:8" hidden="1" x14ac:dyDescent="0.3">
      <c r="A13" s="26">
        <v>45841</v>
      </c>
      <c r="B13" s="27" t="s">
        <v>4</v>
      </c>
      <c r="C13" s="24">
        <v>-192.16</v>
      </c>
    </row>
    <row r="14" spans="1:8" hidden="1" x14ac:dyDescent="0.3">
      <c r="A14" s="26">
        <v>45854</v>
      </c>
      <c r="B14" s="27" t="s">
        <v>4</v>
      </c>
      <c r="C14" s="24">
        <v>-170.73</v>
      </c>
    </row>
    <row r="15" spans="1:8" hidden="1" x14ac:dyDescent="0.3">
      <c r="A15" s="26">
        <v>45854</v>
      </c>
      <c r="B15" s="32" t="s">
        <v>21</v>
      </c>
      <c r="C15" s="24">
        <v>61.22</v>
      </c>
    </row>
    <row r="16" spans="1:8" hidden="1" x14ac:dyDescent="0.3">
      <c r="A16" s="26">
        <v>45854</v>
      </c>
      <c r="B16" s="34" t="s">
        <v>21</v>
      </c>
      <c r="C16" s="24">
        <v>109.48</v>
      </c>
    </row>
    <row r="17" spans="1:3" hidden="1" x14ac:dyDescent="0.3">
      <c r="A17" s="26">
        <v>45861</v>
      </c>
      <c r="B17" s="27" t="s">
        <v>4</v>
      </c>
      <c r="C17" s="24">
        <v>-280.20999999999998</v>
      </c>
    </row>
    <row r="18" spans="1:3" hidden="1" x14ac:dyDescent="0.3">
      <c r="A18" s="26">
        <v>45861</v>
      </c>
      <c r="B18" s="32" t="s">
        <v>21</v>
      </c>
      <c r="C18" s="24">
        <v>35.53</v>
      </c>
    </row>
    <row r="19" spans="1:3" hidden="1" x14ac:dyDescent="0.3">
      <c r="A19" s="26">
        <v>45861</v>
      </c>
      <c r="B19" s="34" t="s">
        <v>21</v>
      </c>
      <c r="C19" s="24">
        <v>244.68</v>
      </c>
    </row>
    <row r="20" spans="1:3" hidden="1" x14ac:dyDescent="0.3">
      <c r="A20" s="26">
        <v>45882</v>
      </c>
      <c r="B20" s="27" t="s">
        <v>4</v>
      </c>
      <c r="C20" s="24">
        <v>-661.25</v>
      </c>
    </row>
    <row r="21" spans="1:3" hidden="1" x14ac:dyDescent="0.3">
      <c r="A21" s="26">
        <v>45882</v>
      </c>
      <c r="B21" s="32" t="s">
        <v>21</v>
      </c>
      <c r="C21" s="24">
        <v>85.23</v>
      </c>
    </row>
    <row r="22" spans="1:3" hidden="1" x14ac:dyDescent="0.3">
      <c r="A22" s="26">
        <v>45882</v>
      </c>
      <c r="B22" s="34" t="s">
        <v>21</v>
      </c>
      <c r="C22" s="24">
        <v>576.02</v>
      </c>
    </row>
    <row r="23" spans="1:3" hidden="1" x14ac:dyDescent="0.3">
      <c r="A23" s="26">
        <v>45896</v>
      </c>
      <c r="B23" s="27" t="s">
        <v>4</v>
      </c>
      <c r="C23" s="24">
        <v>-857.73</v>
      </c>
    </row>
    <row r="24" spans="1:3" hidden="1" x14ac:dyDescent="0.3">
      <c r="A24" s="26">
        <v>45896</v>
      </c>
      <c r="B24" s="32" t="s">
        <v>21</v>
      </c>
      <c r="C24" s="24">
        <v>29.52</v>
      </c>
    </row>
    <row r="25" spans="1:3" hidden="1" x14ac:dyDescent="0.3">
      <c r="A25" s="26">
        <v>45896</v>
      </c>
      <c r="B25" s="34" t="s">
        <v>21</v>
      </c>
      <c r="C25" s="24">
        <v>815.56</v>
      </c>
    </row>
    <row r="26" spans="1:3" hidden="1" x14ac:dyDescent="0.3">
      <c r="A26" s="26">
        <v>45896</v>
      </c>
      <c r="B26" s="27" t="s">
        <v>1</v>
      </c>
      <c r="C26" s="24">
        <v>20.8</v>
      </c>
    </row>
    <row r="27" spans="1:3" hidden="1" x14ac:dyDescent="0.3">
      <c r="A27" s="26">
        <v>45916</v>
      </c>
      <c r="B27" s="27" t="s">
        <v>4</v>
      </c>
      <c r="C27" s="24">
        <v>-527.36</v>
      </c>
    </row>
    <row r="28" spans="1:3" hidden="1" x14ac:dyDescent="0.3">
      <c r="A28" s="26">
        <v>45912</v>
      </c>
      <c r="B28" s="32" t="s">
        <v>21</v>
      </c>
      <c r="C28" s="24">
        <v>25.3</v>
      </c>
    </row>
    <row r="29" spans="1:3" hidden="1" x14ac:dyDescent="0.3">
      <c r="A29" s="26">
        <v>45912</v>
      </c>
      <c r="B29" s="34" t="s">
        <v>21</v>
      </c>
      <c r="C29" s="24">
        <v>480.51</v>
      </c>
    </row>
    <row r="30" spans="1:3" hidden="1" x14ac:dyDescent="0.3">
      <c r="A30" s="26">
        <v>45912</v>
      </c>
      <c r="B30" s="27" t="s">
        <v>1</v>
      </c>
      <c r="C30" s="24">
        <v>20.8</v>
      </c>
    </row>
    <row r="31" spans="1:3" hidden="1" x14ac:dyDescent="0.3">
      <c r="A31" s="26">
        <v>45917</v>
      </c>
      <c r="B31" s="27" t="s">
        <v>4</v>
      </c>
      <c r="C31" s="24">
        <v>-549.95000000000005</v>
      </c>
    </row>
    <row r="32" spans="1:3" hidden="1" x14ac:dyDescent="0.3">
      <c r="A32" s="26">
        <v>45917</v>
      </c>
      <c r="B32" s="32" t="s">
        <v>21</v>
      </c>
      <c r="C32" s="24">
        <v>22.5</v>
      </c>
    </row>
    <row r="33" spans="1:4" hidden="1" x14ac:dyDescent="0.3">
      <c r="A33" s="26">
        <v>45917</v>
      </c>
      <c r="B33" s="34" t="s">
        <v>21</v>
      </c>
      <c r="C33" s="24">
        <v>527.12</v>
      </c>
    </row>
    <row r="34" spans="1:4" hidden="1" x14ac:dyDescent="0.3">
      <c r="A34" s="26">
        <v>45924</v>
      </c>
      <c r="B34" s="32" t="s">
        <v>21</v>
      </c>
      <c r="C34" s="24">
        <v>19.68</v>
      </c>
    </row>
    <row r="35" spans="1:4" hidden="1" x14ac:dyDescent="0.3">
      <c r="A35" s="26">
        <v>45924</v>
      </c>
      <c r="B35" s="27" t="s">
        <v>1</v>
      </c>
      <c r="C35" s="24">
        <v>20.8</v>
      </c>
    </row>
    <row r="36" spans="1:4" hidden="1" x14ac:dyDescent="0.3">
      <c r="A36" s="26">
        <v>45931</v>
      </c>
      <c r="B36" s="27" t="s">
        <v>4</v>
      </c>
      <c r="C36" s="24">
        <v>-335.87</v>
      </c>
    </row>
    <row r="37" spans="1:4" hidden="1" x14ac:dyDescent="0.3">
      <c r="A37" s="26">
        <v>45931</v>
      </c>
      <c r="B37" s="32" t="s">
        <v>21</v>
      </c>
      <c r="C37" s="24">
        <v>92.92</v>
      </c>
      <c r="D37" s="25">
        <v>4</v>
      </c>
    </row>
    <row r="38" spans="1:4" hidden="1" x14ac:dyDescent="0.3">
      <c r="A38" s="26">
        <v>45931</v>
      </c>
      <c r="B38" s="34" t="s">
        <v>21</v>
      </c>
      <c r="C38" s="24">
        <v>194.96</v>
      </c>
    </row>
    <row r="39" spans="1:4" hidden="1" x14ac:dyDescent="0.3">
      <c r="A39" s="26">
        <v>45932</v>
      </c>
      <c r="B39" s="27" t="s">
        <v>22</v>
      </c>
      <c r="D39" s="25">
        <v>-3</v>
      </c>
    </row>
    <row r="40" spans="1:4" hidden="1" x14ac:dyDescent="0.3">
      <c r="A40" s="26">
        <v>45938</v>
      </c>
      <c r="B40" s="27" t="s">
        <v>4</v>
      </c>
      <c r="C40" s="24">
        <v>-179.15</v>
      </c>
    </row>
    <row r="41" spans="1:4" hidden="1" x14ac:dyDescent="0.3">
      <c r="A41" s="26">
        <v>45938</v>
      </c>
      <c r="B41" s="32" t="s">
        <v>21</v>
      </c>
      <c r="C41" s="24">
        <v>13.5</v>
      </c>
    </row>
    <row r="42" spans="1:4" hidden="1" x14ac:dyDescent="0.3">
      <c r="A42" s="26">
        <v>45938</v>
      </c>
      <c r="B42" s="34" t="s">
        <v>21</v>
      </c>
      <c r="C42" s="24">
        <v>119.65</v>
      </c>
    </row>
    <row r="43" spans="1:4" hidden="1" x14ac:dyDescent="0.3">
      <c r="A43" s="26">
        <v>45938</v>
      </c>
      <c r="B43" s="27" t="s">
        <v>1</v>
      </c>
      <c r="C43" s="24">
        <v>46</v>
      </c>
    </row>
    <row r="44" spans="1:4" hidden="1" x14ac:dyDescent="0.3">
      <c r="A44" s="26">
        <v>45945</v>
      </c>
      <c r="B44" s="27" t="s">
        <v>4</v>
      </c>
      <c r="C44" s="24">
        <v>-20.59</v>
      </c>
    </row>
    <row r="45" spans="1:4" hidden="1" x14ac:dyDescent="0.3">
      <c r="A45" s="26">
        <v>45945</v>
      </c>
      <c r="B45" s="27" t="s">
        <v>4</v>
      </c>
      <c r="C45" s="24">
        <v>-100.45</v>
      </c>
    </row>
    <row r="46" spans="1:4" hidden="1" x14ac:dyDescent="0.3">
      <c r="A46" s="26">
        <v>45945</v>
      </c>
      <c r="B46" s="32" t="s">
        <v>21</v>
      </c>
      <c r="C46" s="24">
        <v>19.68</v>
      </c>
    </row>
    <row r="47" spans="1:4" hidden="1" x14ac:dyDescent="0.3">
      <c r="A47" s="26">
        <v>45945</v>
      </c>
      <c r="B47" s="34" t="s">
        <v>21</v>
      </c>
      <c r="C47" s="24">
        <v>78.36</v>
      </c>
    </row>
    <row r="48" spans="1:4" hidden="1" x14ac:dyDescent="0.3">
      <c r="A48" s="26">
        <v>45945</v>
      </c>
      <c r="B48" s="27" t="s">
        <v>1</v>
      </c>
      <c r="C48" s="24">
        <v>23</v>
      </c>
    </row>
    <row r="49" spans="1:4" hidden="1" x14ac:dyDescent="0.3">
      <c r="A49" s="26">
        <v>45947</v>
      </c>
      <c r="B49" s="27" t="s">
        <v>4</v>
      </c>
      <c r="C49" s="24">
        <v>-117</v>
      </c>
    </row>
    <row r="50" spans="1:4" hidden="1" x14ac:dyDescent="0.3">
      <c r="A50" s="26">
        <v>45947</v>
      </c>
      <c r="B50" s="27" t="s">
        <v>22</v>
      </c>
      <c r="D50" s="25">
        <v>-1</v>
      </c>
    </row>
    <row r="51" spans="1:4" hidden="1" x14ac:dyDescent="0.3">
      <c r="A51" s="26">
        <v>45947</v>
      </c>
      <c r="B51" s="34" t="s">
        <v>21</v>
      </c>
      <c r="C51" s="24">
        <v>117</v>
      </c>
    </row>
    <row r="52" spans="1:4" hidden="1" x14ac:dyDescent="0.3">
      <c r="A52" s="26">
        <v>45952</v>
      </c>
      <c r="B52" s="27" t="s">
        <v>4</v>
      </c>
      <c r="C52" s="24">
        <v>-597.46</v>
      </c>
    </row>
    <row r="53" spans="1:4" hidden="1" x14ac:dyDescent="0.3">
      <c r="A53" s="26">
        <v>45952</v>
      </c>
      <c r="B53" s="34" t="s">
        <v>21</v>
      </c>
      <c r="C53" s="24">
        <v>360.06</v>
      </c>
    </row>
    <row r="54" spans="1:4" hidden="1" x14ac:dyDescent="0.3">
      <c r="A54" s="26">
        <v>45952</v>
      </c>
      <c r="B54" s="34" t="s">
        <v>21</v>
      </c>
      <c r="C54" s="24">
        <v>191.4</v>
      </c>
    </row>
    <row r="55" spans="1:4" hidden="1" x14ac:dyDescent="0.3">
      <c r="A55" s="26">
        <v>45952</v>
      </c>
      <c r="B55" s="27" t="s">
        <v>1</v>
      </c>
      <c r="C55" s="24">
        <v>46</v>
      </c>
    </row>
    <row r="56" spans="1:4" hidden="1" x14ac:dyDescent="0.3">
      <c r="A56" s="26">
        <v>45959</v>
      </c>
      <c r="B56" s="27" t="s">
        <v>4</v>
      </c>
      <c r="C56" s="24">
        <v>-152.9</v>
      </c>
    </row>
    <row r="57" spans="1:4" hidden="1" x14ac:dyDescent="0.3">
      <c r="A57" s="26">
        <v>45959</v>
      </c>
      <c r="B57" s="32" t="s">
        <v>21</v>
      </c>
      <c r="C57" s="24">
        <v>35.28</v>
      </c>
    </row>
    <row r="58" spans="1:4" hidden="1" x14ac:dyDescent="0.3">
      <c r="A58" s="26">
        <v>45959</v>
      </c>
      <c r="B58" s="34" t="s">
        <v>21</v>
      </c>
      <c r="C58" s="24">
        <v>94.62</v>
      </c>
    </row>
    <row r="59" spans="1:4" hidden="1" x14ac:dyDescent="0.3">
      <c r="A59" s="26">
        <v>45959</v>
      </c>
      <c r="B59" s="27" t="s">
        <v>1</v>
      </c>
      <c r="C59" s="24">
        <v>23</v>
      </c>
    </row>
    <row r="60" spans="1:4" hidden="1" x14ac:dyDescent="0.3">
      <c r="A60" s="26">
        <v>45966</v>
      </c>
      <c r="B60" s="32" t="s">
        <v>21</v>
      </c>
      <c r="C60" s="24">
        <v>59.04</v>
      </c>
    </row>
    <row r="61" spans="1:4" hidden="1" x14ac:dyDescent="0.3">
      <c r="A61" s="26">
        <v>45966</v>
      </c>
      <c r="B61" s="34" t="s">
        <v>21</v>
      </c>
      <c r="C61" s="24">
        <v>41.76</v>
      </c>
    </row>
    <row r="62" spans="1:4" hidden="1" x14ac:dyDescent="0.3">
      <c r="A62" s="26">
        <v>45966</v>
      </c>
      <c r="B62" s="27" t="s">
        <v>1</v>
      </c>
      <c r="C62" s="24">
        <v>23</v>
      </c>
    </row>
    <row r="63" spans="1:4" hidden="1" x14ac:dyDescent="0.3">
      <c r="A63" s="26">
        <v>45967</v>
      </c>
      <c r="B63" s="27" t="s">
        <v>4</v>
      </c>
      <c r="C63" s="24">
        <v>-123.8</v>
      </c>
    </row>
    <row r="64" spans="1:4" hidden="1" x14ac:dyDescent="0.3">
      <c r="A64" s="26">
        <v>45968</v>
      </c>
      <c r="B64" s="34" t="s">
        <v>21</v>
      </c>
      <c r="C64" s="24">
        <v>242.2</v>
      </c>
    </row>
    <row r="65" spans="1:3" hidden="1" x14ac:dyDescent="0.3">
      <c r="A65" s="26">
        <v>45971</v>
      </c>
      <c r="B65" s="27" t="s">
        <v>4</v>
      </c>
      <c r="C65" s="24">
        <v>-242</v>
      </c>
    </row>
    <row r="66" spans="1:3" hidden="1" x14ac:dyDescent="0.3">
      <c r="A66" s="26">
        <v>45973</v>
      </c>
      <c r="B66" s="27" t="s">
        <v>4</v>
      </c>
      <c r="C66" s="24">
        <v>-977.02</v>
      </c>
    </row>
    <row r="67" spans="1:3" hidden="1" x14ac:dyDescent="0.3">
      <c r="A67" s="26">
        <v>45973</v>
      </c>
      <c r="B67" s="27" t="s">
        <v>1</v>
      </c>
      <c r="C67" s="24">
        <v>919.96</v>
      </c>
    </row>
    <row r="68" spans="1:3" hidden="1" x14ac:dyDescent="0.3">
      <c r="A68" s="26">
        <v>45980</v>
      </c>
      <c r="B68" s="27" t="s">
        <v>4</v>
      </c>
      <c r="C68" s="24">
        <v>-601.55999999999995</v>
      </c>
    </row>
    <row r="69" spans="1:3" hidden="1" x14ac:dyDescent="0.3">
      <c r="A69" s="26">
        <v>45980</v>
      </c>
      <c r="B69" s="27" t="s">
        <v>1</v>
      </c>
      <c r="C69" s="24">
        <v>658.62</v>
      </c>
    </row>
    <row r="70" spans="1:3" x14ac:dyDescent="0.3">
      <c r="A70" s="26">
        <v>45987</v>
      </c>
      <c r="B70" s="27" t="s">
        <v>4</v>
      </c>
      <c r="C70" s="24">
        <v>-1707.51</v>
      </c>
    </row>
    <row r="71" spans="1:3" x14ac:dyDescent="0.3">
      <c r="A71" s="26">
        <v>45987</v>
      </c>
      <c r="B71" s="27" t="s">
        <v>1</v>
      </c>
      <c r="C71" s="24">
        <v>1707.51</v>
      </c>
    </row>
    <row r="72" spans="1:3" x14ac:dyDescent="0.3">
      <c r="A72" s="26">
        <v>45995</v>
      </c>
      <c r="B72" s="27" t="s">
        <v>4</v>
      </c>
      <c r="C72" s="24">
        <v>-406.48</v>
      </c>
    </row>
    <row r="73" spans="1:3" x14ac:dyDescent="0.3">
      <c r="A73" s="26">
        <v>45994</v>
      </c>
      <c r="B73" s="27" t="s">
        <v>1</v>
      </c>
      <c r="C73" s="24">
        <v>410.86</v>
      </c>
    </row>
    <row r="74" spans="1:3" x14ac:dyDescent="0.3">
      <c r="A74" s="26">
        <v>46001</v>
      </c>
      <c r="B74" s="27" t="s">
        <v>4</v>
      </c>
      <c r="C74" s="24">
        <v>-626.26</v>
      </c>
    </row>
    <row r="75" spans="1:3" x14ac:dyDescent="0.3">
      <c r="A75" s="26">
        <v>46001</v>
      </c>
      <c r="B75" s="27" t="s">
        <v>1</v>
      </c>
      <c r="C75" s="24">
        <v>622.24</v>
      </c>
    </row>
    <row r="76" spans="1:3" x14ac:dyDescent="0.3">
      <c r="A76" s="26">
        <v>46008</v>
      </c>
      <c r="B76" s="27" t="s">
        <v>1</v>
      </c>
      <c r="C76" s="24">
        <v>36.06</v>
      </c>
    </row>
    <row r="77" spans="1:3" x14ac:dyDescent="0.3">
      <c r="A77" s="26">
        <v>46014</v>
      </c>
      <c r="B77" s="27" t="s">
        <v>4</v>
      </c>
      <c r="C77" s="24">
        <v>-593.36</v>
      </c>
    </row>
    <row r="78" spans="1:3" x14ac:dyDescent="0.3">
      <c r="A78" s="26">
        <v>46014</v>
      </c>
      <c r="B78" s="27" t="s">
        <v>1</v>
      </c>
      <c r="C78" s="24">
        <v>557.29999999999995</v>
      </c>
    </row>
    <row r="79" spans="1:3" x14ac:dyDescent="0.3">
      <c r="A79" s="26">
        <v>46029</v>
      </c>
      <c r="B79" s="27" t="s">
        <v>4</v>
      </c>
      <c r="C79" s="24">
        <v>-1028.47</v>
      </c>
    </row>
    <row r="80" spans="1:3" x14ac:dyDescent="0.3">
      <c r="A80" s="26">
        <v>46029</v>
      </c>
      <c r="B80" s="27" t="s">
        <v>1</v>
      </c>
      <c r="C80" s="24">
        <v>1028.47</v>
      </c>
    </row>
    <row r="81" spans="1:3" x14ac:dyDescent="0.3">
      <c r="A81" s="26">
        <v>46036</v>
      </c>
      <c r="B81" s="27" t="s">
        <v>4</v>
      </c>
      <c r="C81" s="24">
        <v>-1161.82</v>
      </c>
    </row>
    <row r="82" spans="1:3" x14ac:dyDescent="0.3">
      <c r="A82" s="26">
        <v>46036</v>
      </c>
      <c r="B82" s="27" t="s">
        <v>1</v>
      </c>
      <c r="C82" s="24">
        <v>1176.82</v>
      </c>
    </row>
    <row r="83" spans="1:3" x14ac:dyDescent="0.3">
      <c r="A83" s="26">
        <v>46043</v>
      </c>
      <c r="B83" s="27" t="s">
        <v>4</v>
      </c>
      <c r="C83" s="24">
        <v>-137.88</v>
      </c>
    </row>
    <row r="84" spans="1:3" x14ac:dyDescent="0.3">
      <c r="A84" s="26">
        <v>46043</v>
      </c>
      <c r="B84" s="27" t="s">
        <v>1</v>
      </c>
      <c r="C84" s="24">
        <v>137.88</v>
      </c>
    </row>
    <row r="85" spans="1:3" x14ac:dyDescent="0.3">
      <c r="A85" s="26">
        <v>46050</v>
      </c>
      <c r="B85" s="27" t="s">
        <v>1</v>
      </c>
      <c r="C85" s="24">
        <v>801.08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C5D5-BBA2-41E2-B064-89142383C964}">
  <sheetPr codeName="Hoja6"/>
  <dimension ref="A1:H82"/>
  <sheetViews>
    <sheetView view="pageBreakPreview" zoomScale="80" zoomScaleNormal="100" zoomScaleSheetLayoutView="80" workbookViewId="0">
      <selection activeCell="A83" sqref="A8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208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207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128.29999999999987</v>
      </c>
      <c r="D3" s="20">
        <f>SUM(D$4:D$1048576)</f>
        <v>1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45820</v>
      </c>
      <c r="B5" s="32" t="s">
        <v>21</v>
      </c>
      <c r="C5" s="24">
        <v>15.85</v>
      </c>
      <c r="D5" s="30"/>
      <c r="E5" s="30"/>
      <c r="F5" s="30"/>
      <c r="G5" s="22"/>
    </row>
    <row r="6" spans="1:8" hidden="1" x14ac:dyDescent="0.3">
      <c r="A6" s="21">
        <v>45820</v>
      </c>
      <c r="B6" s="34" t="s">
        <v>21</v>
      </c>
      <c r="C6" s="24">
        <v>109.42</v>
      </c>
    </row>
    <row r="7" spans="1:8" hidden="1" x14ac:dyDescent="0.3">
      <c r="A7" s="26">
        <v>45825</v>
      </c>
      <c r="B7" s="31" t="s">
        <v>4</v>
      </c>
      <c r="C7" s="24">
        <v>-125.26</v>
      </c>
    </row>
    <row r="8" spans="1:8" hidden="1" x14ac:dyDescent="0.3">
      <c r="A8" s="26">
        <v>45828</v>
      </c>
      <c r="B8" s="32" t="s">
        <v>21</v>
      </c>
      <c r="C8" s="24">
        <v>9.84</v>
      </c>
    </row>
    <row r="9" spans="1:8" hidden="1" x14ac:dyDescent="0.3">
      <c r="A9" s="26">
        <v>45828</v>
      </c>
      <c r="B9" s="34" t="s">
        <v>21</v>
      </c>
      <c r="C9" s="24">
        <v>173.62</v>
      </c>
    </row>
    <row r="10" spans="1:8" hidden="1" x14ac:dyDescent="0.3">
      <c r="A10" s="26">
        <v>45831</v>
      </c>
      <c r="B10" s="31" t="s">
        <v>4</v>
      </c>
      <c r="C10" s="24">
        <v>-183.46</v>
      </c>
    </row>
    <row r="11" spans="1:8" hidden="1" x14ac:dyDescent="0.3">
      <c r="A11" s="26">
        <v>45841</v>
      </c>
      <c r="B11" s="34" t="s">
        <v>21</v>
      </c>
      <c r="C11" s="24">
        <v>125.58</v>
      </c>
    </row>
    <row r="12" spans="1:8" hidden="1" x14ac:dyDescent="0.3">
      <c r="A12" s="26">
        <v>45848</v>
      </c>
      <c r="B12" s="31" t="s">
        <v>4</v>
      </c>
      <c r="C12" s="24">
        <v>-125.58</v>
      </c>
    </row>
    <row r="13" spans="1:8" hidden="1" x14ac:dyDescent="0.3">
      <c r="A13" s="26">
        <v>45860</v>
      </c>
      <c r="B13" s="32" t="s">
        <v>21</v>
      </c>
      <c r="C13" s="24">
        <v>15.85</v>
      </c>
      <c r="D13" s="25">
        <v>1</v>
      </c>
    </row>
    <row r="14" spans="1:8" hidden="1" x14ac:dyDescent="0.3">
      <c r="A14" s="26">
        <v>45860</v>
      </c>
      <c r="B14" s="34" t="s">
        <v>21</v>
      </c>
      <c r="C14" s="24">
        <v>236.24</v>
      </c>
    </row>
    <row r="15" spans="1:8" hidden="1" x14ac:dyDescent="0.3">
      <c r="A15" s="26">
        <v>45862</v>
      </c>
      <c r="B15" s="27" t="s">
        <v>4</v>
      </c>
      <c r="C15" s="24">
        <v>-252.07</v>
      </c>
    </row>
    <row r="16" spans="1:8" hidden="1" x14ac:dyDescent="0.3">
      <c r="A16" s="26">
        <v>45866</v>
      </c>
      <c r="B16" s="27" t="s">
        <v>4</v>
      </c>
      <c r="C16" s="24">
        <v>-140.63999999999999</v>
      </c>
    </row>
    <row r="17" spans="1:4" hidden="1" x14ac:dyDescent="0.3">
      <c r="A17" s="26">
        <v>45867</v>
      </c>
      <c r="B17" s="34" t="s">
        <v>21</v>
      </c>
      <c r="C17" s="24">
        <v>140.63999999999999</v>
      </c>
    </row>
    <row r="18" spans="1:4" hidden="1" x14ac:dyDescent="0.3">
      <c r="A18" s="26">
        <v>45869</v>
      </c>
      <c r="B18" s="32" t="s">
        <v>21</v>
      </c>
      <c r="C18" s="24">
        <v>17.46</v>
      </c>
    </row>
    <row r="19" spans="1:4" hidden="1" x14ac:dyDescent="0.3">
      <c r="A19" s="26">
        <v>45869</v>
      </c>
      <c r="B19" s="34" t="s">
        <v>21</v>
      </c>
      <c r="C19" s="24">
        <v>189.85</v>
      </c>
    </row>
    <row r="20" spans="1:4" hidden="1" x14ac:dyDescent="0.3">
      <c r="A20" s="26">
        <v>45874</v>
      </c>
      <c r="B20" s="27" t="s">
        <v>4</v>
      </c>
      <c r="C20" s="24">
        <v>-236.02</v>
      </c>
    </row>
    <row r="21" spans="1:4" hidden="1" x14ac:dyDescent="0.3">
      <c r="A21" s="26">
        <v>45876</v>
      </c>
      <c r="B21" s="34" t="s">
        <v>21</v>
      </c>
      <c r="C21" s="24">
        <v>25.34</v>
      </c>
    </row>
    <row r="22" spans="1:4" hidden="1" x14ac:dyDescent="0.3">
      <c r="A22" s="26">
        <v>45876</v>
      </c>
      <c r="B22" s="46" t="s">
        <v>21</v>
      </c>
      <c r="C22" s="24">
        <v>3.21</v>
      </c>
    </row>
    <row r="23" spans="1:4" hidden="1" x14ac:dyDescent="0.3">
      <c r="A23" s="26">
        <v>45883</v>
      </c>
      <c r="B23" s="32" t="s">
        <v>21</v>
      </c>
      <c r="C23" s="24">
        <v>15</v>
      </c>
    </row>
    <row r="24" spans="1:4" hidden="1" x14ac:dyDescent="0.3">
      <c r="A24" s="26">
        <v>45883</v>
      </c>
      <c r="B24" s="34" t="s">
        <v>21</v>
      </c>
      <c r="C24" s="24">
        <v>82.26</v>
      </c>
    </row>
    <row r="25" spans="1:4" hidden="1" x14ac:dyDescent="0.3">
      <c r="A25" s="26">
        <v>45883</v>
      </c>
      <c r="B25" s="46" t="s">
        <v>21</v>
      </c>
      <c r="C25" s="24">
        <v>30.04</v>
      </c>
    </row>
    <row r="26" spans="1:4" hidden="1" x14ac:dyDescent="0.3">
      <c r="A26" s="26">
        <v>45887</v>
      </c>
      <c r="B26" s="27" t="s">
        <v>4</v>
      </c>
      <c r="C26" s="24">
        <v>-127.3</v>
      </c>
    </row>
    <row r="27" spans="1:4" hidden="1" x14ac:dyDescent="0.3">
      <c r="A27" s="26">
        <v>45889</v>
      </c>
      <c r="B27" s="32" t="s">
        <v>21</v>
      </c>
      <c r="C27" s="24">
        <v>43.27</v>
      </c>
      <c r="D27" s="25">
        <v>1</v>
      </c>
    </row>
    <row r="28" spans="1:4" hidden="1" x14ac:dyDescent="0.3">
      <c r="A28" s="26">
        <v>45889</v>
      </c>
      <c r="B28" s="34" t="s">
        <v>21</v>
      </c>
      <c r="C28" s="24">
        <v>445.32</v>
      </c>
    </row>
    <row r="29" spans="1:4" hidden="1" x14ac:dyDescent="0.3">
      <c r="A29" s="26">
        <v>45889</v>
      </c>
      <c r="B29" s="46" t="s">
        <v>21</v>
      </c>
      <c r="C29" s="24">
        <v>77.2</v>
      </c>
    </row>
    <row r="30" spans="1:4" hidden="1" x14ac:dyDescent="0.3">
      <c r="A30" s="26">
        <v>45890</v>
      </c>
      <c r="B30" s="27" t="s">
        <v>4</v>
      </c>
      <c r="C30" s="24">
        <v>-110.14</v>
      </c>
    </row>
    <row r="31" spans="1:4" hidden="1" x14ac:dyDescent="0.3">
      <c r="A31" s="26">
        <v>45894</v>
      </c>
      <c r="B31" s="27" t="s">
        <v>4</v>
      </c>
      <c r="C31" s="24">
        <v>-457.64</v>
      </c>
    </row>
    <row r="32" spans="1:4" hidden="1" x14ac:dyDescent="0.3">
      <c r="A32" s="26">
        <v>45897</v>
      </c>
      <c r="B32" s="32" t="s">
        <v>21</v>
      </c>
      <c r="C32" s="24">
        <v>15</v>
      </c>
    </row>
    <row r="33" spans="1:3" hidden="1" x14ac:dyDescent="0.3">
      <c r="A33" s="26">
        <v>45897</v>
      </c>
      <c r="B33" s="34" t="s">
        <v>21</v>
      </c>
      <c r="C33" s="24">
        <v>118.44</v>
      </c>
    </row>
    <row r="34" spans="1:3" hidden="1" x14ac:dyDescent="0.3">
      <c r="A34" s="26">
        <v>45897</v>
      </c>
      <c r="B34" s="46" t="s">
        <v>21</v>
      </c>
      <c r="C34" s="24">
        <v>17.7</v>
      </c>
    </row>
    <row r="35" spans="1:3" hidden="1" x14ac:dyDescent="0.3">
      <c r="A35" s="26">
        <v>45898</v>
      </c>
      <c r="B35" s="34" t="s">
        <v>21</v>
      </c>
      <c r="C35" s="24">
        <v>21.9</v>
      </c>
    </row>
    <row r="36" spans="1:3" hidden="1" x14ac:dyDescent="0.3">
      <c r="A36" s="26">
        <v>45898</v>
      </c>
      <c r="B36" s="27" t="s">
        <v>257</v>
      </c>
      <c r="C36" s="24">
        <v>-17.7</v>
      </c>
    </row>
    <row r="37" spans="1:3" hidden="1" x14ac:dyDescent="0.3">
      <c r="A37" s="26">
        <v>45898</v>
      </c>
      <c r="B37" s="27" t="s">
        <v>4</v>
      </c>
      <c r="C37" s="24">
        <v>-21.9</v>
      </c>
    </row>
    <row r="38" spans="1:3" hidden="1" x14ac:dyDescent="0.3">
      <c r="A38" s="26">
        <v>45901</v>
      </c>
      <c r="B38" s="27" t="s">
        <v>4</v>
      </c>
      <c r="C38" s="24">
        <v>-133.69999999999999</v>
      </c>
    </row>
    <row r="39" spans="1:3" hidden="1" x14ac:dyDescent="0.3">
      <c r="A39" s="26">
        <v>45912</v>
      </c>
      <c r="B39" s="32" t="s">
        <v>21</v>
      </c>
      <c r="C39" s="24">
        <v>30.85</v>
      </c>
    </row>
    <row r="40" spans="1:3" hidden="1" x14ac:dyDescent="0.3">
      <c r="A40" s="26">
        <v>45912</v>
      </c>
      <c r="B40" s="34" t="s">
        <v>21</v>
      </c>
      <c r="C40" s="24">
        <v>73.959999999999994</v>
      </c>
    </row>
    <row r="41" spans="1:3" hidden="1" x14ac:dyDescent="0.3">
      <c r="A41" s="26">
        <v>45916</v>
      </c>
      <c r="B41" s="27" t="s">
        <v>4</v>
      </c>
      <c r="C41" s="24">
        <v>-104.8</v>
      </c>
    </row>
    <row r="42" spans="1:3" hidden="1" x14ac:dyDescent="0.3">
      <c r="A42" s="26">
        <v>45918</v>
      </c>
      <c r="B42" s="32" t="s">
        <v>21</v>
      </c>
      <c r="C42" s="24">
        <v>37.380000000000003</v>
      </c>
    </row>
    <row r="43" spans="1:3" hidden="1" x14ac:dyDescent="0.3">
      <c r="A43" s="26">
        <v>45918</v>
      </c>
      <c r="B43" s="34" t="s">
        <v>21</v>
      </c>
      <c r="C43" s="24">
        <v>397.96</v>
      </c>
    </row>
    <row r="44" spans="1:3" hidden="1" x14ac:dyDescent="0.3">
      <c r="A44" s="26">
        <v>45918</v>
      </c>
      <c r="B44" s="46" t="s">
        <v>21</v>
      </c>
      <c r="C44" s="24">
        <v>10.84</v>
      </c>
    </row>
    <row r="45" spans="1:3" hidden="1" x14ac:dyDescent="0.3">
      <c r="A45" s="26">
        <v>45929</v>
      </c>
      <c r="B45" s="27" t="s">
        <v>4</v>
      </c>
      <c r="C45" s="24">
        <v>-446.16</v>
      </c>
    </row>
    <row r="46" spans="1:3" hidden="1" x14ac:dyDescent="0.3">
      <c r="A46" s="26">
        <v>45932</v>
      </c>
      <c r="B46" s="32" t="s">
        <v>21</v>
      </c>
      <c r="C46" s="24">
        <v>23.35</v>
      </c>
    </row>
    <row r="47" spans="1:3" hidden="1" x14ac:dyDescent="0.3">
      <c r="A47" s="26">
        <v>45933</v>
      </c>
      <c r="B47" s="27" t="s">
        <v>4</v>
      </c>
      <c r="C47" s="24">
        <v>-23.35</v>
      </c>
    </row>
    <row r="48" spans="1:3" hidden="1" x14ac:dyDescent="0.3">
      <c r="A48" s="26">
        <v>45939</v>
      </c>
      <c r="B48" s="34" t="s">
        <v>21</v>
      </c>
      <c r="C48" s="24">
        <v>48.05</v>
      </c>
    </row>
    <row r="49" spans="1:4" hidden="1" x14ac:dyDescent="0.3">
      <c r="A49" s="26">
        <v>45939</v>
      </c>
      <c r="B49" s="46" t="s">
        <v>21</v>
      </c>
      <c r="C49" s="24">
        <v>2.04</v>
      </c>
    </row>
    <row r="50" spans="1:4" hidden="1" x14ac:dyDescent="0.3">
      <c r="A50" s="26">
        <v>45946</v>
      </c>
      <c r="B50" s="27" t="s">
        <v>4</v>
      </c>
      <c r="C50" s="24">
        <v>-47.49</v>
      </c>
    </row>
    <row r="51" spans="1:4" hidden="1" x14ac:dyDescent="0.3">
      <c r="A51" s="26">
        <v>45946</v>
      </c>
      <c r="B51" s="32" t="s">
        <v>21</v>
      </c>
      <c r="C51" s="24">
        <v>31.38</v>
      </c>
      <c r="D51" s="25">
        <v>-1</v>
      </c>
    </row>
    <row r="52" spans="1:4" hidden="1" x14ac:dyDescent="0.3">
      <c r="A52" s="26">
        <v>45946</v>
      </c>
      <c r="B52" s="34" t="s">
        <v>21</v>
      </c>
      <c r="C52" s="24">
        <v>56.51</v>
      </c>
    </row>
    <row r="53" spans="1:4" hidden="1" x14ac:dyDescent="0.3">
      <c r="A53" s="26">
        <v>45950</v>
      </c>
      <c r="B53" s="27" t="s">
        <v>4</v>
      </c>
      <c r="C53" s="24">
        <v>-87.89</v>
      </c>
    </row>
    <row r="54" spans="1:4" hidden="1" x14ac:dyDescent="0.3">
      <c r="A54" s="26">
        <v>45953</v>
      </c>
      <c r="B54" s="27" t="s">
        <v>1</v>
      </c>
      <c r="C54" s="24">
        <v>23</v>
      </c>
      <c r="D54" s="25">
        <v>-1</v>
      </c>
    </row>
    <row r="55" spans="1:4" hidden="1" x14ac:dyDescent="0.3">
      <c r="A55" s="26">
        <v>45953</v>
      </c>
      <c r="B55" s="32" t="s">
        <v>21</v>
      </c>
      <c r="C55" s="24">
        <v>22.38</v>
      </c>
    </row>
    <row r="56" spans="1:4" hidden="1" x14ac:dyDescent="0.3">
      <c r="A56" s="26">
        <v>45953</v>
      </c>
      <c r="B56" s="34" t="s">
        <v>21</v>
      </c>
      <c r="C56" s="24">
        <v>177.78</v>
      </c>
    </row>
    <row r="57" spans="1:4" hidden="1" x14ac:dyDescent="0.3">
      <c r="A57" s="26">
        <v>45958</v>
      </c>
      <c r="B57" s="27" t="s">
        <v>4</v>
      </c>
      <c r="C57" s="24">
        <v>-223.16</v>
      </c>
    </row>
    <row r="58" spans="1:4" hidden="1" x14ac:dyDescent="0.3">
      <c r="A58" s="26">
        <v>45967</v>
      </c>
      <c r="B58" s="32" t="s">
        <v>21</v>
      </c>
      <c r="C58" s="24">
        <v>66.8</v>
      </c>
    </row>
    <row r="59" spans="1:4" hidden="1" x14ac:dyDescent="0.3">
      <c r="A59" s="26">
        <v>45967</v>
      </c>
      <c r="B59" s="34" t="s">
        <v>21</v>
      </c>
      <c r="C59" s="24">
        <v>117.54</v>
      </c>
    </row>
    <row r="60" spans="1:4" hidden="1" x14ac:dyDescent="0.3">
      <c r="A60" s="26">
        <v>45974</v>
      </c>
      <c r="B60" s="27" t="s">
        <v>4</v>
      </c>
      <c r="C60" s="24">
        <v>-107.04</v>
      </c>
    </row>
    <row r="61" spans="1:4" hidden="1" x14ac:dyDescent="0.3">
      <c r="A61" s="26">
        <v>45974</v>
      </c>
      <c r="B61" s="27" t="s">
        <v>1</v>
      </c>
      <c r="C61" s="24">
        <v>288.06</v>
      </c>
    </row>
    <row r="62" spans="1:4" hidden="1" x14ac:dyDescent="0.3">
      <c r="A62" s="26">
        <v>45976</v>
      </c>
      <c r="B62" s="27" t="s">
        <v>4</v>
      </c>
      <c r="C62" s="24">
        <v>-77.03</v>
      </c>
    </row>
    <row r="63" spans="1:4" hidden="1" x14ac:dyDescent="0.3">
      <c r="A63" s="26">
        <v>45981</v>
      </c>
      <c r="B63" s="27" t="s">
        <v>4</v>
      </c>
      <c r="C63" s="24">
        <v>-288.06</v>
      </c>
    </row>
    <row r="64" spans="1:4" hidden="1" x14ac:dyDescent="0.3">
      <c r="A64" s="26">
        <v>45981</v>
      </c>
      <c r="B64" s="27" t="s">
        <v>1</v>
      </c>
      <c r="C64" s="24">
        <v>50.8</v>
      </c>
    </row>
    <row r="65" spans="1:4" hidden="1" x14ac:dyDescent="0.3">
      <c r="A65" s="26">
        <v>45987</v>
      </c>
      <c r="B65" s="27" t="s">
        <v>4</v>
      </c>
      <c r="C65" s="24">
        <v>-50.98</v>
      </c>
    </row>
    <row r="66" spans="1:4" x14ac:dyDescent="0.3">
      <c r="A66" s="26">
        <v>45988</v>
      </c>
      <c r="B66" s="27" t="s">
        <v>1</v>
      </c>
      <c r="C66" s="24">
        <v>391.4</v>
      </c>
    </row>
    <row r="67" spans="1:4" x14ac:dyDescent="0.3">
      <c r="A67" s="26">
        <v>45988</v>
      </c>
      <c r="B67" s="27" t="s">
        <v>503</v>
      </c>
      <c r="C67" s="24">
        <v>-22.8</v>
      </c>
    </row>
    <row r="68" spans="1:4" x14ac:dyDescent="0.3">
      <c r="A68" s="26">
        <v>45992</v>
      </c>
      <c r="B68" s="27" t="s">
        <v>4</v>
      </c>
      <c r="C68" s="24">
        <v>-211.4</v>
      </c>
    </row>
    <row r="69" spans="1:4" x14ac:dyDescent="0.3">
      <c r="A69" s="26">
        <v>46002</v>
      </c>
      <c r="B69" s="27" t="s">
        <v>4</v>
      </c>
      <c r="C69" s="24">
        <v>-180.06</v>
      </c>
    </row>
    <row r="70" spans="1:4" x14ac:dyDescent="0.3">
      <c r="A70" s="26">
        <v>46002</v>
      </c>
      <c r="B70" s="27" t="s">
        <v>1</v>
      </c>
      <c r="C70" s="24">
        <v>205.84</v>
      </c>
    </row>
    <row r="71" spans="1:4" x14ac:dyDescent="0.3">
      <c r="A71" s="26">
        <v>46008</v>
      </c>
      <c r="B71" s="27" t="s">
        <v>4</v>
      </c>
      <c r="C71" s="24">
        <v>-200.84</v>
      </c>
    </row>
    <row r="72" spans="1:4" x14ac:dyDescent="0.3">
      <c r="A72" s="26">
        <v>46009</v>
      </c>
      <c r="B72" s="27" t="s">
        <v>4</v>
      </c>
      <c r="C72" s="24">
        <v>-90.05</v>
      </c>
    </row>
    <row r="73" spans="1:4" x14ac:dyDescent="0.3">
      <c r="A73" s="26">
        <v>46010</v>
      </c>
      <c r="B73" s="27" t="s">
        <v>1</v>
      </c>
      <c r="C73" s="24">
        <v>108.02</v>
      </c>
    </row>
    <row r="74" spans="1:4" x14ac:dyDescent="0.3">
      <c r="A74" s="26">
        <v>46015</v>
      </c>
      <c r="B74" s="27" t="s">
        <v>1</v>
      </c>
      <c r="C74" s="24">
        <v>79.739999999999995</v>
      </c>
      <c r="D74" s="25">
        <v>1</v>
      </c>
    </row>
    <row r="75" spans="1:4" x14ac:dyDescent="0.3">
      <c r="A75" s="26">
        <v>46028</v>
      </c>
      <c r="B75" s="27" t="s">
        <v>4</v>
      </c>
      <c r="C75" s="24">
        <v>-79.739999999999995</v>
      </c>
    </row>
    <row r="76" spans="1:4" x14ac:dyDescent="0.3">
      <c r="A76" s="26">
        <v>46030</v>
      </c>
      <c r="B76" s="27" t="s">
        <v>1</v>
      </c>
      <c r="C76" s="24">
        <v>183</v>
      </c>
    </row>
    <row r="77" spans="1:4" x14ac:dyDescent="0.3">
      <c r="A77" s="26">
        <v>46034</v>
      </c>
      <c r="B77" s="27" t="s">
        <v>4</v>
      </c>
      <c r="C77" s="24">
        <v>-181.61</v>
      </c>
    </row>
    <row r="78" spans="1:4" x14ac:dyDescent="0.3">
      <c r="A78" s="26">
        <v>46037</v>
      </c>
      <c r="B78" s="27" t="s">
        <v>1</v>
      </c>
      <c r="C78" s="24">
        <v>43.12</v>
      </c>
    </row>
    <row r="79" spans="1:4" x14ac:dyDescent="0.3">
      <c r="A79" s="26">
        <v>46042</v>
      </c>
      <c r="B79" s="27" t="s">
        <v>4</v>
      </c>
      <c r="C79" s="24">
        <v>-43.12</v>
      </c>
    </row>
    <row r="80" spans="1:4" x14ac:dyDescent="0.3">
      <c r="A80" s="26">
        <v>46042</v>
      </c>
      <c r="B80" s="27" t="s">
        <v>1</v>
      </c>
      <c r="C80" s="24">
        <v>215.53</v>
      </c>
    </row>
    <row r="81" spans="1:3" x14ac:dyDescent="0.3">
      <c r="A81" s="26">
        <v>46050</v>
      </c>
      <c r="B81" s="27" t="s">
        <v>4</v>
      </c>
      <c r="C81" s="24">
        <v>-217.37</v>
      </c>
    </row>
    <row r="82" spans="1:3" x14ac:dyDescent="0.3">
      <c r="A82" s="26">
        <v>46051</v>
      </c>
      <c r="B82" s="27" t="s">
        <v>1</v>
      </c>
      <c r="C82" s="24">
        <v>128.30000000000001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4E7A-5B7B-4C88-B6FC-500417871064}">
  <sheetPr codeName="Hoja7"/>
  <dimension ref="A1:H109"/>
  <sheetViews>
    <sheetView view="pageBreakPreview" topLeftCell="A75" zoomScale="80" zoomScaleNormal="100" zoomScaleSheetLayoutView="80" workbookViewId="0">
      <selection activeCell="C110" sqref="C11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112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113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367.40999999999997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45815</v>
      </c>
      <c r="B5" s="32" t="s">
        <v>21</v>
      </c>
      <c r="C5" s="24">
        <v>33.39</v>
      </c>
      <c r="D5" s="30"/>
      <c r="E5" s="30"/>
      <c r="F5" s="30"/>
      <c r="G5" s="22"/>
    </row>
    <row r="6" spans="1:8" hidden="1" x14ac:dyDescent="0.3">
      <c r="A6" s="21">
        <v>45815</v>
      </c>
      <c r="B6" s="34" t="s">
        <v>21</v>
      </c>
      <c r="C6" s="24">
        <v>82.1</v>
      </c>
    </row>
    <row r="7" spans="1:8" hidden="1" x14ac:dyDescent="0.3">
      <c r="A7" s="26">
        <v>45824</v>
      </c>
      <c r="B7" s="27" t="s">
        <v>4</v>
      </c>
      <c r="C7" s="24">
        <v>-115.49</v>
      </c>
    </row>
    <row r="8" spans="1:8" hidden="1" x14ac:dyDescent="0.3">
      <c r="A8" s="26">
        <v>45828</v>
      </c>
      <c r="B8" s="32" t="s">
        <v>21</v>
      </c>
      <c r="C8" s="24">
        <v>28.55</v>
      </c>
    </row>
    <row r="9" spans="1:8" hidden="1" x14ac:dyDescent="0.3">
      <c r="A9" s="26">
        <v>45828</v>
      </c>
      <c r="B9" s="34" t="s">
        <v>21</v>
      </c>
      <c r="C9" s="24">
        <v>156.82</v>
      </c>
    </row>
    <row r="10" spans="1:8" hidden="1" x14ac:dyDescent="0.3">
      <c r="A10" s="26">
        <v>45835</v>
      </c>
      <c r="B10" s="31" t="s">
        <v>4</v>
      </c>
      <c r="C10" s="24">
        <v>-185</v>
      </c>
    </row>
    <row r="11" spans="1:8" hidden="1" x14ac:dyDescent="0.3">
      <c r="A11" s="26">
        <v>45835</v>
      </c>
      <c r="B11" s="32" t="s">
        <v>21</v>
      </c>
      <c r="C11" s="24">
        <v>19.68</v>
      </c>
    </row>
    <row r="12" spans="1:8" hidden="1" x14ac:dyDescent="0.3">
      <c r="A12" s="26">
        <v>45835</v>
      </c>
      <c r="B12" s="34" t="s">
        <v>21</v>
      </c>
      <c r="C12" s="24">
        <v>98.86</v>
      </c>
    </row>
    <row r="13" spans="1:8" hidden="1" x14ac:dyDescent="0.3">
      <c r="A13" s="26">
        <v>45842</v>
      </c>
      <c r="B13" s="27" t="s">
        <v>4</v>
      </c>
      <c r="C13" s="24">
        <v>-67.84</v>
      </c>
    </row>
    <row r="14" spans="1:8" hidden="1" x14ac:dyDescent="0.3">
      <c r="A14" s="26">
        <v>45842</v>
      </c>
      <c r="B14" s="32" t="s">
        <v>21</v>
      </c>
      <c r="C14" s="24">
        <v>15.85</v>
      </c>
    </row>
    <row r="15" spans="1:8" hidden="1" x14ac:dyDescent="0.3">
      <c r="A15" s="26">
        <v>45842</v>
      </c>
      <c r="B15" s="34" t="s">
        <v>21</v>
      </c>
      <c r="C15" s="24">
        <v>95.88</v>
      </c>
    </row>
    <row r="16" spans="1:8" hidden="1" x14ac:dyDescent="0.3">
      <c r="A16" s="26">
        <v>45848</v>
      </c>
      <c r="B16" s="27" t="s">
        <v>4</v>
      </c>
      <c r="C16" s="24">
        <v>-51.08</v>
      </c>
    </row>
    <row r="17" spans="1:3" hidden="1" x14ac:dyDescent="0.3">
      <c r="A17" s="26">
        <v>45848</v>
      </c>
      <c r="B17" s="27" t="s">
        <v>4</v>
      </c>
      <c r="C17" s="24">
        <v>-118.54</v>
      </c>
    </row>
    <row r="18" spans="1:3" hidden="1" x14ac:dyDescent="0.3">
      <c r="A18" s="26">
        <v>45849</v>
      </c>
      <c r="B18" s="32" t="s">
        <v>21</v>
      </c>
      <c r="C18" s="24">
        <v>30.04</v>
      </c>
    </row>
    <row r="19" spans="1:3" hidden="1" x14ac:dyDescent="0.3">
      <c r="A19" s="26">
        <v>45849</v>
      </c>
      <c r="B19" s="34" t="s">
        <v>21</v>
      </c>
      <c r="C19" s="24">
        <v>114.37</v>
      </c>
    </row>
    <row r="20" spans="1:3" hidden="1" x14ac:dyDescent="0.3">
      <c r="A20" s="26">
        <v>45856</v>
      </c>
      <c r="B20" s="27" t="s">
        <v>4</v>
      </c>
      <c r="C20" s="24">
        <v>-110</v>
      </c>
    </row>
    <row r="21" spans="1:3" hidden="1" x14ac:dyDescent="0.3">
      <c r="A21" s="26">
        <v>45859</v>
      </c>
      <c r="B21" s="27" t="s">
        <v>4</v>
      </c>
      <c r="C21" s="24">
        <v>-28.02</v>
      </c>
    </row>
    <row r="22" spans="1:3" hidden="1" x14ac:dyDescent="0.3">
      <c r="A22" s="26">
        <v>45859</v>
      </c>
      <c r="B22" s="27" t="s">
        <v>4</v>
      </c>
      <c r="C22" s="24">
        <v>-110</v>
      </c>
    </row>
    <row r="23" spans="1:3" hidden="1" x14ac:dyDescent="0.3">
      <c r="A23" s="26">
        <v>45856</v>
      </c>
      <c r="B23" s="32" t="s">
        <v>21</v>
      </c>
      <c r="C23" s="24">
        <v>21.94</v>
      </c>
    </row>
    <row r="24" spans="1:3" hidden="1" x14ac:dyDescent="0.3">
      <c r="A24" s="26">
        <v>45856</v>
      </c>
      <c r="B24" s="34" t="s">
        <v>21</v>
      </c>
      <c r="C24" s="24">
        <v>118.57</v>
      </c>
    </row>
    <row r="25" spans="1:3" hidden="1" x14ac:dyDescent="0.3">
      <c r="A25" s="26">
        <v>45856</v>
      </c>
      <c r="B25" s="46" t="s">
        <v>21</v>
      </c>
      <c r="C25" s="24">
        <v>2.8</v>
      </c>
    </row>
    <row r="26" spans="1:3" hidden="1" x14ac:dyDescent="0.3">
      <c r="A26" s="26">
        <v>45862</v>
      </c>
      <c r="B26" s="27" t="s">
        <v>4</v>
      </c>
      <c r="C26" s="24">
        <v>-33.31</v>
      </c>
    </row>
    <row r="27" spans="1:3" hidden="1" x14ac:dyDescent="0.3">
      <c r="A27" s="26">
        <v>45863</v>
      </c>
      <c r="B27" s="32" t="s">
        <v>21</v>
      </c>
      <c r="C27" s="24">
        <v>15.85</v>
      </c>
    </row>
    <row r="28" spans="1:3" hidden="1" x14ac:dyDescent="0.3">
      <c r="A28" s="26">
        <v>45863</v>
      </c>
      <c r="B28" s="34" t="s">
        <v>21</v>
      </c>
      <c r="C28" s="24">
        <v>88.75</v>
      </c>
    </row>
    <row r="29" spans="1:3" hidden="1" x14ac:dyDescent="0.3">
      <c r="A29" s="26">
        <v>45876</v>
      </c>
      <c r="B29" s="27" t="s">
        <v>4</v>
      </c>
      <c r="C29" s="24">
        <v>-104.6</v>
      </c>
    </row>
    <row r="30" spans="1:3" hidden="1" x14ac:dyDescent="0.3">
      <c r="A30" s="26">
        <v>45877</v>
      </c>
      <c r="B30" s="32" t="s">
        <v>21</v>
      </c>
      <c r="C30" s="24">
        <v>7.5</v>
      </c>
    </row>
    <row r="31" spans="1:3" hidden="1" x14ac:dyDescent="0.3">
      <c r="A31" s="26">
        <v>45877</v>
      </c>
      <c r="B31" s="34" t="s">
        <v>21</v>
      </c>
      <c r="C31" s="24">
        <v>119.86</v>
      </c>
    </row>
    <row r="32" spans="1:3" hidden="1" x14ac:dyDescent="0.3">
      <c r="A32" s="26">
        <v>45877</v>
      </c>
      <c r="B32" s="46" t="s">
        <v>21</v>
      </c>
      <c r="C32" s="24">
        <v>11.05</v>
      </c>
    </row>
    <row r="33" spans="1:3" hidden="1" x14ac:dyDescent="0.3">
      <c r="A33" s="26">
        <v>45886</v>
      </c>
      <c r="B33" s="27" t="s">
        <v>4</v>
      </c>
      <c r="C33" s="24">
        <v>-138.41</v>
      </c>
    </row>
    <row r="34" spans="1:3" x14ac:dyDescent="0.3">
      <c r="A34" s="26">
        <v>45884</v>
      </c>
      <c r="B34" s="27" t="s">
        <v>1</v>
      </c>
      <c r="C34" s="24">
        <v>41.6</v>
      </c>
    </row>
    <row r="35" spans="1:3" x14ac:dyDescent="0.3">
      <c r="A35" s="26">
        <v>45884</v>
      </c>
      <c r="B35" s="32" t="s">
        <v>21</v>
      </c>
      <c r="C35" s="24">
        <v>25.69</v>
      </c>
    </row>
    <row r="36" spans="1:3" x14ac:dyDescent="0.3">
      <c r="A36" s="26">
        <v>45884</v>
      </c>
      <c r="B36" s="34" t="s">
        <v>21</v>
      </c>
      <c r="C36" s="24">
        <v>67.08</v>
      </c>
    </row>
    <row r="37" spans="1:3" x14ac:dyDescent="0.3">
      <c r="A37" s="26">
        <v>45891</v>
      </c>
      <c r="B37" s="27" t="s">
        <v>4</v>
      </c>
      <c r="C37" s="24">
        <v>-85.31</v>
      </c>
    </row>
    <row r="38" spans="1:3" x14ac:dyDescent="0.3">
      <c r="A38" s="26">
        <v>45891</v>
      </c>
      <c r="B38" s="34" t="s">
        <v>21</v>
      </c>
      <c r="C38" s="24">
        <v>77.52</v>
      </c>
    </row>
    <row r="39" spans="1:3" x14ac:dyDescent="0.3">
      <c r="A39" s="26">
        <v>45898</v>
      </c>
      <c r="B39" s="27" t="s">
        <v>4</v>
      </c>
      <c r="C39" s="24">
        <v>-45.98</v>
      </c>
    </row>
    <row r="40" spans="1:3" x14ac:dyDescent="0.3">
      <c r="A40" s="26">
        <v>45898</v>
      </c>
      <c r="B40" s="27" t="s">
        <v>4</v>
      </c>
      <c r="C40" s="24">
        <v>-6.8</v>
      </c>
    </row>
    <row r="41" spans="1:3" x14ac:dyDescent="0.3">
      <c r="A41" s="26">
        <v>45898</v>
      </c>
      <c r="B41" s="27" t="s">
        <v>4</v>
      </c>
      <c r="C41" s="24">
        <v>-67.31</v>
      </c>
    </row>
    <row r="42" spans="1:3" x14ac:dyDescent="0.3">
      <c r="A42" s="26">
        <v>45899</v>
      </c>
      <c r="B42" s="27" t="s">
        <v>1</v>
      </c>
      <c r="C42" s="24">
        <v>41.6</v>
      </c>
    </row>
    <row r="43" spans="1:3" x14ac:dyDescent="0.3">
      <c r="A43" s="26">
        <v>45899</v>
      </c>
      <c r="B43" s="34" t="s">
        <v>21</v>
      </c>
      <c r="C43" s="24">
        <v>211.29</v>
      </c>
    </row>
    <row r="44" spans="1:3" x14ac:dyDescent="0.3">
      <c r="A44" s="26">
        <v>45905</v>
      </c>
      <c r="B44" s="27" t="s">
        <v>4</v>
      </c>
      <c r="C44" s="24">
        <v>-111.24</v>
      </c>
    </row>
    <row r="45" spans="1:3" x14ac:dyDescent="0.3">
      <c r="A45" s="26">
        <v>45905</v>
      </c>
      <c r="B45" s="27" t="s">
        <v>1</v>
      </c>
      <c r="C45" s="24">
        <v>62.4</v>
      </c>
    </row>
    <row r="46" spans="1:3" x14ac:dyDescent="0.3">
      <c r="A46" s="26">
        <v>45905</v>
      </c>
      <c r="B46" s="32" t="s">
        <v>21</v>
      </c>
      <c r="C46" s="24">
        <v>23.35</v>
      </c>
    </row>
    <row r="47" spans="1:3" x14ac:dyDescent="0.3">
      <c r="A47" s="26">
        <v>45905</v>
      </c>
      <c r="B47" s="34" t="s">
        <v>21</v>
      </c>
      <c r="C47" s="24">
        <v>119.16</v>
      </c>
    </row>
    <row r="48" spans="1:3" x14ac:dyDescent="0.3">
      <c r="A48" s="26">
        <v>45909</v>
      </c>
      <c r="B48" s="27" t="s">
        <v>4</v>
      </c>
      <c r="C48" s="24">
        <v>-10.97</v>
      </c>
    </row>
    <row r="49" spans="1:3" x14ac:dyDescent="0.3">
      <c r="A49" s="26">
        <v>45909</v>
      </c>
      <c r="B49" s="27" t="s">
        <v>4</v>
      </c>
      <c r="C49" s="24">
        <v>-98.72</v>
      </c>
    </row>
    <row r="50" spans="1:3" x14ac:dyDescent="0.3">
      <c r="A50" s="26">
        <v>45912</v>
      </c>
      <c r="B50" s="27" t="s">
        <v>4</v>
      </c>
      <c r="C50" s="24">
        <v>-38.020000000000003</v>
      </c>
    </row>
    <row r="51" spans="1:3" x14ac:dyDescent="0.3">
      <c r="A51" s="26">
        <v>45912</v>
      </c>
      <c r="B51" s="27" t="s">
        <v>1</v>
      </c>
      <c r="C51" s="24">
        <v>41.6</v>
      </c>
    </row>
    <row r="52" spans="1:3" x14ac:dyDescent="0.3">
      <c r="A52" s="26">
        <v>45912</v>
      </c>
      <c r="B52" s="32" t="s">
        <v>21</v>
      </c>
      <c r="C52" s="24">
        <v>9.84</v>
      </c>
    </row>
    <row r="53" spans="1:3" x14ac:dyDescent="0.3">
      <c r="A53" s="26">
        <v>45912</v>
      </c>
      <c r="B53" s="34" t="s">
        <v>21</v>
      </c>
      <c r="C53" s="24">
        <v>108.15</v>
      </c>
    </row>
    <row r="54" spans="1:3" x14ac:dyDescent="0.3">
      <c r="A54" s="26">
        <v>45917</v>
      </c>
      <c r="B54" s="27" t="s">
        <v>4</v>
      </c>
      <c r="C54" s="24">
        <v>-185.31</v>
      </c>
    </row>
    <row r="55" spans="1:3" x14ac:dyDescent="0.3">
      <c r="A55" s="26">
        <v>45919</v>
      </c>
      <c r="B55" s="27" t="s">
        <v>4</v>
      </c>
      <c r="C55" s="24">
        <v>-102.77</v>
      </c>
    </row>
    <row r="56" spans="1:3" x14ac:dyDescent="0.3">
      <c r="A56" s="26">
        <v>45919</v>
      </c>
      <c r="B56" s="27" t="s">
        <v>1</v>
      </c>
      <c r="C56" s="24">
        <v>20.8</v>
      </c>
    </row>
    <row r="57" spans="1:3" x14ac:dyDescent="0.3">
      <c r="A57" s="26">
        <v>45919</v>
      </c>
      <c r="B57" s="32" t="s">
        <v>21</v>
      </c>
      <c r="C57" s="24">
        <v>23.35</v>
      </c>
    </row>
    <row r="58" spans="1:3" x14ac:dyDescent="0.3">
      <c r="A58" s="26">
        <v>45919</v>
      </c>
      <c r="B58" s="34" t="s">
        <v>21</v>
      </c>
      <c r="C58" s="24">
        <v>169</v>
      </c>
    </row>
    <row r="59" spans="1:3" x14ac:dyDescent="0.3">
      <c r="A59" s="26">
        <v>45926</v>
      </c>
      <c r="B59" s="27" t="s">
        <v>4</v>
      </c>
      <c r="C59" s="24">
        <v>-76.8</v>
      </c>
    </row>
    <row r="60" spans="1:3" x14ac:dyDescent="0.3">
      <c r="A60" s="26">
        <v>45926</v>
      </c>
      <c r="B60" s="27" t="s">
        <v>4</v>
      </c>
      <c r="C60" s="24">
        <v>-19.86</v>
      </c>
    </row>
    <row r="61" spans="1:3" x14ac:dyDescent="0.3">
      <c r="A61" s="26">
        <v>45926</v>
      </c>
      <c r="B61" s="27" t="s">
        <v>1</v>
      </c>
      <c r="C61" s="24">
        <v>20.8</v>
      </c>
    </row>
    <row r="62" spans="1:3" x14ac:dyDescent="0.3">
      <c r="A62" s="26">
        <v>45926</v>
      </c>
      <c r="B62" s="34" t="s">
        <v>21</v>
      </c>
      <c r="C62" s="24">
        <v>149.81</v>
      </c>
    </row>
    <row r="63" spans="1:3" x14ac:dyDescent="0.3">
      <c r="A63" s="26">
        <v>45926</v>
      </c>
      <c r="B63" s="46" t="s">
        <v>21</v>
      </c>
      <c r="C63" s="24">
        <v>21.8</v>
      </c>
    </row>
    <row r="64" spans="1:3" x14ac:dyDescent="0.3">
      <c r="A64" s="26">
        <v>45932</v>
      </c>
      <c r="B64" s="27" t="s">
        <v>4</v>
      </c>
      <c r="C64" s="24">
        <v>-49.64</v>
      </c>
    </row>
    <row r="65" spans="1:3" x14ac:dyDescent="0.3">
      <c r="A65" s="26">
        <v>45933</v>
      </c>
      <c r="B65" s="34" t="s">
        <v>21</v>
      </c>
      <c r="C65" s="24">
        <v>105.16</v>
      </c>
    </row>
    <row r="66" spans="1:3" x14ac:dyDescent="0.3">
      <c r="A66" s="26">
        <v>45940</v>
      </c>
      <c r="B66" s="27" t="s">
        <v>4</v>
      </c>
      <c r="C66" s="24">
        <v>-87.95</v>
      </c>
    </row>
    <row r="67" spans="1:3" x14ac:dyDescent="0.3">
      <c r="A67" s="26">
        <v>45947</v>
      </c>
      <c r="B67" s="27" t="s">
        <v>4</v>
      </c>
      <c r="C67" s="24">
        <v>-150</v>
      </c>
    </row>
    <row r="68" spans="1:3" x14ac:dyDescent="0.3">
      <c r="A68" s="26">
        <v>45947</v>
      </c>
      <c r="B68" s="27" t="s">
        <v>1</v>
      </c>
      <c r="C68" s="24">
        <v>23</v>
      </c>
    </row>
    <row r="69" spans="1:3" x14ac:dyDescent="0.3">
      <c r="A69" s="26">
        <v>45947</v>
      </c>
      <c r="B69" s="34" t="s">
        <v>21</v>
      </c>
      <c r="C69" s="24">
        <v>163.55000000000001</v>
      </c>
    </row>
    <row r="70" spans="1:3" x14ac:dyDescent="0.3">
      <c r="A70" s="26">
        <v>45952</v>
      </c>
      <c r="B70" s="27" t="s">
        <v>4</v>
      </c>
      <c r="C70" s="24">
        <v>-76.319999999999993</v>
      </c>
    </row>
    <row r="71" spans="1:3" x14ac:dyDescent="0.3">
      <c r="A71" s="26">
        <v>45952</v>
      </c>
      <c r="B71" s="27" t="s">
        <v>4</v>
      </c>
      <c r="C71" s="24">
        <v>-50</v>
      </c>
    </row>
    <row r="72" spans="1:3" x14ac:dyDescent="0.3">
      <c r="A72" s="26">
        <v>45954</v>
      </c>
      <c r="B72" s="27" t="s">
        <v>1</v>
      </c>
      <c r="C72" s="24">
        <v>23</v>
      </c>
    </row>
    <row r="73" spans="1:3" x14ac:dyDescent="0.3">
      <c r="A73" s="26">
        <v>45954</v>
      </c>
      <c r="B73" s="32" t="s">
        <v>21</v>
      </c>
      <c r="C73" s="24">
        <v>7.5</v>
      </c>
    </row>
    <row r="74" spans="1:3" x14ac:dyDescent="0.3">
      <c r="A74" s="26">
        <v>45954</v>
      </c>
      <c r="B74" s="34" t="s">
        <v>21</v>
      </c>
      <c r="C74" s="24">
        <v>95.69</v>
      </c>
    </row>
    <row r="75" spans="1:3" x14ac:dyDescent="0.3">
      <c r="A75" s="26">
        <v>45958</v>
      </c>
      <c r="B75" s="34" t="s">
        <v>21</v>
      </c>
      <c r="C75" s="24">
        <v>75.739999999999995</v>
      </c>
    </row>
    <row r="76" spans="1:3" x14ac:dyDescent="0.3">
      <c r="A76" s="26">
        <v>45960</v>
      </c>
      <c r="B76" s="27" t="s">
        <v>4</v>
      </c>
      <c r="C76" s="24">
        <v>-90</v>
      </c>
    </row>
    <row r="77" spans="1:3" x14ac:dyDescent="0.3">
      <c r="A77" s="26">
        <v>45961</v>
      </c>
      <c r="B77" s="32" t="s">
        <v>21</v>
      </c>
      <c r="C77" s="24">
        <v>16.38</v>
      </c>
    </row>
    <row r="78" spans="1:3" x14ac:dyDescent="0.3">
      <c r="A78" s="26">
        <v>45961</v>
      </c>
      <c r="B78" s="34" t="s">
        <v>21</v>
      </c>
      <c r="C78" s="24">
        <v>45.03</v>
      </c>
    </row>
    <row r="79" spans="1:3" x14ac:dyDescent="0.3">
      <c r="A79" s="26">
        <v>45965</v>
      </c>
      <c r="B79" s="27" t="s">
        <v>1</v>
      </c>
      <c r="C79" s="24">
        <v>46</v>
      </c>
    </row>
    <row r="80" spans="1:3" x14ac:dyDescent="0.3">
      <c r="A80" s="26">
        <v>45965</v>
      </c>
      <c r="B80" s="34" t="s">
        <v>21</v>
      </c>
      <c r="C80" s="24">
        <v>84.56</v>
      </c>
    </row>
    <row r="81" spans="1:3" x14ac:dyDescent="0.3">
      <c r="A81" s="26">
        <v>45968</v>
      </c>
      <c r="B81" s="27" t="s">
        <v>4</v>
      </c>
      <c r="C81" s="24">
        <v>-100</v>
      </c>
    </row>
    <row r="82" spans="1:3" x14ac:dyDescent="0.3">
      <c r="A82" s="26">
        <v>45968</v>
      </c>
      <c r="B82" s="27" t="s">
        <v>1</v>
      </c>
      <c r="C82" s="24">
        <v>46</v>
      </c>
    </row>
    <row r="83" spans="1:3" x14ac:dyDescent="0.3">
      <c r="A83" s="26">
        <v>45975</v>
      </c>
      <c r="B83" s="27" t="s">
        <v>4</v>
      </c>
      <c r="C83" s="24">
        <v>-100</v>
      </c>
    </row>
    <row r="84" spans="1:3" x14ac:dyDescent="0.3">
      <c r="A84" s="26">
        <v>45978</v>
      </c>
      <c r="B84" s="27" t="s">
        <v>4</v>
      </c>
      <c r="C84" s="24">
        <v>-199.99</v>
      </c>
    </row>
    <row r="85" spans="1:3" x14ac:dyDescent="0.3">
      <c r="A85" s="26">
        <v>45985</v>
      </c>
      <c r="B85" s="27" t="s">
        <v>4</v>
      </c>
      <c r="C85" s="24">
        <v>-63</v>
      </c>
    </row>
    <row r="86" spans="1:3" x14ac:dyDescent="0.3">
      <c r="A86" s="26">
        <v>45989</v>
      </c>
      <c r="B86" s="27" t="s">
        <v>4</v>
      </c>
      <c r="C86" s="24">
        <v>-100</v>
      </c>
    </row>
    <row r="87" spans="1:3" x14ac:dyDescent="0.3">
      <c r="A87" s="26">
        <v>45989</v>
      </c>
      <c r="B87" s="26" t="s">
        <v>1</v>
      </c>
      <c r="C87" s="24">
        <v>267.8</v>
      </c>
    </row>
    <row r="88" spans="1:3" x14ac:dyDescent="0.3">
      <c r="A88" s="26">
        <v>45995</v>
      </c>
      <c r="B88" s="27" t="s">
        <v>4</v>
      </c>
      <c r="C88" s="24">
        <v>-8.86</v>
      </c>
    </row>
    <row r="89" spans="1:3" x14ac:dyDescent="0.3">
      <c r="A89" s="26">
        <v>45995</v>
      </c>
      <c r="B89" s="27" t="s">
        <v>4</v>
      </c>
      <c r="C89" s="24">
        <v>-119.1</v>
      </c>
    </row>
    <row r="90" spans="1:3" x14ac:dyDescent="0.3">
      <c r="A90" s="26">
        <v>46003</v>
      </c>
      <c r="B90" s="27" t="s">
        <v>1</v>
      </c>
      <c r="C90" s="24">
        <v>219.88</v>
      </c>
    </row>
    <row r="91" spans="1:3" x14ac:dyDescent="0.3">
      <c r="A91" s="26">
        <v>46006</v>
      </c>
      <c r="B91" s="27" t="s">
        <v>4</v>
      </c>
      <c r="C91" s="24">
        <v>-53</v>
      </c>
    </row>
    <row r="92" spans="1:3" x14ac:dyDescent="0.3">
      <c r="A92" s="26">
        <v>46006</v>
      </c>
      <c r="B92" s="27" t="s">
        <v>4</v>
      </c>
      <c r="C92" s="24">
        <v>-100.08</v>
      </c>
    </row>
    <row r="93" spans="1:3" x14ac:dyDescent="0.3">
      <c r="A93" s="26">
        <v>46008</v>
      </c>
      <c r="B93" s="27" t="s">
        <v>4</v>
      </c>
      <c r="C93" s="24">
        <v>-144.63</v>
      </c>
    </row>
    <row r="94" spans="1:3" x14ac:dyDescent="0.3">
      <c r="A94" s="26">
        <v>46009</v>
      </c>
      <c r="B94" s="27" t="s">
        <v>4</v>
      </c>
      <c r="C94" s="24">
        <v>-112</v>
      </c>
    </row>
    <row r="95" spans="1:3" x14ac:dyDescent="0.3">
      <c r="A95" s="26">
        <v>46010</v>
      </c>
      <c r="B95" s="27" t="s">
        <v>1</v>
      </c>
      <c r="C95" s="24">
        <v>329.49</v>
      </c>
    </row>
    <row r="96" spans="1:3" x14ac:dyDescent="0.3">
      <c r="A96" s="26">
        <v>46012</v>
      </c>
      <c r="B96" s="27" t="s">
        <v>4</v>
      </c>
      <c r="C96" s="24">
        <v>-100</v>
      </c>
    </row>
    <row r="97" spans="1:3" x14ac:dyDescent="0.3">
      <c r="A97" s="26">
        <v>46015</v>
      </c>
      <c r="B97" s="27" t="s">
        <v>4</v>
      </c>
      <c r="C97" s="24">
        <v>-100</v>
      </c>
    </row>
    <row r="98" spans="1:3" x14ac:dyDescent="0.3">
      <c r="A98" s="26">
        <v>46017</v>
      </c>
      <c r="B98" s="27" t="s">
        <v>4</v>
      </c>
      <c r="C98" s="24">
        <v>-100</v>
      </c>
    </row>
    <row r="99" spans="1:3" x14ac:dyDescent="0.3">
      <c r="A99" s="26">
        <v>46017</v>
      </c>
      <c r="B99" s="27" t="s">
        <v>4</v>
      </c>
      <c r="C99" s="24">
        <v>-30</v>
      </c>
    </row>
    <row r="100" spans="1:3" x14ac:dyDescent="0.3">
      <c r="A100" s="26">
        <v>46017</v>
      </c>
      <c r="B100" s="27" t="s">
        <v>1</v>
      </c>
      <c r="C100" s="24">
        <v>286.72000000000003</v>
      </c>
    </row>
    <row r="101" spans="1:3" x14ac:dyDescent="0.3">
      <c r="A101" s="26">
        <v>46024</v>
      </c>
      <c r="B101" s="27" t="s">
        <v>4</v>
      </c>
      <c r="C101" s="24">
        <v>-286.72000000000003</v>
      </c>
    </row>
    <row r="102" spans="1:3" x14ac:dyDescent="0.3">
      <c r="A102" s="26">
        <v>46031</v>
      </c>
      <c r="B102" s="27" t="s">
        <v>1</v>
      </c>
      <c r="C102" s="24">
        <v>309.52999999999997</v>
      </c>
    </row>
    <row r="103" spans="1:3" x14ac:dyDescent="0.3">
      <c r="A103" s="26">
        <v>46034</v>
      </c>
      <c r="B103" s="27" t="s">
        <v>4</v>
      </c>
      <c r="C103" s="24">
        <v>-100</v>
      </c>
    </row>
    <row r="104" spans="1:3" x14ac:dyDescent="0.3">
      <c r="A104" s="26">
        <v>46038</v>
      </c>
      <c r="B104" s="27" t="s">
        <v>4</v>
      </c>
      <c r="C104" s="24">
        <v>-209.53</v>
      </c>
    </row>
    <row r="105" spans="1:3" x14ac:dyDescent="0.3">
      <c r="A105" s="26">
        <v>46038</v>
      </c>
      <c r="B105" s="27" t="s">
        <v>1</v>
      </c>
      <c r="C105" s="24">
        <v>273.58999999999997</v>
      </c>
    </row>
    <row r="106" spans="1:3" x14ac:dyDescent="0.3">
      <c r="A106" s="26">
        <v>46042</v>
      </c>
      <c r="B106" s="27" t="s">
        <v>4</v>
      </c>
      <c r="C106" s="24">
        <v>-173.59</v>
      </c>
    </row>
    <row r="107" spans="1:3" x14ac:dyDescent="0.3">
      <c r="A107" s="26">
        <v>46045</v>
      </c>
      <c r="B107" s="27" t="s">
        <v>1</v>
      </c>
      <c r="C107" s="24">
        <v>88.08</v>
      </c>
    </row>
    <row r="108" spans="1:3" x14ac:dyDescent="0.3">
      <c r="A108" s="26">
        <v>46052</v>
      </c>
      <c r="B108" s="27" t="s">
        <v>4</v>
      </c>
      <c r="C108" s="24">
        <v>-114.35</v>
      </c>
    </row>
    <row r="109" spans="1:3" x14ac:dyDescent="0.3">
      <c r="A109" s="26">
        <v>46052</v>
      </c>
      <c r="B109" s="27" t="s">
        <v>1</v>
      </c>
      <c r="C109" s="24">
        <v>294.14999999999998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6011-C9DE-4085-8B05-9C907AE09C11}">
  <sheetPr codeName="Hoja8"/>
  <dimension ref="A1:H63"/>
  <sheetViews>
    <sheetView view="pageBreakPreview" zoomScale="80" zoomScaleNormal="100" zoomScaleSheetLayoutView="80" workbookViewId="0">
      <selection activeCell="C64" sqref="C64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191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46.000000000000014</v>
      </c>
      <c r="D3" s="20">
        <f>SUM(D$4:D$1048576)</f>
        <v>1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45820</v>
      </c>
      <c r="B5" s="32" t="s">
        <v>21</v>
      </c>
      <c r="C5" s="24">
        <v>33.49</v>
      </c>
      <c r="D5" s="30"/>
      <c r="E5" s="30"/>
      <c r="F5" s="30"/>
      <c r="G5" s="22"/>
    </row>
    <row r="6" spans="1:8" hidden="1" x14ac:dyDescent="0.3">
      <c r="A6" s="21">
        <v>45820</v>
      </c>
      <c r="B6" s="27" t="s">
        <v>1</v>
      </c>
      <c r="C6" s="24">
        <v>12.8</v>
      </c>
    </row>
    <row r="7" spans="1:8" hidden="1" x14ac:dyDescent="0.3">
      <c r="A7" s="21">
        <v>45826</v>
      </c>
      <c r="B7" s="27" t="s">
        <v>7</v>
      </c>
      <c r="C7" s="24">
        <v>-46.29</v>
      </c>
    </row>
    <row r="8" spans="1:8" hidden="1" x14ac:dyDescent="0.3">
      <c r="A8" s="21">
        <v>45826</v>
      </c>
      <c r="B8" s="32" t="s">
        <v>21</v>
      </c>
      <c r="C8" s="24">
        <v>19.5</v>
      </c>
    </row>
    <row r="9" spans="1:8" hidden="1" x14ac:dyDescent="0.3">
      <c r="A9" s="21">
        <v>45826</v>
      </c>
      <c r="B9" s="27" t="s">
        <v>1</v>
      </c>
      <c r="C9" s="24">
        <v>20.8</v>
      </c>
    </row>
    <row r="10" spans="1:8" hidden="1" x14ac:dyDescent="0.3">
      <c r="A10" s="26">
        <v>45831</v>
      </c>
      <c r="B10" s="31" t="s">
        <v>4</v>
      </c>
      <c r="C10" s="24">
        <v>-40.299999999999997</v>
      </c>
    </row>
    <row r="11" spans="1:8" hidden="1" x14ac:dyDescent="0.3">
      <c r="A11" s="26">
        <v>45833</v>
      </c>
      <c r="B11" s="32" t="s">
        <v>21</v>
      </c>
      <c r="C11" s="24">
        <v>31.7</v>
      </c>
    </row>
    <row r="12" spans="1:8" hidden="1" x14ac:dyDescent="0.3">
      <c r="A12" s="26">
        <v>45834</v>
      </c>
      <c r="B12" s="31" t="s">
        <v>4</v>
      </c>
      <c r="C12" s="24">
        <v>-31.7</v>
      </c>
    </row>
    <row r="13" spans="1:8" hidden="1" x14ac:dyDescent="0.3">
      <c r="A13" s="26">
        <v>45840</v>
      </c>
      <c r="B13" s="27" t="s">
        <v>1</v>
      </c>
      <c r="C13" s="24">
        <v>41.6</v>
      </c>
    </row>
    <row r="14" spans="1:8" hidden="1" x14ac:dyDescent="0.3">
      <c r="A14" s="26">
        <v>45847</v>
      </c>
      <c r="B14" s="27" t="s">
        <v>4</v>
      </c>
      <c r="C14" s="24">
        <v>-41.6</v>
      </c>
    </row>
    <row r="15" spans="1:8" hidden="1" x14ac:dyDescent="0.3">
      <c r="A15" s="26">
        <v>45848</v>
      </c>
      <c r="B15" s="32" t="s">
        <v>21</v>
      </c>
      <c r="C15" s="24">
        <v>33.49</v>
      </c>
    </row>
    <row r="16" spans="1:8" hidden="1" x14ac:dyDescent="0.3">
      <c r="A16" s="26">
        <v>45848</v>
      </c>
      <c r="B16" s="27" t="s">
        <v>1</v>
      </c>
      <c r="C16" s="24">
        <v>20.8</v>
      </c>
    </row>
    <row r="17" spans="1:4" hidden="1" x14ac:dyDescent="0.3">
      <c r="A17" s="26">
        <v>45854</v>
      </c>
      <c r="B17" s="27" t="s">
        <v>7</v>
      </c>
      <c r="C17" s="24">
        <v>-54.31</v>
      </c>
    </row>
    <row r="18" spans="1:4" hidden="1" x14ac:dyDescent="0.3">
      <c r="A18" s="26">
        <v>45862</v>
      </c>
      <c r="B18" s="32" t="s">
        <v>21</v>
      </c>
      <c r="C18" s="24">
        <v>35.53</v>
      </c>
      <c r="D18" s="25">
        <v>1</v>
      </c>
    </row>
    <row r="19" spans="1:4" hidden="1" x14ac:dyDescent="0.3">
      <c r="A19" s="26">
        <v>45862</v>
      </c>
      <c r="B19" s="27" t="s">
        <v>1</v>
      </c>
      <c r="C19" s="24">
        <v>41.6</v>
      </c>
    </row>
    <row r="20" spans="1:4" hidden="1" x14ac:dyDescent="0.3">
      <c r="A20" s="26">
        <v>45869</v>
      </c>
      <c r="B20" s="27" t="s">
        <v>7</v>
      </c>
      <c r="C20" s="24">
        <v>-77.13</v>
      </c>
    </row>
    <row r="21" spans="1:4" hidden="1" x14ac:dyDescent="0.3">
      <c r="A21" s="26">
        <v>45869</v>
      </c>
      <c r="B21" s="27" t="s">
        <v>1</v>
      </c>
      <c r="C21" s="24">
        <v>20.8</v>
      </c>
      <c r="D21" s="25">
        <v>-1</v>
      </c>
    </row>
    <row r="22" spans="1:4" hidden="1" x14ac:dyDescent="0.3">
      <c r="A22" s="26">
        <v>45876</v>
      </c>
      <c r="B22" s="27" t="s">
        <v>7</v>
      </c>
      <c r="C22" s="24">
        <v>-20.8</v>
      </c>
    </row>
    <row r="23" spans="1:4" hidden="1" x14ac:dyDescent="0.3">
      <c r="A23" s="26">
        <v>45883</v>
      </c>
      <c r="B23" s="32" t="s">
        <v>21</v>
      </c>
      <c r="C23" s="24">
        <v>41.54</v>
      </c>
    </row>
    <row r="24" spans="1:4" hidden="1" x14ac:dyDescent="0.3">
      <c r="A24" s="26">
        <v>45883</v>
      </c>
      <c r="B24" s="27" t="s">
        <v>1</v>
      </c>
      <c r="C24" s="24">
        <v>20.8</v>
      </c>
    </row>
    <row r="25" spans="1:4" hidden="1" x14ac:dyDescent="0.3">
      <c r="A25" s="26">
        <v>45890</v>
      </c>
      <c r="B25" s="27" t="s">
        <v>4</v>
      </c>
      <c r="C25" s="24">
        <v>-62.35</v>
      </c>
    </row>
    <row r="26" spans="1:4" hidden="1" x14ac:dyDescent="0.3">
      <c r="A26" s="26">
        <v>45890</v>
      </c>
      <c r="B26" s="27" t="s">
        <v>1</v>
      </c>
      <c r="C26" s="24">
        <v>20.8</v>
      </c>
    </row>
    <row r="27" spans="1:4" hidden="1" x14ac:dyDescent="0.3">
      <c r="A27" s="26">
        <v>45895</v>
      </c>
      <c r="B27" s="27" t="s">
        <v>4</v>
      </c>
      <c r="C27" s="24">
        <v>-20.8</v>
      </c>
    </row>
    <row r="28" spans="1:4" hidden="1" x14ac:dyDescent="0.3">
      <c r="A28" s="26">
        <v>45909</v>
      </c>
      <c r="B28" s="32" t="s">
        <v>21</v>
      </c>
      <c r="C28" s="24">
        <v>62.83</v>
      </c>
      <c r="D28" s="25">
        <v>1</v>
      </c>
    </row>
    <row r="29" spans="1:4" hidden="1" x14ac:dyDescent="0.3">
      <c r="A29" s="26">
        <v>45909</v>
      </c>
      <c r="B29" s="27" t="s">
        <v>1</v>
      </c>
      <c r="C29" s="24">
        <v>62.4</v>
      </c>
    </row>
    <row r="30" spans="1:4" hidden="1" x14ac:dyDescent="0.3">
      <c r="A30" s="26">
        <v>45912</v>
      </c>
      <c r="B30" s="27" t="s">
        <v>4</v>
      </c>
      <c r="C30" s="24">
        <v>-125.23</v>
      </c>
    </row>
    <row r="31" spans="1:4" hidden="1" x14ac:dyDescent="0.3">
      <c r="A31" s="26">
        <v>45918</v>
      </c>
      <c r="B31" s="27" t="s">
        <v>1</v>
      </c>
      <c r="C31" s="24">
        <v>20.8</v>
      </c>
      <c r="D31" s="25">
        <v>-1</v>
      </c>
    </row>
    <row r="32" spans="1:4" hidden="1" x14ac:dyDescent="0.3">
      <c r="A32" s="26">
        <v>45924</v>
      </c>
      <c r="B32" s="27" t="s">
        <v>4</v>
      </c>
      <c r="C32" s="24">
        <v>-20.8</v>
      </c>
    </row>
    <row r="33" spans="1:3" hidden="1" x14ac:dyDescent="0.3">
      <c r="A33" s="26">
        <v>45925</v>
      </c>
      <c r="B33" s="32" t="s">
        <v>21</v>
      </c>
      <c r="C33" s="24">
        <v>15.85</v>
      </c>
    </row>
    <row r="34" spans="1:3" hidden="1" x14ac:dyDescent="0.3">
      <c r="A34" s="26">
        <v>45925</v>
      </c>
      <c r="B34" s="27" t="s">
        <v>1</v>
      </c>
      <c r="C34" s="24">
        <v>20.8</v>
      </c>
    </row>
    <row r="35" spans="1:3" hidden="1" x14ac:dyDescent="0.3">
      <c r="A35" s="26">
        <v>45932</v>
      </c>
      <c r="B35" s="27" t="s">
        <v>4</v>
      </c>
      <c r="C35" s="24">
        <v>-36.65</v>
      </c>
    </row>
    <row r="36" spans="1:3" hidden="1" x14ac:dyDescent="0.3">
      <c r="A36" s="26">
        <v>45932</v>
      </c>
      <c r="B36" s="32" t="s">
        <v>21</v>
      </c>
      <c r="C36" s="24">
        <v>25.69</v>
      </c>
    </row>
    <row r="37" spans="1:3" hidden="1" x14ac:dyDescent="0.3">
      <c r="A37" s="26">
        <v>45940</v>
      </c>
      <c r="B37" s="27" t="s">
        <v>4</v>
      </c>
      <c r="C37" s="24">
        <v>-25.69</v>
      </c>
    </row>
    <row r="38" spans="1:3" hidden="1" x14ac:dyDescent="0.3">
      <c r="A38" s="26">
        <v>45940</v>
      </c>
      <c r="B38" s="27" t="s">
        <v>1</v>
      </c>
      <c r="C38" s="24">
        <v>23</v>
      </c>
    </row>
    <row r="39" spans="1:3" hidden="1" x14ac:dyDescent="0.3">
      <c r="A39" s="26">
        <v>45942</v>
      </c>
      <c r="B39" s="27" t="s">
        <v>4</v>
      </c>
      <c r="C39" s="24">
        <v>-23</v>
      </c>
    </row>
    <row r="40" spans="1:3" hidden="1" x14ac:dyDescent="0.3">
      <c r="A40" s="26">
        <v>45947</v>
      </c>
      <c r="B40" s="32" t="s">
        <v>21</v>
      </c>
      <c r="C40" s="24">
        <v>26.25</v>
      </c>
    </row>
    <row r="41" spans="1:3" hidden="1" x14ac:dyDescent="0.3">
      <c r="A41" s="26">
        <v>45947</v>
      </c>
      <c r="B41" s="27" t="s">
        <v>1</v>
      </c>
      <c r="C41" s="24">
        <v>23</v>
      </c>
    </row>
    <row r="42" spans="1:3" hidden="1" x14ac:dyDescent="0.3">
      <c r="A42" s="26">
        <v>45951</v>
      </c>
      <c r="B42" s="27" t="s">
        <v>4</v>
      </c>
      <c r="C42" s="24">
        <v>-49.22</v>
      </c>
    </row>
    <row r="43" spans="1:3" hidden="1" x14ac:dyDescent="0.3">
      <c r="A43" s="26">
        <v>45960</v>
      </c>
      <c r="B43" s="32" t="s">
        <v>21</v>
      </c>
      <c r="C43" s="24">
        <v>24.18</v>
      </c>
    </row>
    <row r="44" spans="1:3" hidden="1" x14ac:dyDescent="0.3">
      <c r="A44" s="26">
        <v>45961</v>
      </c>
      <c r="B44" s="27" t="s">
        <v>4</v>
      </c>
      <c r="C44" s="24">
        <v>-24.18</v>
      </c>
    </row>
    <row r="45" spans="1:3" hidden="1" x14ac:dyDescent="0.3">
      <c r="A45" s="26">
        <v>45967</v>
      </c>
      <c r="B45" s="32" t="s">
        <v>21</v>
      </c>
      <c r="C45" s="24">
        <v>16.38</v>
      </c>
    </row>
    <row r="46" spans="1:3" hidden="1" x14ac:dyDescent="0.3">
      <c r="A46" s="26">
        <v>45971</v>
      </c>
      <c r="B46" s="27" t="s">
        <v>4</v>
      </c>
      <c r="C46" s="24">
        <v>-16.38</v>
      </c>
    </row>
    <row r="47" spans="1:3" hidden="1" x14ac:dyDescent="0.3">
      <c r="A47" s="26">
        <v>45985</v>
      </c>
      <c r="B47" s="27" t="s">
        <v>1</v>
      </c>
      <c r="C47" s="24">
        <v>57.02</v>
      </c>
    </row>
    <row r="48" spans="1:3" hidden="1" x14ac:dyDescent="0.3">
      <c r="A48" s="26">
        <v>45986</v>
      </c>
      <c r="B48" s="27" t="s">
        <v>4</v>
      </c>
      <c r="C48" s="24">
        <v>-57.02</v>
      </c>
    </row>
    <row r="49" spans="1:4" x14ac:dyDescent="0.3">
      <c r="A49" s="26">
        <v>45988</v>
      </c>
      <c r="B49" s="27" t="s">
        <v>1</v>
      </c>
      <c r="C49" s="24">
        <v>82.06</v>
      </c>
    </row>
    <row r="50" spans="1:4" x14ac:dyDescent="0.3">
      <c r="A50" s="26">
        <v>45998</v>
      </c>
      <c r="B50" s="27" t="s">
        <v>4</v>
      </c>
      <c r="C50" s="24">
        <v>-82.06</v>
      </c>
    </row>
    <row r="51" spans="1:4" x14ac:dyDescent="0.3">
      <c r="A51" s="26">
        <v>46008</v>
      </c>
      <c r="B51" s="27" t="s">
        <v>1</v>
      </c>
      <c r="C51" s="24">
        <v>46</v>
      </c>
    </row>
    <row r="52" spans="1:4" x14ac:dyDescent="0.3">
      <c r="A52" s="26">
        <v>46010</v>
      </c>
      <c r="B52" s="27" t="s">
        <v>4</v>
      </c>
      <c r="C52" s="24">
        <v>-46</v>
      </c>
    </row>
    <row r="53" spans="1:4" x14ac:dyDescent="0.3">
      <c r="A53" s="26">
        <v>46017</v>
      </c>
      <c r="B53" s="27" t="s">
        <v>1</v>
      </c>
      <c r="C53" s="24">
        <v>100.42</v>
      </c>
    </row>
    <row r="54" spans="1:4" x14ac:dyDescent="0.3">
      <c r="A54" s="26">
        <v>46020</v>
      </c>
      <c r="B54" s="27" t="s">
        <v>4</v>
      </c>
      <c r="C54" s="24">
        <v>-100.42</v>
      </c>
    </row>
    <row r="55" spans="1:4" x14ac:dyDescent="0.3">
      <c r="A55" s="26">
        <v>46021</v>
      </c>
      <c r="B55" s="27" t="s">
        <v>1</v>
      </c>
      <c r="C55" s="24">
        <v>46</v>
      </c>
      <c r="D55" s="25">
        <v>1</v>
      </c>
    </row>
    <row r="56" spans="1:4" x14ac:dyDescent="0.3">
      <c r="A56" s="26">
        <v>46024</v>
      </c>
      <c r="B56" s="27" t="s">
        <v>4</v>
      </c>
      <c r="C56" s="24">
        <v>-46</v>
      </c>
    </row>
    <row r="57" spans="1:4" x14ac:dyDescent="0.3">
      <c r="A57" s="26">
        <v>46031</v>
      </c>
      <c r="B57" s="27" t="s">
        <v>1</v>
      </c>
      <c r="C57" s="24">
        <v>57.02</v>
      </c>
    </row>
    <row r="58" spans="1:4" x14ac:dyDescent="0.3">
      <c r="A58" s="26">
        <v>46034</v>
      </c>
      <c r="B58" s="27" t="s">
        <v>4</v>
      </c>
      <c r="C58" s="24">
        <v>-57.02</v>
      </c>
    </row>
    <row r="59" spans="1:4" x14ac:dyDescent="0.3">
      <c r="A59" s="26">
        <v>46037</v>
      </c>
      <c r="B59" s="27" t="s">
        <v>1</v>
      </c>
      <c r="C59" s="24">
        <v>31.44</v>
      </c>
    </row>
    <row r="60" spans="1:4" x14ac:dyDescent="0.3">
      <c r="A60" s="26">
        <v>46042</v>
      </c>
      <c r="B60" s="27" t="s">
        <v>4</v>
      </c>
      <c r="C60" s="24">
        <v>-31.44</v>
      </c>
    </row>
    <row r="61" spans="1:4" x14ac:dyDescent="0.3">
      <c r="A61" s="26">
        <v>46044</v>
      </c>
      <c r="B61" s="27" t="s">
        <v>1</v>
      </c>
      <c r="C61" s="24">
        <v>46.8</v>
      </c>
    </row>
    <row r="62" spans="1:4" x14ac:dyDescent="0.3">
      <c r="A62" s="26">
        <v>46047</v>
      </c>
      <c r="B62" s="27" t="s">
        <v>4</v>
      </c>
      <c r="C62" s="24">
        <v>-46.8</v>
      </c>
    </row>
    <row r="63" spans="1:4" x14ac:dyDescent="0.3">
      <c r="A63" s="26">
        <v>46051</v>
      </c>
      <c r="B63" s="27" t="s">
        <v>1</v>
      </c>
      <c r="C63" s="24">
        <v>46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A993F-753A-4634-9920-31FB1313F0B6}">
  <dimension ref="A1:H39"/>
  <sheetViews>
    <sheetView view="pageBreakPreview" zoomScale="80" zoomScaleNormal="100" zoomScaleSheetLayoutView="80" workbookViewId="0">
      <selection activeCell="C40" sqref="C4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458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187.66999999999996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45929</v>
      </c>
      <c r="B5" s="32" t="s">
        <v>21</v>
      </c>
      <c r="C5" s="24">
        <v>25.69</v>
      </c>
      <c r="D5" s="30"/>
      <c r="E5" s="30"/>
      <c r="F5" s="30"/>
      <c r="G5" s="22"/>
    </row>
    <row r="6" spans="1:8" x14ac:dyDescent="0.3">
      <c r="A6" s="21">
        <v>45929</v>
      </c>
      <c r="B6" s="34" t="s">
        <v>1</v>
      </c>
      <c r="C6" s="24">
        <v>21.4</v>
      </c>
    </row>
    <row r="7" spans="1:8" x14ac:dyDescent="0.3">
      <c r="A7" s="21">
        <v>45933</v>
      </c>
      <c r="B7" s="27" t="s">
        <v>4</v>
      </c>
      <c r="C7" s="24">
        <v>-47.09</v>
      </c>
    </row>
    <row r="8" spans="1:8" x14ac:dyDescent="0.3">
      <c r="A8" s="21">
        <v>45933</v>
      </c>
      <c r="B8" s="32" t="s">
        <v>1</v>
      </c>
      <c r="C8" s="24">
        <v>22.5</v>
      </c>
    </row>
    <row r="9" spans="1:8" x14ac:dyDescent="0.3">
      <c r="A9" s="21">
        <v>45933</v>
      </c>
      <c r="B9" s="34" t="s">
        <v>1</v>
      </c>
      <c r="C9" s="24">
        <v>67.28</v>
      </c>
    </row>
    <row r="10" spans="1:8" x14ac:dyDescent="0.3">
      <c r="A10" s="26">
        <v>45939</v>
      </c>
      <c r="B10" s="31" t="s">
        <v>4</v>
      </c>
      <c r="C10" s="24">
        <v>-45.46</v>
      </c>
    </row>
    <row r="11" spans="1:8" x14ac:dyDescent="0.3">
      <c r="A11" s="26">
        <v>45940</v>
      </c>
      <c r="B11" s="34" t="s">
        <v>1</v>
      </c>
      <c r="C11" s="24">
        <v>103.33</v>
      </c>
    </row>
    <row r="12" spans="1:8" x14ac:dyDescent="0.3">
      <c r="A12" s="26">
        <v>45942</v>
      </c>
      <c r="B12" s="31" t="s">
        <v>4</v>
      </c>
      <c r="C12" s="24">
        <v>-44.32</v>
      </c>
    </row>
    <row r="13" spans="1:8" x14ac:dyDescent="0.3">
      <c r="A13" s="26">
        <v>45945</v>
      </c>
      <c r="B13" s="27" t="s">
        <v>4</v>
      </c>
      <c r="C13" s="24">
        <v>-66.97</v>
      </c>
    </row>
    <row r="14" spans="1:8" x14ac:dyDescent="0.3">
      <c r="A14" s="26">
        <v>45947</v>
      </c>
      <c r="B14" s="34" t="s">
        <v>1</v>
      </c>
      <c r="C14" s="24">
        <v>116.86</v>
      </c>
    </row>
    <row r="15" spans="1:8" x14ac:dyDescent="0.3">
      <c r="A15" s="26">
        <v>45950</v>
      </c>
      <c r="B15" s="27" t="s">
        <v>4</v>
      </c>
      <c r="C15" s="24">
        <v>-128.86000000000001</v>
      </c>
    </row>
    <row r="16" spans="1:8" x14ac:dyDescent="0.3">
      <c r="A16" s="26">
        <v>45961</v>
      </c>
      <c r="B16" s="27" t="s">
        <v>4</v>
      </c>
      <c r="C16" s="24">
        <v>-36.36</v>
      </c>
    </row>
    <row r="17" spans="1:3" x14ac:dyDescent="0.3">
      <c r="A17" s="26">
        <v>45961</v>
      </c>
      <c r="B17" s="32" t="s">
        <v>1</v>
      </c>
      <c r="C17" s="24">
        <v>15</v>
      </c>
    </row>
    <row r="18" spans="1:3" x14ac:dyDescent="0.3">
      <c r="A18" s="26">
        <v>45961</v>
      </c>
      <c r="B18" s="34" t="s">
        <v>1</v>
      </c>
      <c r="C18" s="24">
        <v>155.01</v>
      </c>
    </row>
    <row r="19" spans="1:3" x14ac:dyDescent="0.3">
      <c r="A19" s="26">
        <v>45966</v>
      </c>
      <c r="B19" s="27" t="s">
        <v>4</v>
      </c>
      <c r="C19" s="24">
        <v>-55.28</v>
      </c>
    </row>
    <row r="20" spans="1:3" x14ac:dyDescent="0.3">
      <c r="A20" s="26">
        <v>45968</v>
      </c>
      <c r="B20" s="32" t="s">
        <v>1</v>
      </c>
      <c r="C20" s="24">
        <v>36.06</v>
      </c>
    </row>
    <row r="21" spans="1:3" x14ac:dyDescent="0.3">
      <c r="A21" s="26">
        <v>45968</v>
      </c>
      <c r="B21" s="34" t="s">
        <v>1</v>
      </c>
      <c r="C21" s="24">
        <v>28.59</v>
      </c>
    </row>
    <row r="22" spans="1:3" x14ac:dyDescent="0.3">
      <c r="A22" s="26">
        <v>45973</v>
      </c>
      <c r="B22" s="27" t="s">
        <v>4</v>
      </c>
      <c r="C22" s="24">
        <v>-114.73</v>
      </c>
    </row>
    <row r="23" spans="1:3" x14ac:dyDescent="0.3">
      <c r="A23" s="26">
        <v>45975</v>
      </c>
      <c r="B23" s="27" t="s">
        <v>1</v>
      </c>
      <c r="C23" s="24">
        <v>234.68</v>
      </c>
    </row>
    <row r="24" spans="1:3" x14ac:dyDescent="0.3">
      <c r="A24" s="26">
        <v>45982</v>
      </c>
      <c r="B24" s="27" t="s">
        <v>4</v>
      </c>
      <c r="C24" s="24">
        <v>-289.76</v>
      </c>
    </row>
    <row r="25" spans="1:3" x14ac:dyDescent="0.3">
      <c r="A25" s="26">
        <v>45982</v>
      </c>
      <c r="B25" s="27" t="s">
        <v>1</v>
      </c>
      <c r="C25" s="24">
        <v>80.09</v>
      </c>
    </row>
    <row r="26" spans="1:3" x14ac:dyDescent="0.3">
      <c r="A26" s="26">
        <v>45996</v>
      </c>
      <c r="B26" s="27" t="s">
        <v>4</v>
      </c>
      <c r="C26" s="24">
        <v>-77.66</v>
      </c>
    </row>
    <row r="27" spans="1:3" x14ac:dyDescent="0.3">
      <c r="A27" s="26">
        <v>45996</v>
      </c>
      <c r="B27" s="27" t="s">
        <v>1</v>
      </c>
      <c r="C27" s="24">
        <v>217.2</v>
      </c>
    </row>
    <row r="28" spans="1:3" x14ac:dyDescent="0.3">
      <c r="A28" s="26">
        <v>46001</v>
      </c>
      <c r="B28" s="27" t="s">
        <v>4</v>
      </c>
      <c r="C28" s="24">
        <v>-36.25</v>
      </c>
    </row>
    <row r="29" spans="1:3" x14ac:dyDescent="0.3">
      <c r="A29" s="26">
        <v>46009</v>
      </c>
      <c r="B29" s="27" t="s">
        <v>4</v>
      </c>
      <c r="C29" s="24">
        <v>-180.95</v>
      </c>
    </row>
    <row r="30" spans="1:3" x14ac:dyDescent="0.3">
      <c r="A30" s="26">
        <v>46010</v>
      </c>
      <c r="B30" s="27" t="s">
        <v>1</v>
      </c>
      <c r="C30" s="24">
        <v>340.53</v>
      </c>
    </row>
    <row r="31" spans="1:3" x14ac:dyDescent="0.3">
      <c r="A31" s="26">
        <v>46029</v>
      </c>
      <c r="B31" s="27" t="s">
        <v>4</v>
      </c>
      <c r="C31" s="24">
        <v>-262.92</v>
      </c>
    </row>
    <row r="32" spans="1:3" x14ac:dyDescent="0.3">
      <c r="A32" s="26">
        <v>46031</v>
      </c>
      <c r="B32" s="27" t="s">
        <v>4</v>
      </c>
      <c r="C32" s="24">
        <v>-50.71</v>
      </c>
    </row>
    <row r="33" spans="1:3" x14ac:dyDescent="0.3">
      <c r="A33" s="26">
        <v>46031</v>
      </c>
      <c r="B33" s="27" t="s">
        <v>4</v>
      </c>
      <c r="C33" s="24">
        <v>-26.9</v>
      </c>
    </row>
    <row r="34" spans="1:3" x14ac:dyDescent="0.3">
      <c r="A34" s="26">
        <v>46031</v>
      </c>
      <c r="B34" s="27" t="s">
        <v>1</v>
      </c>
      <c r="C34" s="24">
        <v>220.67</v>
      </c>
    </row>
    <row r="35" spans="1:3" x14ac:dyDescent="0.3">
      <c r="A35" s="26">
        <v>46038</v>
      </c>
      <c r="B35" s="27" t="s">
        <v>4</v>
      </c>
      <c r="C35" s="24">
        <v>-220.7</v>
      </c>
    </row>
    <row r="36" spans="1:3" x14ac:dyDescent="0.3">
      <c r="A36" s="26">
        <v>46038</v>
      </c>
      <c r="B36" s="27" t="s">
        <v>1</v>
      </c>
      <c r="C36" s="24">
        <v>270.56</v>
      </c>
    </row>
    <row r="37" spans="1:3" x14ac:dyDescent="0.3">
      <c r="A37" s="26">
        <v>46052</v>
      </c>
      <c r="B37" s="27" t="s">
        <v>4</v>
      </c>
      <c r="C37" s="24">
        <v>-149.74</v>
      </c>
    </row>
    <row r="38" spans="1:3" x14ac:dyDescent="0.3">
      <c r="A38" s="26">
        <v>46052</v>
      </c>
      <c r="B38" s="27" t="s">
        <v>4</v>
      </c>
      <c r="C38" s="24">
        <v>-120.82</v>
      </c>
    </row>
    <row r="39" spans="1:3" x14ac:dyDescent="0.3">
      <c r="A39" s="26">
        <v>46052</v>
      </c>
      <c r="B39" s="27" t="s">
        <v>1</v>
      </c>
      <c r="C39" s="24">
        <v>187.7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56887-FE68-4C01-B915-BFE6248AA1A4}">
  <sheetPr codeName="Hoja62"/>
  <dimension ref="A1:H12"/>
  <sheetViews>
    <sheetView view="pageBreakPreview" zoomScale="80" zoomScaleNormal="100" zoomScaleSheetLayoutView="8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230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439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45821</v>
      </c>
      <c r="B5" s="32" t="s">
        <v>21</v>
      </c>
      <c r="C5" s="24">
        <v>15.4</v>
      </c>
      <c r="D5" s="30"/>
      <c r="E5" s="30"/>
      <c r="F5" s="30"/>
      <c r="G5" s="22"/>
    </row>
    <row r="6" spans="1:8" x14ac:dyDescent="0.3">
      <c r="A6" s="21">
        <v>45828</v>
      </c>
      <c r="B6" s="27" t="s">
        <v>4</v>
      </c>
      <c r="C6" s="24">
        <v>-15.4</v>
      </c>
    </row>
    <row r="7" spans="1:8" x14ac:dyDescent="0.3">
      <c r="A7" s="21">
        <v>45912</v>
      </c>
      <c r="B7" s="27" t="s">
        <v>4</v>
      </c>
      <c r="C7" s="24">
        <v>-38.14</v>
      </c>
    </row>
    <row r="8" spans="1:8" x14ac:dyDescent="0.3">
      <c r="A8" s="21">
        <v>45912</v>
      </c>
      <c r="B8" s="27" t="s">
        <v>1</v>
      </c>
      <c r="C8" s="24">
        <v>20.8</v>
      </c>
    </row>
    <row r="9" spans="1:8" x14ac:dyDescent="0.3">
      <c r="A9" s="21">
        <v>45912</v>
      </c>
      <c r="B9" s="32" t="s">
        <v>21</v>
      </c>
      <c r="C9" s="24">
        <v>17.34</v>
      </c>
    </row>
    <row r="10" spans="1:8" x14ac:dyDescent="0.3">
      <c r="B10" s="31"/>
    </row>
    <row r="12" spans="1:8" x14ac:dyDescent="0.3">
      <c r="B12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ABFE-DA28-4B20-9792-0AD35CAA567A}">
  <dimension ref="A1:I30"/>
  <sheetViews>
    <sheetView view="pageBreakPreview" zoomScale="80" zoomScaleNormal="100" zoomScaleSheetLayoutView="80" workbookViewId="0">
      <selection activeCell="C31" sqref="C31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398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50.18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45870</v>
      </c>
      <c r="B5" s="34" t="s">
        <v>21</v>
      </c>
      <c r="C5" s="24">
        <v>48.78</v>
      </c>
      <c r="D5" s="30"/>
      <c r="E5" s="30"/>
      <c r="F5" s="30"/>
      <c r="G5" s="22"/>
    </row>
    <row r="6" spans="1:9" hidden="1" x14ac:dyDescent="0.3">
      <c r="A6" s="21">
        <v>45877</v>
      </c>
      <c r="B6" s="27" t="s">
        <v>7</v>
      </c>
      <c r="C6" s="24">
        <v>-8</v>
      </c>
    </row>
    <row r="7" spans="1:9" hidden="1" x14ac:dyDescent="0.3">
      <c r="A7" s="26">
        <v>45891</v>
      </c>
      <c r="B7" s="27" t="s">
        <v>7</v>
      </c>
      <c r="C7" s="24">
        <v>-40.799999999999997</v>
      </c>
    </row>
    <row r="8" spans="1:9" hidden="1" x14ac:dyDescent="0.3">
      <c r="A8" s="26">
        <v>45891</v>
      </c>
      <c r="B8" s="34" t="s">
        <v>21</v>
      </c>
      <c r="C8" s="24">
        <v>29.92</v>
      </c>
    </row>
    <row r="9" spans="1:9" hidden="1" x14ac:dyDescent="0.3">
      <c r="A9" s="26">
        <v>45898</v>
      </c>
      <c r="B9" s="27" t="s">
        <v>7</v>
      </c>
      <c r="C9" s="24">
        <v>-29.93</v>
      </c>
      <c r="I9" s="25"/>
    </row>
    <row r="10" spans="1:9" hidden="1" x14ac:dyDescent="0.3">
      <c r="A10" s="26">
        <v>45898</v>
      </c>
      <c r="B10" s="34" t="s">
        <v>1</v>
      </c>
      <c r="C10" s="24">
        <v>15.12</v>
      </c>
    </row>
    <row r="11" spans="1:9" hidden="1" x14ac:dyDescent="0.3">
      <c r="A11" s="26">
        <v>45912</v>
      </c>
      <c r="B11" s="27" t="s">
        <v>7</v>
      </c>
      <c r="C11" s="24">
        <v>-15.12</v>
      </c>
    </row>
    <row r="12" spans="1:9" hidden="1" x14ac:dyDescent="0.3">
      <c r="A12" s="26">
        <v>45912</v>
      </c>
      <c r="B12" s="32" t="s">
        <v>1</v>
      </c>
      <c r="C12" s="24">
        <v>15.85</v>
      </c>
    </row>
    <row r="13" spans="1:9" hidden="1" x14ac:dyDescent="0.3">
      <c r="A13" s="26">
        <v>45912</v>
      </c>
      <c r="B13" s="34" t="s">
        <v>1</v>
      </c>
      <c r="C13" s="24">
        <v>22.8</v>
      </c>
    </row>
    <row r="14" spans="1:9" hidden="1" x14ac:dyDescent="0.3">
      <c r="A14" s="26">
        <v>45926</v>
      </c>
      <c r="B14" s="27" t="s">
        <v>7</v>
      </c>
      <c r="C14" s="24">
        <v>-38.67</v>
      </c>
    </row>
    <row r="15" spans="1:9" hidden="1" x14ac:dyDescent="0.3">
      <c r="A15" s="26">
        <v>45926</v>
      </c>
      <c r="B15" s="34" t="s">
        <v>1</v>
      </c>
      <c r="C15" s="24">
        <v>23.42</v>
      </c>
    </row>
    <row r="16" spans="1:9" hidden="1" x14ac:dyDescent="0.3">
      <c r="A16" s="26">
        <v>45940</v>
      </c>
      <c r="B16" s="27" t="s">
        <v>7</v>
      </c>
      <c r="C16" s="24">
        <v>-23.42</v>
      </c>
    </row>
    <row r="17" spans="1:3" hidden="1" x14ac:dyDescent="0.3">
      <c r="A17" s="26">
        <v>45940</v>
      </c>
      <c r="B17" s="34" t="s">
        <v>1</v>
      </c>
      <c r="C17" s="24">
        <v>22.34</v>
      </c>
    </row>
    <row r="18" spans="1:3" hidden="1" x14ac:dyDescent="0.3">
      <c r="A18" s="26">
        <v>45961</v>
      </c>
      <c r="B18" s="27" t="s">
        <v>7</v>
      </c>
      <c r="C18" s="24">
        <v>-22.34</v>
      </c>
    </row>
    <row r="19" spans="1:3" hidden="1" x14ac:dyDescent="0.3">
      <c r="A19" s="26">
        <v>45961</v>
      </c>
      <c r="B19" s="32" t="s">
        <v>1</v>
      </c>
      <c r="C19" s="24">
        <v>16.38</v>
      </c>
    </row>
    <row r="20" spans="1:3" hidden="1" x14ac:dyDescent="0.3">
      <c r="A20" s="26">
        <v>45961</v>
      </c>
      <c r="B20" s="34" t="s">
        <v>1</v>
      </c>
      <c r="C20" s="24">
        <v>31.87</v>
      </c>
    </row>
    <row r="21" spans="1:3" hidden="1" x14ac:dyDescent="0.3">
      <c r="A21" s="26">
        <v>45975</v>
      </c>
      <c r="B21" s="27" t="s">
        <v>7</v>
      </c>
      <c r="C21" s="24">
        <v>-48.25</v>
      </c>
    </row>
    <row r="22" spans="1:3" hidden="1" x14ac:dyDescent="0.3">
      <c r="A22" s="26">
        <v>45975</v>
      </c>
      <c r="B22" s="27" t="s">
        <v>1</v>
      </c>
      <c r="C22" s="24">
        <v>21.95</v>
      </c>
    </row>
    <row r="23" spans="1:3" hidden="1" x14ac:dyDescent="0.3">
      <c r="A23" s="26">
        <v>45989</v>
      </c>
      <c r="B23" s="27" t="s">
        <v>7</v>
      </c>
      <c r="C23" s="24">
        <v>-21.96</v>
      </c>
    </row>
    <row r="24" spans="1:3" x14ac:dyDescent="0.3">
      <c r="A24" s="26">
        <v>45989</v>
      </c>
      <c r="B24" s="27" t="s">
        <v>1</v>
      </c>
      <c r="C24" s="24">
        <v>42.84</v>
      </c>
    </row>
    <row r="25" spans="1:3" x14ac:dyDescent="0.3">
      <c r="A25" s="26">
        <v>46003</v>
      </c>
      <c r="B25" s="27" t="s">
        <v>7</v>
      </c>
      <c r="C25" s="24">
        <v>-42.78</v>
      </c>
    </row>
    <row r="26" spans="1:3" x14ac:dyDescent="0.3">
      <c r="A26" s="26">
        <v>46003</v>
      </c>
      <c r="B26" s="27" t="s">
        <v>1</v>
      </c>
      <c r="C26" s="24">
        <v>30.75</v>
      </c>
    </row>
    <row r="27" spans="1:3" x14ac:dyDescent="0.3">
      <c r="A27" s="26">
        <v>46010</v>
      </c>
      <c r="B27" s="27" t="s">
        <v>7</v>
      </c>
      <c r="C27" s="24">
        <v>-30.75</v>
      </c>
    </row>
    <row r="28" spans="1:3" x14ac:dyDescent="0.3">
      <c r="A28" s="26">
        <v>46031</v>
      </c>
      <c r="B28" s="27" t="s">
        <v>1</v>
      </c>
      <c r="C28" s="24">
        <v>13.08</v>
      </c>
    </row>
    <row r="29" spans="1:3" x14ac:dyDescent="0.3">
      <c r="A29" s="26">
        <v>46052</v>
      </c>
      <c r="B29" s="27" t="s">
        <v>1</v>
      </c>
      <c r="C29" s="24">
        <v>50.2</v>
      </c>
    </row>
    <row r="30" spans="1:3" x14ac:dyDescent="0.3">
      <c r="A30" s="26">
        <v>46052</v>
      </c>
      <c r="B30" s="27" t="s">
        <v>7</v>
      </c>
      <c r="C30" s="24">
        <v>-13.1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C67C-1264-4AF3-9169-F26F42D46976}">
  <sheetPr codeName="Hoja9"/>
  <dimension ref="A1:I101"/>
  <sheetViews>
    <sheetView view="pageBreakPreview" zoomScale="80" zoomScaleNormal="100" zoomScaleSheetLayoutView="80" workbookViewId="0">
      <selection activeCell="C102" sqref="C10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123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336.13000000000005</v>
      </c>
      <c r="D3" s="20">
        <f>SUM(D$4:D$1048576)</f>
        <v>2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45815</v>
      </c>
      <c r="B5" s="32" t="s">
        <v>21</v>
      </c>
      <c r="C5" s="24">
        <v>12.7</v>
      </c>
      <c r="D5" s="30"/>
      <c r="E5" s="30"/>
      <c r="F5" s="30"/>
      <c r="G5" s="22"/>
    </row>
    <row r="6" spans="1:9" hidden="1" x14ac:dyDescent="0.3">
      <c r="A6" s="21">
        <v>45815</v>
      </c>
      <c r="B6" s="46" t="s">
        <v>21</v>
      </c>
      <c r="C6" s="24">
        <v>144</v>
      </c>
    </row>
    <row r="7" spans="1:9" hidden="1" x14ac:dyDescent="0.3">
      <c r="A7" s="26">
        <v>45821</v>
      </c>
      <c r="B7" s="27" t="s">
        <v>4</v>
      </c>
      <c r="C7" s="24">
        <v>-156.69999999999999</v>
      </c>
    </row>
    <row r="8" spans="1:9" hidden="1" x14ac:dyDescent="0.3">
      <c r="A8" s="26">
        <v>45828</v>
      </c>
      <c r="B8" s="32" t="s">
        <v>21</v>
      </c>
      <c r="C8" s="24">
        <v>28.55</v>
      </c>
    </row>
    <row r="9" spans="1:9" hidden="1" x14ac:dyDescent="0.3">
      <c r="A9" s="26">
        <v>45828</v>
      </c>
      <c r="B9" s="34" t="s">
        <v>21</v>
      </c>
      <c r="C9" s="24">
        <v>24.84</v>
      </c>
      <c r="I9" s="25"/>
    </row>
    <row r="10" spans="1:9" hidden="1" x14ac:dyDescent="0.3">
      <c r="A10" s="26">
        <v>45828</v>
      </c>
      <c r="B10" s="31" t="s">
        <v>1</v>
      </c>
      <c r="C10" s="24">
        <v>20.8</v>
      </c>
    </row>
    <row r="11" spans="1:9" hidden="1" x14ac:dyDescent="0.3">
      <c r="A11" s="26">
        <v>45835</v>
      </c>
      <c r="B11" s="27" t="s">
        <v>4</v>
      </c>
      <c r="C11" s="24">
        <v>-74.19</v>
      </c>
    </row>
    <row r="12" spans="1:9" hidden="1" x14ac:dyDescent="0.3">
      <c r="A12" s="26">
        <v>45835</v>
      </c>
      <c r="B12" s="31" t="s">
        <v>1</v>
      </c>
      <c r="C12" s="24">
        <v>145.6</v>
      </c>
    </row>
    <row r="13" spans="1:9" hidden="1" x14ac:dyDescent="0.3">
      <c r="A13" s="26">
        <v>45835</v>
      </c>
      <c r="B13" s="32" t="s">
        <v>21</v>
      </c>
      <c r="C13" s="24">
        <v>51.38</v>
      </c>
    </row>
    <row r="14" spans="1:9" hidden="1" x14ac:dyDescent="0.3">
      <c r="A14" s="26">
        <v>45835</v>
      </c>
      <c r="B14" s="34" t="s">
        <v>21</v>
      </c>
      <c r="C14" s="24">
        <v>9.4499999999999993</v>
      </c>
    </row>
    <row r="15" spans="1:9" hidden="1" x14ac:dyDescent="0.3">
      <c r="A15" s="26">
        <v>45842</v>
      </c>
      <c r="B15" s="27" t="s">
        <v>4</v>
      </c>
      <c r="C15" s="24">
        <v>-206.43</v>
      </c>
    </row>
    <row r="16" spans="1:9" hidden="1" x14ac:dyDescent="0.3">
      <c r="A16" s="26">
        <v>45842</v>
      </c>
      <c r="B16" s="32" t="s">
        <v>21</v>
      </c>
      <c r="C16" s="24">
        <v>34.04</v>
      </c>
    </row>
    <row r="17" spans="1:3" hidden="1" x14ac:dyDescent="0.3">
      <c r="A17" s="26">
        <v>45842</v>
      </c>
      <c r="B17" s="34" t="s">
        <v>21</v>
      </c>
      <c r="C17" s="24">
        <v>42.27</v>
      </c>
    </row>
    <row r="18" spans="1:3" hidden="1" x14ac:dyDescent="0.3">
      <c r="A18" s="26">
        <v>45842</v>
      </c>
      <c r="B18" s="27" t="s">
        <v>1</v>
      </c>
      <c r="C18" s="24">
        <v>205.6</v>
      </c>
    </row>
    <row r="19" spans="1:3" hidden="1" x14ac:dyDescent="0.3">
      <c r="A19" s="26">
        <v>45849</v>
      </c>
      <c r="B19" s="34" t="s">
        <v>21</v>
      </c>
      <c r="C19" s="24">
        <v>3.88</v>
      </c>
    </row>
    <row r="20" spans="1:3" hidden="1" x14ac:dyDescent="0.3">
      <c r="A20" s="26">
        <v>45849</v>
      </c>
      <c r="B20" s="27" t="s">
        <v>1</v>
      </c>
      <c r="C20" s="24">
        <v>62.4</v>
      </c>
    </row>
    <row r="21" spans="1:3" hidden="1" x14ac:dyDescent="0.3">
      <c r="A21" s="26">
        <v>45859</v>
      </c>
      <c r="B21" s="27" t="s">
        <v>4</v>
      </c>
      <c r="C21" s="24">
        <v>-284.91000000000003</v>
      </c>
    </row>
    <row r="22" spans="1:3" hidden="1" x14ac:dyDescent="0.3">
      <c r="A22" s="26">
        <v>45859</v>
      </c>
      <c r="B22" s="27" t="s">
        <v>4</v>
      </c>
      <c r="C22" s="24">
        <v>-66.28</v>
      </c>
    </row>
    <row r="23" spans="1:3" hidden="1" x14ac:dyDescent="0.3">
      <c r="A23" s="26">
        <v>45856</v>
      </c>
      <c r="B23" s="27" t="s">
        <v>1</v>
      </c>
      <c r="C23" s="24">
        <v>288.8</v>
      </c>
    </row>
    <row r="24" spans="1:3" hidden="1" x14ac:dyDescent="0.3">
      <c r="A24" s="26">
        <v>45856</v>
      </c>
      <c r="B24" s="34" t="s">
        <v>21</v>
      </c>
      <c r="C24" s="24">
        <v>17.16</v>
      </c>
    </row>
    <row r="25" spans="1:3" hidden="1" x14ac:dyDescent="0.3">
      <c r="A25" s="26">
        <v>45863</v>
      </c>
      <c r="B25" s="27" t="s">
        <v>4</v>
      </c>
      <c r="C25" s="24">
        <v>-305.95999999999998</v>
      </c>
    </row>
    <row r="26" spans="1:3" hidden="1" x14ac:dyDescent="0.3">
      <c r="A26" s="26">
        <v>45870</v>
      </c>
      <c r="B26" s="32" t="s">
        <v>21</v>
      </c>
      <c r="C26" s="24">
        <v>56.54</v>
      </c>
    </row>
    <row r="27" spans="1:3" hidden="1" x14ac:dyDescent="0.3">
      <c r="A27" s="26">
        <v>45870</v>
      </c>
      <c r="B27" s="34" t="s">
        <v>21</v>
      </c>
      <c r="C27" s="24">
        <v>22.82</v>
      </c>
    </row>
    <row r="28" spans="1:3" hidden="1" x14ac:dyDescent="0.3">
      <c r="A28" s="26">
        <v>45870</v>
      </c>
      <c r="B28" s="27" t="s">
        <v>1</v>
      </c>
      <c r="C28" s="24">
        <v>249.4</v>
      </c>
    </row>
    <row r="29" spans="1:3" hidden="1" x14ac:dyDescent="0.3">
      <c r="A29" s="26">
        <v>45877</v>
      </c>
      <c r="B29" s="27" t="s">
        <v>4</v>
      </c>
      <c r="C29" s="24">
        <v>-328.76</v>
      </c>
    </row>
    <row r="30" spans="1:3" hidden="1" x14ac:dyDescent="0.3">
      <c r="A30" s="26">
        <v>45877</v>
      </c>
      <c r="B30" s="32" t="s">
        <v>21</v>
      </c>
      <c r="C30" s="24">
        <v>36.94</v>
      </c>
    </row>
    <row r="31" spans="1:3" hidden="1" x14ac:dyDescent="0.3">
      <c r="A31" s="26">
        <v>45877</v>
      </c>
      <c r="B31" s="34" t="s">
        <v>21</v>
      </c>
      <c r="C31" s="24">
        <v>18.97</v>
      </c>
    </row>
    <row r="32" spans="1:3" hidden="1" x14ac:dyDescent="0.3">
      <c r="A32" s="26">
        <v>45877</v>
      </c>
      <c r="B32" s="46" t="s">
        <v>21</v>
      </c>
      <c r="C32" s="24">
        <v>3.21</v>
      </c>
    </row>
    <row r="33" spans="1:3" hidden="1" x14ac:dyDescent="0.3">
      <c r="A33" s="26">
        <v>45877</v>
      </c>
      <c r="B33" s="27" t="s">
        <v>1</v>
      </c>
      <c r="C33" s="24">
        <v>247.2</v>
      </c>
    </row>
    <row r="34" spans="1:3" hidden="1" x14ac:dyDescent="0.3">
      <c r="A34" s="26">
        <v>45884</v>
      </c>
      <c r="B34" s="32" t="s">
        <v>21</v>
      </c>
      <c r="C34" s="24">
        <v>15.85</v>
      </c>
    </row>
    <row r="35" spans="1:3" hidden="1" x14ac:dyDescent="0.3">
      <c r="A35" s="26">
        <v>45884</v>
      </c>
      <c r="B35" s="34" t="s">
        <v>21</v>
      </c>
      <c r="C35" s="24">
        <v>2.68</v>
      </c>
    </row>
    <row r="36" spans="1:3" hidden="1" x14ac:dyDescent="0.3">
      <c r="A36" s="26">
        <v>45884</v>
      </c>
      <c r="B36" s="27" t="s">
        <v>1</v>
      </c>
      <c r="C36" s="24">
        <v>122.4</v>
      </c>
    </row>
    <row r="37" spans="1:3" hidden="1" x14ac:dyDescent="0.3">
      <c r="A37" s="26">
        <v>45891</v>
      </c>
      <c r="B37" s="27" t="s">
        <v>4</v>
      </c>
      <c r="C37" s="24">
        <v>-306.32</v>
      </c>
    </row>
    <row r="38" spans="1:3" hidden="1" x14ac:dyDescent="0.3">
      <c r="A38" s="26">
        <v>45891</v>
      </c>
      <c r="B38" s="27" t="s">
        <v>4</v>
      </c>
      <c r="C38" s="24">
        <v>-140.93</v>
      </c>
    </row>
    <row r="39" spans="1:3" hidden="1" x14ac:dyDescent="0.3">
      <c r="A39" s="26">
        <v>45891</v>
      </c>
      <c r="B39" s="32" t="s">
        <v>21</v>
      </c>
      <c r="C39" s="24">
        <v>52.05</v>
      </c>
    </row>
    <row r="40" spans="1:3" hidden="1" x14ac:dyDescent="0.3">
      <c r="A40" s="26">
        <v>45891</v>
      </c>
      <c r="B40" s="27" t="s">
        <v>1</v>
      </c>
      <c r="C40" s="24">
        <v>249.6</v>
      </c>
    </row>
    <row r="41" spans="1:3" hidden="1" x14ac:dyDescent="0.3">
      <c r="A41" s="26">
        <v>45897</v>
      </c>
      <c r="B41" s="27" t="s">
        <v>4</v>
      </c>
      <c r="C41" s="24">
        <v>-298.64999999999998</v>
      </c>
    </row>
    <row r="42" spans="1:3" hidden="1" x14ac:dyDescent="0.3">
      <c r="A42" s="26">
        <v>45898</v>
      </c>
      <c r="B42" s="32" t="s">
        <v>21</v>
      </c>
      <c r="C42" s="24">
        <v>15.85</v>
      </c>
    </row>
    <row r="43" spans="1:3" hidden="1" x14ac:dyDescent="0.3">
      <c r="A43" s="26">
        <v>45898</v>
      </c>
      <c r="B43" s="34" t="s">
        <v>21</v>
      </c>
      <c r="C43" s="24">
        <v>18.18</v>
      </c>
    </row>
    <row r="44" spans="1:3" hidden="1" x14ac:dyDescent="0.3">
      <c r="A44" s="26">
        <v>45898</v>
      </c>
      <c r="B44" s="27" t="s">
        <v>1</v>
      </c>
      <c r="C44" s="24">
        <v>203.2</v>
      </c>
    </row>
    <row r="45" spans="1:3" hidden="1" x14ac:dyDescent="0.3">
      <c r="A45" s="26">
        <v>45905</v>
      </c>
      <c r="B45" s="27" t="s">
        <v>4</v>
      </c>
      <c r="C45" s="24">
        <v>-237.23</v>
      </c>
    </row>
    <row r="46" spans="1:3" hidden="1" x14ac:dyDescent="0.3">
      <c r="A46" s="26">
        <v>45905</v>
      </c>
      <c r="B46" s="32" t="s">
        <v>21</v>
      </c>
      <c r="C46" s="24">
        <v>25.69</v>
      </c>
    </row>
    <row r="47" spans="1:3" hidden="1" x14ac:dyDescent="0.3">
      <c r="A47" s="26">
        <v>45905</v>
      </c>
      <c r="B47" s="34" t="s">
        <v>21</v>
      </c>
      <c r="C47" s="24">
        <v>19.8</v>
      </c>
    </row>
    <row r="48" spans="1:3" hidden="1" x14ac:dyDescent="0.3">
      <c r="A48" s="26">
        <v>45905</v>
      </c>
      <c r="B48" s="27" t="s">
        <v>1</v>
      </c>
      <c r="C48" s="24">
        <v>145.6</v>
      </c>
    </row>
    <row r="49" spans="1:4" hidden="1" x14ac:dyDescent="0.3">
      <c r="A49" s="26">
        <v>45912</v>
      </c>
      <c r="B49" s="27" t="s">
        <v>4</v>
      </c>
      <c r="C49" s="24">
        <v>-191.09</v>
      </c>
    </row>
    <row r="50" spans="1:4" hidden="1" x14ac:dyDescent="0.3">
      <c r="A50" s="26">
        <v>45912</v>
      </c>
      <c r="B50" s="27" t="s">
        <v>1</v>
      </c>
      <c r="C50" s="24">
        <v>164</v>
      </c>
    </row>
    <row r="51" spans="1:4" hidden="1" x14ac:dyDescent="0.3">
      <c r="A51" s="26">
        <v>45919</v>
      </c>
      <c r="B51" s="27" t="s">
        <v>4</v>
      </c>
      <c r="C51" s="24">
        <v>-164</v>
      </c>
    </row>
    <row r="52" spans="1:4" hidden="1" x14ac:dyDescent="0.3">
      <c r="A52" s="26">
        <v>45919</v>
      </c>
      <c r="B52" s="27" t="s">
        <v>4</v>
      </c>
      <c r="C52" s="24">
        <v>-468.75</v>
      </c>
    </row>
    <row r="53" spans="1:4" hidden="1" x14ac:dyDescent="0.3">
      <c r="A53" s="26">
        <v>45919</v>
      </c>
      <c r="B53" s="32" t="s">
        <v>21</v>
      </c>
      <c r="C53" s="24">
        <v>60.15</v>
      </c>
    </row>
    <row r="54" spans="1:4" hidden="1" x14ac:dyDescent="0.3">
      <c r="A54" s="26">
        <v>45919</v>
      </c>
      <c r="B54" s="34" t="s">
        <v>21</v>
      </c>
      <c r="C54" s="24">
        <v>161.4</v>
      </c>
    </row>
    <row r="55" spans="1:4" hidden="1" x14ac:dyDescent="0.3">
      <c r="A55" s="26">
        <v>45919</v>
      </c>
      <c r="B55" s="27" t="s">
        <v>1</v>
      </c>
      <c r="C55" s="24">
        <v>247.2</v>
      </c>
    </row>
    <row r="56" spans="1:4" hidden="1" x14ac:dyDescent="0.3">
      <c r="A56" s="26">
        <v>45926</v>
      </c>
      <c r="B56" s="32" t="s">
        <v>21</v>
      </c>
      <c r="C56" s="24">
        <v>15</v>
      </c>
    </row>
    <row r="57" spans="1:4" hidden="1" x14ac:dyDescent="0.3">
      <c r="A57" s="26">
        <v>45926</v>
      </c>
      <c r="B57" s="27" t="s">
        <v>1</v>
      </c>
      <c r="C57" s="24">
        <v>206.2</v>
      </c>
    </row>
    <row r="58" spans="1:4" hidden="1" x14ac:dyDescent="0.3">
      <c r="A58" s="26">
        <v>45933</v>
      </c>
      <c r="B58" s="27" t="s">
        <v>4</v>
      </c>
      <c r="C58" s="24">
        <v>-221.2</v>
      </c>
    </row>
    <row r="59" spans="1:4" hidden="1" x14ac:dyDescent="0.3">
      <c r="A59" s="26">
        <v>45933</v>
      </c>
      <c r="B59" s="32" t="s">
        <v>21</v>
      </c>
      <c r="C59" s="24">
        <v>27.85</v>
      </c>
      <c r="D59" s="25">
        <v>1</v>
      </c>
    </row>
    <row r="60" spans="1:4" hidden="1" x14ac:dyDescent="0.3">
      <c r="A60" s="26">
        <v>45933</v>
      </c>
      <c r="B60" s="34" t="s">
        <v>21</v>
      </c>
      <c r="C60" s="24">
        <v>94.12</v>
      </c>
    </row>
    <row r="61" spans="1:4" hidden="1" x14ac:dyDescent="0.3">
      <c r="A61" s="26">
        <v>45933</v>
      </c>
      <c r="B61" s="27" t="s">
        <v>1</v>
      </c>
      <c r="C61" s="24">
        <v>184.8</v>
      </c>
    </row>
    <row r="62" spans="1:4" hidden="1" x14ac:dyDescent="0.3">
      <c r="A62" s="26">
        <v>45940</v>
      </c>
      <c r="B62" s="27" t="s">
        <v>4</v>
      </c>
      <c r="C62" s="24">
        <v>-306.77</v>
      </c>
    </row>
    <row r="63" spans="1:4" hidden="1" x14ac:dyDescent="0.3">
      <c r="A63" s="26">
        <v>45940</v>
      </c>
      <c r="B63" s="27" t="s">
        <v>1</v>
      </c>
      <c r="C63" s="24">
        <v>230</v>
      </c>
    </row>
    <row r="64" spans="1:4" hidden="1" x14ac:dyDescent="0.3">
      <c r="A64" s="26">
        <v>45947</v>
      </c>
      <c r="B64" s="27" t="s">
        <v>4</v>
      </c>
      <c r="C64" s="24">
        <v>-489.02</v>
      </c>
    </row>
    <row r="65" spans="1:4" hidden="1" x14ac:dyDescent="0.3">
      <c r="A65" s="26">
        <v>45947</v>
      </c>
      <c r="B65" s="32" t="s">
        <v>21</v>
      </c>
      <c r="C65" s="24">
        <v>32.76</v>
      </c>
    </row>
    <row r="66" spans="1:4" hidden="1" x14ac:dyDescent="0.3">
      <c r="A66" s="26">
        <v>45947</v>
      </c>
      <c r="B66" s="34" t="s">
        <v>21</v>
      </c>
      <c r="C66" s="24">
        <v>70.2</v>
      </c>
    </row>
    <row r="67" spans="1:4" hidden="1" x14ac:dyDescent="0.3">
      <c r="A67" s="26">
        <v>45947</v>
      </c>
      <c r="B67" s="27" t="s">
        <v>1</v>
      </c>
      <c r="C67" s="24">
        <v>386.06</v>
      </c>
    </row>
    <row r="68" spans="1:4" hidden="1" x14ac:dyDescent="0.3">
      <c r="A68" s="26">
        <v>45954</v>
      </c>
      <c r="B68" s="27" t="s">
        <v>4</v>
      </c>
      <c r="C68" s="24">
        <v>-230</v>
      </c>
    </row>
    <row r="69" spans="1:4" hidden="1" x14ac:dyDescent="0.3">
      <c r="A69" s="26">
        <v>45954</v>
      </c>
      <c r="B69" s="32" t="s">
        <v>21</v>
      </c>
      <c r="C69" s="24">
        <v>37.979999999999997</v>
      </c>
    </row>
    <row r="70" spans="1:4" hidden="1" x14ac:dyDescent="0.3">
      <c r="A70" s="26">
        <v>45954</v>
      </c>
      <c r="B70" s="34" t="s">
        <v>21</v>
      </c>
      <c r="C70" s="24">
        <v>47.2</v>
      </c>
    </row>
    <row r="71" spans="1:4" hidden="1" x14ac:dyDescent="0.3">
      <c r="A71" s="26">
        <v>45954</v>
      </c>
      <c r="B71" s="27" t="s">
        <v>1</v>
      </c>
      <c r="C71" s="24">
        <v>69</v>
      </c>
    </row>
    <row r="72" spans="1:4" hidden="1" x14ac:dyDescent="0.3">
      <c r="A72" s="26">
        <v>45957</v>
      </c>
      <c r="B72" s="27" t="s">
        <v>4</v>
      </c>
      <c r="C72" s="24">
        <v>-154.18</v>
      </c>
    </row>
    <row r="73" spans="1:4" hidden="1" x14ac:dyDescent="0.3">
      <c r="A73" s="26">
        <v>45961</v>
      </c>
      <c r="B73" s="32" t="s">
        <v>21</v>
      </c>
      <c r="C73" s="24">
        <v>49.12</v>
      </c>
    </row>
    <row r="74" spans="1:4" hidden="1" x14ac:dyDescent="0.3">
      <c r="A74" s="26">
        <v>45961</v>
      </c>
      <c r="B74" s="34" t="s">
        <v>21</v>
      </c>
      <c r="C74" s="24">
        <v>183.96</v>
      </c>
    </row>
    <row r="75" spans="1:4" hidden="1" x14ac:dyDescent="0.3">
      <c r="A75" s="26">
        <v>45961</v>
      </c>
      <c r="B75" s="27" t="s">
        <v>1</v>
      </c>
      <c r="C75" s="24">
        <v>230</v>
      </c>
    </row>
    <row r="76" spans="1:4" hidden="1" x14ac:dyDescent="0.3">
      <c r="A76" s="26">
        <v>45968</v>
      </c>
      <c r="B76" s="27" t="s">
        <v>4</v>
      </c>
      <c r="C76" s="24">
        <v>-463.08</v>
      </c>
    </row>
    <row r="77" spans="1:4" x14ac:dyDescent="0.3">
      <c r="A77" s="26">
        <v>45968</v>
      </c>
      <c r="B77" s="32" t="s">
        <v>21</v>
      </c>
      <c r="C77" s="24">
        <v>16.38</v>
      </c>
    </row>
    <row r="78" spans="1:4" x14ac:dyDescent="0.3">
      <c r="A78" s="26">
        <v>45968</v>
      </c>
      <c r="B78" s="27" t="s">
        <v>1</v>
      </c>
      <c r="C78" s="24">
        <v>158.53</v>
      </c>
    </row>
    <row r="79" spans="1:4" x14ac:dyDescent="0.3">
      <c r="A79" s="26">
        <v>45975</v>
      </c>
      <c r="B79" s="27" t="s">
        <v>4</v>
      </c>
      <c r="C79" s="24">
        <v>-182.41</v>
      </c>
    </row>
    <row r="80" spans="1:4" x14ac:dyDescent="0.3">
      <c r="A80" s="26">
        <v>45975</v>
      </c>
      <c r="B80" s="27" t="s">
        <v>1</v>
      </c>
      <c r="C80" s="24">
        <v>231.71</v>
      </c>
      <c r="D80" s="25">
        <v>1</v>
      </c>
    </row>
    <row r="81" spans="1:3" x14ac:dyDescent="0.3">
      <c r="A81" s="26">
        <v>45982</v>
      </c>
      <c r="B81" s="27" t="s">
        <v>1</v>
      </c>
      <c r="C81" s="24">
        <v>361.52</v>
      </c>
    </row>
    <row r="82" spans="1:3" x14ac:dyDescent="0.3">
      <c r="A82" s="26">
        <v>45985</v>
      </c>
      <c r="B82" s="27" t="s">
        <v>4</v>
      </c>
      <c r="C82" s="24">
        <v>-230.25</v>
      </c>
    </row>
    <row r="83" spans="1:3" x14ac:dyDescent="0.3">
      <c r="A83" s="26">
        <v>45989</v>
      </c>
      <c r="B83" s="27" t="s">
        <v>4</v>
      </c>
      <c r="C83" s="24">
        <v>-361.52</v>
      </c>
    </row>
    <row r="84" spans="1:3" x14ac:dyDescent="0.3">
      <c r="A84" s="26">
        <v>45989</v>
      </c>
      <c r="B84" s="27" t="s">
        <v>1</v>
      </c>
      <c r="C84" s="24">
        <v>302.67</v>
      </c>
    </row>
    <row r="85" spans="1:3" x14ac:dyDescent="0.3">
      <c r="A85" s="26">
        <v>45998</v>
      </c>
      <c r="B85" s="27" t="s">
        <v>4</v>
      </c>
      <c r="C85" s="24">
        <v>-302.67</v>
      </c>
    </row>
    <row r="86" spans="1:3" x14ac:dyDescent="0.3">
      <c r="A86" s="26">
        <v>45996</v>
      </c>
      <c r="B86" s="27" t="s">
        <v>1</v>
      </c>
      <c r="C86" s="24">
        <v>431.36</v>
      </c>
    </row>
    <row r="87" spans="1:3" x14ac:dyDescent="0.3">
      <c r="A87" s="26">
        <v>46003</v>
      </c>
      <c r="B87" s="27" t="s">
        <v>1</v>
      </c>
      <c r="C87" s="24">
        <v>332.49</v>
      </c>
    </row>
    <row r="88" spans="1:3" x14ac:dyDescent="0.3">
      <c r="A88" s="26">
        <v>46004</v>
      </c>
      <c r="B88" s="27" t="s">
        <v>4</v>
      </c>
      <c r="C88" s="24">
        <v>-25.14</v>
      </c>
    </row>
    <row r="89" spans="1:3" x14ac:dyDescent="0.3">
      <c r="A89" s="26">
        <v>46010</v>
      </c>
      <c r="B89" s="27" t="s">
        <v>4</v>
      </c>
      <c r="C89" s="24">
        <v>-406.22</v>
      </c>
    </row>
    <row r="90" spans="1:3" x14ac:dyDescent="0.3">
      <c r="A90" s="26">
        <v>46010</v>
      </c>
      <c r="B90" s="27" t="s">
        <v>4</v>
      </c>
      <c r="C90" s="24">
        <v>-332.49</v>
      </c>
    </row>
    <row r="91" spans="1:3" x14ac:dyDescent="0.3">
      <c r="A91" s="26">
        <v>46010</v>
      </c>
      <c r="B91" s="27" t="s">
        <v>1</v>
      </c>
      <c r="C91" s="24">
        <v>488.79</v>
      </c>
    </row>
    <row r="92" spans="1:3" x14ac:dyDescent="0.3">
      <c r="A92" s="26">
        <v>46017</v>
      </c>
      <c r="B92" s="27" t="s">
        <v>4</v>
      </c>
      <c r="C92" s="24">
        <v>-488.79</v>
      </c>
    </row>
    <row r="93" spans="1:3" x14ac:dyDescent="0.3">
      <c r="A93" s="26">
        <v>46017</v>
      </c>
      <c r="B93" s="27" t="s">
        <v>4</v>
      </c>
      <c r="C93" s="24">
        <v>-508.53</v>
      </c>
    </row>
    <row r="94" spans="1:3" x14ac:dyDescent="0.3">
      <c r="A94" s="26">
        <v>46017</v>
      </c>
      <c r="B94" s="27" t="s">
        <v>1</v>
      </c>
      <c r="C94" s="24">
        <v>849.61</v>
      </c>
    </row>
    <row r="95" spans="1:3" x14ac:dyDescent="0.3">
      <c r="A95" s="26">
        <v>46038</v>
      </c>
      <c r="B95" s="27" t="s">
        <v>4</v>
      </c>
      <c r="C95" s="24">
        <v>-335.04</v>
      </c>
    </row>
    <row r="96" spans="1:3" x14ac:dyDescent="0.3">
      <c r="A96" s="26">
        <v>46038</v>
      </c>
      <c r="B96" s="27" t="s">
        <v>1</v>
      </c>
      <c r="C96" s="24">
        <v>385.61</v>
      </c>
    </row>
    <row r="97" spans="1:3" x14ac:dyDescent="0.3">
      <c r="A97" s="26">
        <v>46045</v>
      </c>
      <c r="B97" s="27" t="s">
        <v>4</v>
      </c>
      <c r="C97" s="24">
        <v>-283.52</v>
      </c>
    </row>
    <row r="98" spans="1:3" x14ac:dyDescent="0.3">
      <c r="A98" s="26">
        <v>46045</v>
      </c>
      <c r="B98" s="27" t="s">
        <v>4</v>
      </c>
      <c r="C98" s="24">
        <v>-102.09</v>
      </c>
    </row>
    <row r="99" spans="1:3" x14ac:dyDescent="0.3">
      <c r="A99" s="26">
        <v>46045</v>
      </c>
      <c r="B99" s="27" t="s">
        <v>1</v>
      </c>
      <c r="C99" s="24">
        <v>260.04000000000002</v>
      </c>
    </row>
    <row r="100" spans="1:3" x14ac:dyDescent="0.3">
      <c r="A100" s="26">
        <v>46052</v>
      </c>
      <c r="B100" s="27" t="s">
        <v>4</v>
      </c>
      <c r="C100" s="24">
        <v>-260.04000000000002</v>
      </c>
    </row>
    <row r="101" spans="1:3" x14ac:dyDescent="0.3">
      <c r="A101" s="26">
        <v>46052</v>
      </c>
      <c r="B101" s="27" t="s">
        <v>1</v>
      </c>
      <c r="C101" s="24">
        <v>336.13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C9D1A-5B9F-4CD1-AFB5-76997EB96CA9}">
  <dimension ref="A1:H44"/>
  <sheetViews>
    <sheetView view="pageBreakPreview" zoomScale="80" zoomScaleNormal="100" zoomScaleSheetLayoutView="80" workbookViewId="0">
      <selection activeCell="C45" sqref="C4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465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466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54.71999999999997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45932</v>
      </c>
      <c r="B5" s="32" t="s">
        <v>21</v>
      </c>
      <c r="C5" s="24">
        <v>25.45</v>
      </c>
      <c r="D5" s="30"/>
      <c r="E5" s="30"/>
      <c r="F5" s="30"/>
      <c r="G5" s="22"/>
    </row>
    <row r="6" spans="1:8" hidden="1" x14ac:dyDescent="0.3">
      <c r="A6" s="21">
        <v>45932</v>
      </c>
      <c r="B6" s="34" t="s">
        <v>1</v>
      </c>
      <c r="C6" s="24">
        <v>29.18</v>
      </c>
    </row>
    <row r="7" spans="1:8" hidden="1" x14ac:dyDescent="0.3">
      <c r="A7" s="26">
        <v>45939</v>
      </c>
      <c r="B7" s="27" t="s">
        <v>4</v>
      </c>
      <c r="C7" s="24">
        <v>-54.63</v>
      </c>
    </row>
    <row r="8" spans="1:8" hidden="1" x14ac:dyDescent="0.3">
      <c r="A8" s="26">
        <v>45939</v>
      </c>
      <c r="B8" s="32" t="s">
        <v>1</v>
      </c>
      <c r="C8" s="24">
        <v>25.98</v>
      </c>
    </row>
    <row r="9" spans="1:8" hidden="1" x14ac:dyDescent="0.3">
      <c r="A9" s="26">
        <v>45939</v>
      </c>
      <c r="B9" s="34" t="s">
        <v>1</v>
      </c>
      <c r="C9" s="24">
        <v>21.27</v>
      </c>
    </row>
    <row r="10" spans="1:8" hidden="1" x14ac:dyDescent="0.3">
      <c r="A10" s="26">
        <v>45946</v>
      </c>
      <c r="B10" s="27" t="s">
        <v>4</v>
      </c>
      <c r="C10" s="24">
        <v>-46.7</v>
      </c>
    </row>
    <row r="11" spans="1:8" hidden="1" x14ac:dyDescent="0.3">
      <c r="A11" s="26">
        <v>45946</v>
      </c>
      <c r="B11" s="32" t="s">
        <v>1</v>
      </c>
      <c r="C11" s="24">
        <v>16.38</v>
      </c>
    </row>
    <row r="12" spans="1:8" hidden="1" x14ac:dyDescent="0.3">
      <c r="A12" s="26">
        <v>45946</v>
      </c>
      <c r="B12" s="34" t="s">
        <v>1</v>
      </c>
      <c r="C12" s="24">
        <v>34.29</v>
      </c>
    </row>
    <row r="13" spans="1:8" hidden="1" x14ac:dyDescent="0.3">
      <c r="A13" s="26">
        <v>45952</v>
      </c>
      <c r="B13" s="27" t="s">
        <v>4</v>
      </c>
      <c r="C13" s="24">
        <v>-50.67</v>
      </c>
    </row>
    <row r="14" spans="1:8" hidden="1" x14ac:dyDescent="0.3">
      <c r="A14" s="26">
        <v>45953</v>
      </c>
      <c r="B14" s="32" t="s">
        <v>1</v>
      </c>
      <c r="C14" s="24">
        <v>25.98</v>
      </c>
    </row>
    <row r="15" spans="1:8" hidden="1" x14ac:dyDescent="0.3">
      <c r="A15" s="26">
        <v>45953</v>
      </c>
      <c r="B15" s="34" t="s">
        <v>1</v>
      </c>
      <c r="C15" s="24">
        <v>25.71</v>
      </c>
    </row>
    <row r="16" spans="1:8" hidden="1" x14ac:dyDescent="0.3">
      <c r="A16" s="26">
        <v>45959</v>
      </c>
      <c r="B16" s="27" t="s">
        <v>4</v>
      </c>
      <c r="C16" s="24">
        <v>-52.24</v>
      </c>
    </row>
    <row r="17" spans="1:3" hidden="1" x14ac:dyDescent="0.3">
      <c r="A17" s="26">
        <v>45960</v>
      </c>
      <c r="B17" s="32" t="s">
        <v>1</v>
      </c>
      <c r="C17" s="24">
        <v>26.38</v>
      </c>
    </row>
    <row r="18" spans="1:3" hidden="1" x14ac:dyDescent="0.3">
      <c r="A18" s="26">
        <v>45960</v>
      </c>
      <c r="B18" s="34" t="s">
        <v>1</v>
      </c>
      <c r="C18" s="24">
        <v>33.54</v>
      </c>
    </row>
    <row r="19" spans="1:3" hidden="1" x14ac:dyDescent="0.3">
      <c r="A19" s="26">
        <v>45966</v>
      </c>
      <c r="B19" s="27" t="s">
        <v>4</v>
      </c>
      <c r="C19" s="24">
        <v>-59.92</v>
      </c>
    </row>
    <row r="20" spans="1:3" hidden="1" x14ac:dyDescent="0.3">
      <c r="A20" s="26">
        <v>45967</v>
      </c>
      <c r="B20" s="32" t="s">
        <v>1</v>
      </c>
      <c r="C20" s="24">
        <v>34.18</v>
      </c>
    </row>
    <row r="21" spans="1:3" hidden="1" x14ac:dyDescent="0.3">
      <c r="A21" s="26">
        <v>45967</v>
      </c>
      <c r="B21" s="34" t="s">
        <v>1</v>
      </c>
      <c r="C21" s="24">
        <v>26.89</v>
      </c>
    </row>
    <row r="22" spans="1:3" hidden="1" x14ac:dyDescent="0.3">
      <c r="A22" s="26">
        <v>45973</v>
      </c>
      <c r="B22" s="27" t="s">
        <v>4</v>
      </c>
      <c r="C22" s="24">
        <v>-61.07</v>
      </c>
    </row>
    <row r="23" spans="1:3" hidden="1" x14ac:dyDescent="0.3">
      <c r="A23" s="26">
        <v>45974</v>
      </c>
      <c r="B23" s="27" t="s">
        <v>1</v>
      </c>
      <c r="C23" s="24">
        <v>44.54</v>
      </c>
    </row>
    <row r="24" spans="1:3" hidden="1" x14ac:dyDescent="0.3">
      <c r="A24" s="26">
        <v>45978</v>
      </c>
      <c r="B24" s="27" t="s">
        <v>4</v>
      </c>
      <c r="C24" s="24">
        <v>-44.54</v>
      </c>
    </row>
    <row r="25" spans="1:3" hidden="1" x14ac:dyDescent="0.3">
      <c r="A25" s="26">
        <v>45981</v>
      </c>
      <c r="B25" s="27" t="s">
        <v>1</v>
      </c>
      <c r="C25" s="24">
        <v>62.46</v>
      </c>
    </row>
    <row r="26" spans="1:3" hidden="1" x14ac:dyDescent="0.3">
      <c r="A26" s="26">
        <v>45986</v>
      </c>
      <c r="B26" s="27" t="s">
        <v>4</v>
      </c>
      <c r="C26" s="24">
        <v>-62.46</v>
      </c>
    </row>
    <row r="27" spans="1:3" x14ac:dyDescent="0.3">
      <c r="A27" s="26">
        <v>45988</v>
      </c>
      <c r="B27" s="27" t="s">
        <v>1</v>
      </c>
      <c r="C27" s="24">
        <v>54.14</v>
      </c>
    </row>
    <row r="28" spans="1:3" x14ac:dyDescent="0.3">
      <c r="A28" s="26">
        <v>45993</v>
      </c>
      <c r="B28" s="27" t="s">
        <v>4</v>
      </c>
      <c r="C28" s="24">
        <v>-54.14</v>
      </c>
    </row>
    <row r="29" spans="1:3" x14ac:dyDescent="0.3">
      <c r="A29" s="26">
        <v>45995</v>
      </c>
      <c r="B29" s="27" t="s">
        <v>1</v>
      </c>
      <c r="C29" s="24">
        <v>51.72</v>
      </c>
    </row>
    <row r="30" spans="1:3" x14ac:dyDescent="0.3">
      <c r="A30" s="26">
        <v>46000</v>
      </c>
      <c r="B30" s="27" t="s">
        <v>4</v>
      </c>
      <c r="C30" s="24">
        <v>-51.72</v>
      </c>
    </row>
    <row r="31" spans="1:3" x14ac:dyDescent="0.3">
      <c r="A31" s="26">
        <v>46002</v>
      </c>
      <c r="B31" s="27" t="s">
        <v>1</v>
      </c>
      <c r="C31" s="24">
        <v>65.099999999999994</v>
      </c>
    </row>
    <row r="32" spans="1:3" x14ac:dyDescent="0.3">
      <c r="A32" s="26">
        <v>46003</v>
      </c>
      <c r="B32" s="27" t="s">
        <v>4</v>
      </c>
      <c r="C32" s="24">
        <v>-65.099999999999994</v>
      </c>
    </row>
    <row r="33" spans="1:3" x14ac:dyDescent="0.3">
      <c r="A33" s="26">
        <v>46009</v>
      </c>
      <c r="B33" s="27" t="s">
        <v>1</v>
      </c>
      <c r="C33" s="24">
        <v>54.38</v>
      </c>
    </row>
    <row r="34" spans="1:3" x14ac:dyDescent="0.3">
      <c r="A34" s="26">
        <v>46010</v>
      </c>
      <c r="B34" s="27" t="s">
        <v>1</v>
      </c>
      <c r="C34" s="24">
        <v>13.5</v>
      </c>
    </row>
    <row r="35" spans="1:3" x14ac:dyDescent="0.3">
      <c r="A35" s="26">
        <v>46014</v>
      </c>
      <c r="B35" s="27" t="s">
        <v>4</v>
      </c>
      <c r="C35" s="24">
        <v>-67.88</v>
      </c>
    </row>
    <row r="36" spans="1:3" x14ac:dyDescent="0.3">
      <c r="A36" s="26">
        <v>46020</v>
      </c>
      <c r="B36" s="27" t="s">
        <v>4</v>
      </c>
      <c r="C36" s="24">
        <v>-61.42</v>
      </c>
    </row>
    <row r="37" spans="1:3" x14ac:dyDescent="0.3">
      <c r="A37" s="26">
        <v>46020</v>
      </c>
      <c r="B37" s="27" t="s">
        <v>1</v>
      </c>
      <c r="C37" s="24">
        <v>61.42</v>
      </c>
    </row>
    <row r="38" spans="1:3" x14ac:dyDescent="0.3">
      <c r="A38" s="26">
        <v>46030</v>
      </c>
      <c r="B38" s="27" t="s">
        <v>1</v>
      </c>
      <c r="C38" s="24">
        <v>79.459999999999994</v>
      </c>
    </row>
    <row r="39" spans="1:3" x14ac:dyDescent="0.3">
      <c r="A39" s="26">
        <v>46036</v>
      </c>
      <c r="B39" s="27" t="s">
        <v>4</v>
      </c>
      <c r="C39" s="24">
        <v>-79.459999999999994</v>
      </c>
    </row>
    <row r="40" spans="1:3" x14ac:dyDescent="0.3">
      <c r="A40" s="26">
        <v>46037</v>
      </c>
      <c r="B40" s="27" t="s">
        <v>1</v>
      </c>
      <c r="C40" s="24">
        <v>51.54</v>
      </c>
    </row>
    <row r="41" spans="1:3" x14ac:dyDescent="0.3">
      <c r="A41" s="26">
        <v>46038</v>
      </c>
      <c r="B41" s="27" t="s">
        <v>4</v>
      </c>
      <c r="C41" s="24">
        <v>-51.54</v>
      </c>
    </row>
    <row r="42" spans="1:3" x14ac:dyDescent="0.3">
      <c r="A42" s="26">
        <v>46044</v>
      </c>
      <c r="B42" s="27" t="s">
        <v>1</v>
      </c>
      <c r="C42" s="24">
        <v>55.7</v>
      </c>
    </row>
    <row r="43" spans="1:3" x14ac:dyDescent="0.3">
      <c r="A43" s="26">
        <v>46048</v>
      </c>
      <c r="B43" s="27" t="s">
        <v>4</v>
      </c>
      <c r="C43" s="24">
        <v>-55.7</v>
      </c>
    </row>
    <row r="44" spans="1:3" x14ac:dyDescent="0.3">
      <c r="A44" s="26">
        <v>46051</v>
      </c>
      <c r="B44" s="27" t="s">
        <v>1</v>
      </c>
      <c r="C44" s="24">
        <v>54.72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60FCF-7DEE-4B23-A319-AF5A08C79BE8}">
  <sheetPr codeName="Hoja135"/>
  <dimension ref="A1:H34"/>
  <sheetViews>
    <sheetView view="pageBreakPreview" zoomScale="80" zoomScaleNormal="100" zoomScaleSheetLayoutView="80" workbookViewId="0">
      <selection activeCell="C35" sqref="C3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240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2.0000000000017337E-2</v>
      </c>
      <c r="D3" s="20">
        <f>SUM(D$4:D$1048576)</f>
        <v>1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45821</v>
      </c>
      <c r="B5" s="32" t="s">
        <v>21</v>
      </c>
      <c r="C5" s="24">
        <v>15.85</v>
      </c>
      <c r="D5" s="30">
        <v>1</v>
      </c>
      <c r="E5" s="30"/>
      <c r="F5" s="30"/>
      <c r="G5" s="22"/>
    </row>
    <row r="6" spans="1:8" hidden="1" x14ac:dyDescent="0.3">
      <c r="A6" s="21">
        <v>45846</v>
      </c>
      <c r="B6" s="27" t="s">
        <v>4</v>
      </c>
      <c r="C6" s="24">
        <v>-15.84</v>
      </c>
    </row>
    <row r="7" spans="1:8" hidden="1" x14ac:dyDescent="0.3">
      <c r="A7" s="26">
        <v>45849</v>
      </c>
      <c r="B7" s="32" t="s">
        <v>21</v>
      </c>
      <c r="C7" s="24">
        <v>7.5</v>
      </c>
    </row>
    <row r="8" spans="1:8" hidden="1" x14ac:dyDescent="0.3">
      <c r="A8" s="26">
        <v>45849</v>
      </c>
      <c r="B8" s="34" t="s">
        <v>21</v>
      </c>
      <c r="C8" s="24">
        <v>16.559999999999999</v>
      </c>
      <c r="D8" s="25">
        <v>-1</v>
      </c>
    </row>
    <row r="9" spans="1:8" hidden="1" x14ac:dyDescent="0.3">
      <c r="A9" s="26">
        <v>45856</v>
      </c>
      <c r="B9" s="27" t="s">
        <v>7</v>
      </c>
      <c r="C9" s="24">
        <v>-24.1</v>
      </c>
    </row>
    <row r="10" spans="1:8" hidden="1" x14ac:dyDescent="0.3">
      <c r="A10" s="26">
        <v>45856</v>
      </c>
      <c r="B10" s="32" t="s">
        <v>21</v>
      </c>
      <c r="C10" s="24">
        <v>23.35</v>
      </c>
    </row>
    <row r="11" spans="1:8" hidden="1" x14ac:dyDescent="0.3">
      <c r="A11" s="26">
        <v>45856</v>
      </c>
      <c r="B11" s="34" t="s">
        <v>21</v>
      </c>
      <c r="C11" s="24">
        <f>82.62+0.3</f>
        <v>82.92</v>
      </c>
    </row>
    <row r="12" spans="1:8" hidden="1" x14ac:dyDescent="0.3">
      <c r="A12" s="26">
        <v>45862</v>
      </c>
      <c r="B12" s="31" t="s">
        <v>4</v>
      </c>
      <c r="C12" s="24">
        <v>-10.25</v>
      </c>
    </row>
    <row r="13" spans="1:8" hidden="1" x14ac:dyDescent="0.3">
      <c r="A13" s="26">
        <v>45863</v>
      </c>
      <c r="B13" s="27" t="s">
        <v>7</v>
      </c>
      <c r="C13" s="24">
        <v>-80.64</v>
      </c>
    </row>
    <row r="14" spans="1:8" hidden="1" x14ac:dyDescent="0.3">
      <c r="A14" s="26">
        <v>45863</v>
      </c>
      <c r="B14" s="32" t="s">
        <v>21</v>
      </c>
      <c r="C14" s="24">
        <v>7.5</v>
      </c>
    </row>
    <row r="15" spans="1:8" hidden="1" x14ac:dyDescent="0.3">
      <c r="A15" s="26">
        <v>45863</v>
      </c>
      <c r="B15" s="34" t="s">
        <v>21</v>
      </c>
      <c r="C15" s="24">
        <v>4.25</v>
      </c>
    </row>
    <row r="16" spans="1:8" hidden="1" x14ac:dyDescent="0.3">
      <c r="A16" s="26">
        <v>45863</v>
      </c>
      <c r="B16" s="46" t="s">
        <v>21</v>
      </c>
      <c r="C16" s="24">
        <v>12.2</v>
      </c>
    </row>
    <row r="17" spans="1:4" hidden="1" x14ac:dyDescent="0.3">
      <c r="A17" s="26">
        <v>45870</v>
      </c>
      <c r="B17" s="27" t="s">
        <v>7</v>
      </c>
      <c r="C17" s="24">
        <v>-39.29</v>
      </c>
    </row>
    <row r="18" spans="1:4" hidden="1" x14ac:dyDescent="0.3">
      <c r="A18" s="26">
        <v>45870</v>
      </c>
      <c r="B18" s="34" t="s">
        <v>21</v>
      </c>
      <c r="C18" s="24">
        <v>40.5</v>
      </c>
    </row>
    <row r="19" spans="1:4" hidden="1" x14ac:dyDescent="0.3">
      <c r="A19" s="26">
        <v>45884</v>
      </c>
      <c r="B19" s="27" t="s">
        <v>7</v>
      </c>
      <c r="C19" s="24">
        <v>-29.03</v>
      </c>
    </row>
    <row r="20" spans="1:4" hidden="1" x14ac:dyDescent="0.3">
      <c r="A20" s="26">
        <v>45891</v>
      </c>
      <c r="B20" s="27" t="s">
        <v>7</v>
      </c>
      <c r="C20" s="24">
        <v>-11.48</v>
      </c>
    </row>
    <row r="21" spans="1:4" hidden="1" x14ac:dyDescent="0.3">
      <c r="A21" s="26">
        <v>45919</v>
      </c>
      <c r="B21" s="32" t="s">
        <v>21</v>
      </c>
      <c r="C21" s="24">
        <v>15.85</v>
      </c>
    </row>
    <row r="22" spans="1:4" hidden="1" x14ac:dyDescent="0.3">
      <c r="A22" s="26">
        <v>45926</v>
      </c>
      <c r="B22" s="27" t="s">
        <v>7</v>
      </c>
      <c r="C22" s="24">
        <v>-12.9</v>
      </c>
    </row>
    <row r="23" spans="1:4" hidden="1" x14ac:dyDescent="0.3">
      <c r="A23" s="26">
        <v>45926</v>
      </c>
      <c r="B23" s="34" t="s">
        <v>21</v>
      </c>
      <c r="C23" s="24">
        <v>16.62</v>
      </c>
    </row>
    <row r="24" spans="1:4" hidden="1" x14ac:dyDescent="0.3">
      <c r="A24" s="26">
        <v>45926</v>
      </c>
      <c r="B24" s="27" t="s">
        <v>1</v>
      </c>
      <c r="C24" s="24">
        <v>20.8</v>
      </c>
      <c r="D24" s="25">
        <v>1</v>
      </c>
    </row>
    <row r="25" spans="1:4" hidden="1" x14ac:dyDescent="0.3">
      <c r="A25" s="26">
        <v>45933</v>
      </c>
      <c r="B25" s="27" t="s">
        <v>7</v>
      </c>
      <c r="C25" s="24">
        <v>-30.77</v>
      </c>
    </row>
    <row r="26" spans="1:4" hidden="1" x14ac:dyDescent="0.3">
      <c r="A26" s="26">
        <v>45940</v>
      </c>
      <c r="B26" s="27" t="s">
        <v>7</v>
      </c>
      <c r="C26" s="24">
        <v>-9.58</v>
      </c>
    </row>
    <row r="27" spans="1:4" x14ac:dyDescent="0.3">
      <c r="A27" s="26">
        <v>45940</v>
      </c>
      <c r="B27" s="34" t="s">
        <v>21</v>
      </c>
      <c r="C27" s="24">
        <v>11.7</v>
      </c>
    </row>
    <row r="28" spans="1:4" x14ac:dyDescent="0.3">
      <c r="A28" s="26">
        <v>45940</v>
      </c>
      <c r="B28" s="46" t="s">
        <v>21</v>
      </c>
      <c r="C28" s="24">
        <v>14.6</v>
      </c>
    </row>
    <row r="29" spans="1:4" x14ac:dyDescent="0.3">
      <c r="A29" s="26">
        <v>45954</v>
      </c>
      <c r="B29" s="32" t="s">
        <v>21</v>
      </c>
      <c r="C29" s="24">
        <v>16.38</v>
      </c>
    </row>
    <row r="30" spans="1:4" x14ac:dyDescent="0.3">
      <c r="A30" s="26">
        <v>45954</v>
      </c>
      <c r="B30" s="34" t="s">
        <v>21</v>
      </c>
      <c r="C30" s="24">
        <v>43.06</v>
      </c>
    </row>
    <row r="31" spans="1:4" x14ac:dyDescent="0.3">
      <c r="A31" s="26">
        <v>45954</v>
      </c>
      <c r="B31" s="27" t="s">
        <v>7</v>
      </c>
      <c r="C31" s="24">
        <v>-22.22</v>
      </c>
    </row>
    <row r="32" spans="1:4" x14ac:dyDescent="0.3">
      <c r="A32" s="26">
        <v>45961</v>
      </c>
      <c r="B32" s="27" t="s">
        <v>7</v>
      </c>
      <c r="C32" s="24">
        <v>-14.81</v>
      </c>
    </row>
    <row r="33" spans="1:3" x14ac:dyDescent="0.3">
      <c r="A33" s="26">
        <v>45975</v>
      </c>
      <c r="B33" s="27" t="s">
        <v>7</v>
      </c>
      <c r="C33" s="24">
        <v>-24.28</v>
      </c>
    </row>
    <row r="34" spans="1:3" x14ac:dyDescent="0.3">
      <c r="A34" s="26">
        <v>45996</v>
      </c>
      <c r="B34" s="27" t="s">
        <v>7</v>
      </c>
      <c r="C34" s="24">
        <v>-24.43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8F69-2936-414D-8447-407771B36B37}">
  <sheetPr codeName="Hoja10"/>
  <dimension ref="A1:H76"/>
  <sheetViews>
    <sheetView view="pageBreakPreview" zoomScale="80" zoomScaleNormal="100" zoomScaleSheetLayoutView="80" workbookViewId="0">
      <selection activeCell="C77" sqref="C7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78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79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45814</v>
      </c>
      <c r="B5" s="34" t="s">
        <v>21</v>
      </c>
      <c r="C5" s="24">
        <v>23.42</v>
      </c>
      <c r="D5" s="30"/>
      <c r="E5" s="30"/>
      <c r="F5" s="30"/>
      <c r="G5" s="22"/>
    </row>
    <row r="6" spans="1:8" hidden="1" x14ac:dyDescent="0.3">
      <c r="A6" s="21">
        <v>45826</v>
      </c>
      <c r="B6" s="31" t="s">
        <v>4</v>
      </c>
      <c r="C6" s="24">
        <v>-23.42</v>
      </c>
    </row>
    <row r="7" spans="1:8" hidden="1" x14ac:dyDescent="0.3">
      <c r="A7" s="21">
        <v>45826</v>
      </c>
      <c r="B7" s="34" t="s">
        <v>21</v>
      </c>
      <c r="C7" s="24">
        <v>27.18</v>
      </c>
    </row>
    <row r="8" spans="1:8" hidden="1" x14ac:dyDescent="0.3">
      <c r="A8" s="26">
        <v>45832</v>
      </c>
      <c r="B8" s="27" t="s">
        <v>4</v>
      </c>
      <c r="C8" s="24">
        <v>-27.14</v>
      </c>
    </row>
    <row r="9" spans="1:8" hidden="1" x14ac:dyDescent="0.3">
      <c r="A9" s="26">
        <v>45833</v>
      </c>
      <c r="B9" s="35" t="s">
        <v>1</v>
      </c>
      <c r="C9" s="24">
        <v>14.44</v>
      </c>
    </row>
    <row r="10" spans="1:8" hidden="1" x14ac:dyDescent="0.3">
      <c r="A10" s="26">
        <v>45833</v>
      </c>
      <c r="B10" s="34" t="s">
        <v>21</v>
      </c>
      <c r="C10" s="24">
        <v>27.41</v>
      </c>
    </row>
    <row r="11" spans="1:8" hidden="1" x14ac:dyDescent="0.3">
      <c r="A11" s="26">
        <v>45840</v>
      </c>
      <c r="B11" s="27" t="s">
        <v>4</v>
      </c>
      <c r="C11" s="24">
        <v>-41.74</v>
      </c>
    </row>
    <row r="12" spans="1:8" hidden="1" x14ac:dyDescent="0.3">
      <c r="A12" s="26">
        <v>45840</v>
      </c>
      <c r="B12" s="31" t="s">
        <v>7</v>
      </c>
      <c r="C12" s="24">
        <v>-0.15</v>
      </c>
    </row>
    <row r="13" spans="1:8" hidden="1" x14ac:dyDescent="0.3">
      <c r="A13" s="26">
        <v>45840</v>
      </c>
      <c r="B13" s="35" t="s">
        <v>1</v>
      </c>
      <c r="C13" s="24">
        <v>4.5999999999999996</v>
      </c>
    </row>
    <row r="14" spans="1:8" hidden="1" x14ac:dyDescent="0.3">
      <c r="A14" s="26">
        <v>45840</v>
      </c>
      <c r="B14" s="34" t="s">
        <v>21</v>
      </c>
      <c r="C14" s="24">
        <v>9.27</v>
      </c>
    </row>
    <row r="15" spans="1:8" hidden="1" x14ac:dyDescent="0.3">
      <c r="A15" s="26">
        <v>45842</v>
      </c>
      <c r="B15" s="27" t="s">
        <v>4</v>
      </c>
      <c r="C15" s="24">
        <v>-13.87</v>
      </c>
    </row>
    <row r="16" spans="1:8" hidden="1" x14ac:dyDescent="0.3">
      <c r="A16" s="26">
        <v>45854</v>
      </c>
      <c r="B16" s="34" t="s">
        <v>21</v>
      </c>
      <c r="C16" s="24">
        <v>31.22</v>
      </c>
    </row>
    <row r="17" spans="1:3" hidden="1" x14ac:dyDescent="0.3">
      <c r="A17" s="26">
        <v>45863</v>
      </c>
      <c r="B17" s="27" t="s">
        <v>4</v>
      </c>
      <c r="C17" s="24">
        <v>-31.22</v>
      </c>
    </row>
    <row r="18" spans="1:3" hidden="1" x14ac:dyDescent="0.3">
      <c r="A18" s="26">
        <v>45863</v>
      </c>
      <c r="B18" s="34" t="s">
        <v>21</v>
      </c>
      <c r="C18" s="24">
        <v>20.8</v>
      </c>
    </row>
    <row r="19" spans="1:3" hidden="1" x14ac:dyDescent="0.3">
      <c r="A19" s="26">
        <v>45868</v>
      </c>
      <c r="B19" s="35" t="s">
        <v>1</v>
      </c>
      <c r="C19" s="24">
        <v>24.85</v>
      </c>
    </row>
    <row r="20" spans="1:3" hidden="1" x14ac:dyDescent="0.3">
      <c r="A20" s="26">
        <v>45868</v>
      </c>
      <c r="B20" s="34" t="s">
        <v>21</v>
      </c>
      <c r="C20" s="24">
        <v>8.19</v>
      </c>
    </row>
    <row r="21" spans="1:3" hidden="1" x14ac:dyDescent="0.3">
      <c r="A21" s="26">
        <v>45869</v>
      </c>
      <c r="B21" s="27" t="s">
        <v>4</v>
      </c>
      <c r="C21" s="24">
        <v>-20.8</v>
      </c>
    </row>
    <row r="22" spans="1:3" hidden="1" x14ac:dyDescent="0.3">
      <c r="A22" s="26">
        <v>45869</v>
      </c>
      <c r="B22" s="27" t="s">
        <v>4</v>
      </c>
      <c r="C22" s="24">
        <v>-15.85</v>
      </c>
    </row>
    <row r="23" spans="1:3" hidden="1" x14ac:dyDescent="0.3">
      <c r="A23" s="26">
        <v>45875</v>
      </c>
      <c r="B23" s="34" t="s">
        <v>21</v>
      </c>
      <c r="C23" s="24">
        <v>21.9</v>
      </c>
    </row>
    <row r="24" spans="1:3" hidden="1" x14ac:dyDescent="0.3">
      <c r="A24" s="26">
        <v>45880</v>
      </c>
      <c r="B24" s="27" t="s">
        <v>4</v>
      </c>
      <c r="C24" s="24">
        <v>-17.190000000000001</v>
      </c>
    </row>
    <row r="25" spans="1:3" hidden="1" x14ac:dyDescent="0.3">
      <c r="A25" s="26">
        <v>45882</v>
      </c>
      <c r="B25" s="27" t="s">
        <v>1</v>
      </c>
      <c r="C25" s="24">
        <v>20.8</v>
      </c>
    </row>
    <row r="26" spans="1:3" hidden="1" x14ac:dyDescent="0.3">
      <c r="A26" s="26">
        <v>45882</v>
      </c>
      <c r="B26" s="46" t="s">
        <v>21</v>
      </c>
      <c r="C26" s="24">
        <v>5.39</v>
      </c>
    </row>
    <row r="27" spans="1:3" hidden="1" x14ac:dyDescent="0.3">
      <c r="A27" s="26">
        <v>45886</v>
      </c>
      <c r="B27" s="27" t="s">
        <v>4</v>
      </c>
      <c r="C27" s="24">
        <v>-26.46</v>
      </c>
    </row>
    <row r="28" spans="1:3" hidden="1" x14ac:dyDescent="0.3">
      <c r="A28" s="26">
        <v>45886</v>
      </c>
      <c r="B28" s="27" t="s">
        <v>4</v>
      </c>
      <c r="C28" s="24">
        <v>-21.9</v>
      </c>
    </row>
    <row r="29" spans="1:3" hidden="1" x14ac:dyDescent="0.3">
      <c r="A29" s="26">
        <v>45889</v>
      </c>
      <c r="B29" s="35" t="s">
        <v>1</v>
      </c>
      <c r="C29" s="24">
        <v>16.5</v>
      </c>
    </row>
    <row r="30" spans="1:3" hidden="1" x14ac:dyDescent="0.3">
      <c r="A30" s="26">
        <v>45889</v>
      </c>
      <c r="B30" s="34" t="s">
        <v>21</v>
      </c>
      <c r="C30" s="24">
        <v>10.26</v>
      </c>
    </row>
    <row r="31" spans="1:3" hidden="1" x14ac:dyDescent="0.3">
      <c r="A31" s="26">
        <v>45896</v>
      </c>
      <c r="B31" s="27" t="s">
        <v>4</v>
      </c>
      <c r="C31" s="24">
        <v>-26.51</v>
      </c>
    </row>
    <row r="32" spans="1:3" hidden="1" x14ac:dyDescent="0.3">
      <c r="A32" s="26">
        <v>45897</v>
      </c>
      <c r="B32" s="35" t="s">
        <v>1</v>
      </c>
      <c r="C32" s="24">
        <v>15.85</v>
      </c>
    </row>
    <row r="33" spans="1:3" hidden="1" x14ac:dyDescent="0.3">
      <c r="A33" s="26">
        <v>45897</v>
      </c>
      <c r="B33" s="34" t="s">
        <v>21</v>
      </c>
      <c r="C33" s="24">
        <v>30.27</v>
      </c>
    </row>
    <row r="34" spans="1:3" hidden="1" x14ac:dyDescent="0.3">
      <c r="A34" s="26">
        <v>45897</v>
      </c>
      <c r="B34" s="46" t="s">
        <v>21</v>
      </c>
      <c r="C34" s="24">
        <v>5.39</v>
      </c>
    </row>
    <row r="35" spans="1:3" hidden="1" x14ac:dyDescent="0.3">
      <c r="A35" s="26">
        <v>45903</v>
      </c>
      <c r="B35" s="27" t="s">
        <v>4</v>
      </c>
      <c r="C35" s="24">
        <v>-51.51</v>
      </c>
    </row>
    <row r="36" spans="1:3" hidden="1" x14ac:dyDescent="0.3">
      <c r="A36" s="26">
        <v>45903</v>
      </c>
      <c r="B36" s="35" t="s">
        <v>1</v>
      </c>
      <c r="C36" s="24">
        <v>4.5</v>
      </c>
    </row>
    <row r="37" spans="1:3" hidden="1" x14ac:dyDescent="0.3">
      <c r="A37" s="26">
        <v>45903</v>
      </c>
      <c r="B37" s="34" t="s">
        <v>21</v>
      </c>
      <c r="C37" s="24">
        <v>10.98</v>
      </c>
    </row>
    <row r="38" spans="1:3" hidden="1" x14ac:dyDescent="0.3">
      <c r="A38" s="26">
        <v>45904</v>
      </c>
      <c r="B38" s="27" t="s">
        <v>4</v>
      </c>
      <c r="C38" s="24">
        <v>-15.48</v>
      </c>
    </row>
    <row r="39" spans="1:3" hidden="1" x14ac:dyDescent="0.3">
      <c r="A39" s="26">
        <v>45910</v>
      </c>
      <c r="B39" s="35" t="s">
        <v>1</v>
      </c>
      <c r="C39" s="24">
        <v>4.5</v>
      </c>
    </row>
    <row r="40" spans="1:3" hidden="1" x14ac:dyDescent="0.3">
      <c r="A40" s="26">
        <v>45910</v>
      </c>
      <c r="B40" s="34" t="s">
        <v>21</v>
      </c>
      <c r="C40" s="24">
        <v>12.03</v>
      </c>
    </row>
    <row r="41" spans="1:3" hidden="1" x14ac:dyDescent="0.3">
      <c r="A41" s="26">
        <v>45910</v>
      </c>
      <c r="B41" s="46" t="s">
        <v>21</v>
      </c>
      <c r="C41" s="24">
        <v>12.26</v>
      </c>
    </row>
    <row r="42" spans="1:3" hidden="1" x14ac:dyDescent="0.3">
      <c r="A42" s="26">
        <v>45923</v>
      </c>
      <c r="B42" s="27" t="s">
        <v>4</v>
      </c>
      <c r="C42" s="24">
        <v>-28.48</v>
      </c>
    </row>
    <row r="43" spans="1:3" hidden="1" x14ac:dyDescent="0.3">
      <c r="A43" s="26">
        <v>45926</v>
      </c>
      <c r="B43" s="35" t="s">
        <v>1</v>
      </c>
      <c r="C43" s="24">
        <v>9</v>
      </c>
    </row>
    <row r="44" spans="1:3" hidden="1" x14ac:dyDescent="0.3">
      <c r="A44" s="26">
        <v>45926</v>
      </c>
      <c r="B44" s="34" t="s">
        <v>21</v>
      </c>
      <c r="C44" s="24">
        <v>13.76</v>
      </c>
    </row>
    <row r="45" spans="1:3" hidden="1" x14ac:dyDescent="0.3">
      <c r="A45" s="26">
        <v>45926</v>
      </c>
      <c r="B45" s="46" t="s">
        <v>21</v>
      </c>
      <c r="C45" s="24">
        <v>15.8</v>
      </c>
    </row>
    <row r="46" spans="1:3" hidden="1" x14ac:dyDescent="0.3">
      <c r="A46" s="26">
        <v>45930</v>
      </c>
      <c r="B46" s="27" t="s">
        <v>4</v>
      </c>
      <c r="C46" s="24">
        <v>-38.54</v>
      </c>
    </row>
    <row r="47" spans="1:3" hidden="1" x14ac:dyDescent="0.3">
      <c r="A47" s="26">
        <v>45931</v>
      </c>
      <c r="B47" s="35" t="s">
        <v>1</v>
      </c>
      <c r="C47" s="24">
        <v>21.7</v>
      </c>
    </row>
    <row r="48" spans="1:3" hidden="1" x14ac:dyDescent="0.3">
      <c r="A48" s="26">
        <v>45932</v>
      </c>
      <c r="B48" s="27" t="s">
        <v>4</v>
      </c>
      <c r="C48" s="24">
        <v>-21.7</v>
      </c>
    </row>
    <row r="49" spans="1:3" hidden="1" x14ac:dyDescent="0.3">
      <c r="A49" s="26">
        <v>45939</v>
      </c>
      <c r="B49" s="27" t="s">
        <v>4</v>
      </c>
      <c r="C49" s="24">
        <v>-35.94</v>
      </c>
    </row>
    <row r="50" spans="1:3" hidden="1" x14ac:dyDescent="0.3">
      <c r="A50" s="26">
        <v>45938</v>
      </c>
      <c r="B50" s="35" t="s">
        <v>1</v>
      </c>
      <c r="C50" s="24">
        <v>12</v>
      </c>
    </row>
    <row r="51" spans="1:3" hidden="1" x14ac:dyDescent="0.3">
      <c r="A51" s="26">
        <v>45938</v>
      </c>
      <c r="B51" s="34" t="s">
        <v>21</v>
      </c>
      <c r="C51" s="24">
        <v>23.94</v>
      </c>
    </row>
    <row r="52" spans="1:3" hidden="1" x14ac:dyDescent="0.3">
      <c r="A52" s="26">
        <v>45945</v>
      </c>
      <c r="B52" s="35" t="s">
        <v>1</v>
      </c>
      <c r="C52" s="24">
        <v>16.5</v>
      </c>
    </row>
    <row r="53" spans="1:3" hidden="1" x14ac:dyDescent="0.3">
      <c r="A53" s="26">
        <v>45945</v>
      </c>
      <c r="B53" s="34" t="s">
        <v>21</v>
      </c>
      <c r="C53" s="24">
        <v>9.51</v>
      </c>
    </row>
    <row r="54" spans="1:3" hidden="1" x14ac:dyDescent="0.3">
      <c r="A54" s="26">
        <v>45952</v>
      </c>
      <c r="B54" s="27" t="s">
        <v>4</v>
      </c>
      <c r="C54" s="24">
        <v>-26</v>
      </c>
    </row>
    <row r="55" spans="1:3" hidden="1" x14ac:dyDescent="0.3">
      <c r="A55" s="26">
        <v>45952</v>
      </c>
      <c r="B55" s="35" t="s">
        <v>1</v>
      </c>
      <c r="C55" s="24">
        <v>4.5</v>
      </c>
    </row>
    <row r="56" spans="1:3" hidden="1" x14ac:dyDescent="0.3">
      <c r="A56" s="26">
        <v>45952</v>
      </c>
      <c r="B56" s="34" t="s">
        <v>21</v>
      </c>
      <c r="C56" s="24">
        <v>25.65</v>
      </c>
    </row>
    <row r="57" spans="1:3" hidden="1" x14ac:dyDescent="0.3">
      <c r="A57" s="26">
        <v>45952</v>
      </c>
      <c r="B57" s="46" t="s">
        <v>21</v>
      </c>
      <c r="C57" s="24">
        <v>24.39</v>
      </c>
    </row>
    <row r="58" spans="1:3" hidden="1" x14ac:dyDescent="0.3">
      <c r="A58" s="26">
        <v>45959</v>
      </c>
      <c r="B58" s="35" t="s">
        <v>1</v>
      </c>
      <c r="C58" s="24">
        <v>9</v>
      </c>
    </row>
    <row r="59" spans="1:3" hidden="1" x14ac:dyDescent="0.3">
      <c r="A59" s="26">
        <v>45960</v>
      </c>
      <c r="B59" s="27" t="s">
        <v>4</v>
      </c>
      <c r="C59" s="24">
        <v>-9</v>
      </c>
    </row>
    <row r="60" spans="1:3" hidden="1" x14ac:dyDescent="0.3">
      <c r="A60" s="26">
        <v>45965</v>
      </c>
      <c r="B60" s="27" t="s">
        <v>4</v>
      </c>
      <c r="C60" s="24">
        <v>-54.54</v>
      </c>
    </row>
    <row r="61" spans="1:3" hidden="1" x14ac:dyDescent="0.3">
      <c r="A61" s="26">
        <v>45966</v>
      </c>
      <c r="B61" s="35" t="s">
        <v>1</v>
      </c>
      <c r="C61" s="24">
        <v>12</v>
      </c>
    </row>
    <row r="62" spans="1:3" hidden="1" x14ac:dyDescent="0.3">
      <c r="A62" s="26">
        <v>45966</v>
      </c>
      <c r="B62" s="34" t="s">
        <v>21</v>
      </c>
      <c r="C62" s="24">
        <v>32.1</v>
      </c>
    </row>
    <row r="63" spans="1:3" hidden="1" x14ac:dyDescent="0.3">
      <c r="A63" s="26">
        <v>45966</v>
      </c>
      <c r="B63" s="46" t="s">
        <v>21</v>
      </c>
      <c r="C63" s="24">
        <v>8.1300000000000008</v>
      </c>
    </row>
    <row r="64" spans="1:3" hidden="1" x14ac:dyDescent="0.3">
      <c r="A64" s="26">
        <v>45967</v>
      </c>
      <c r="B64" s="27" t="s">
        <v>4</v>
      </c>
      <c r="C64" s="24">
        <v>-52.22</v>
      </c>
    </row>
    <row r="65" spans="1:3" hidden="1" x14ac:dyDescent="0.3">
      <c r="A65" s="26">
        <v>45973</v>
      </c>
      <c r="B65" s="27" t="s">
        <v>1</v>
      </c>
      <c r="C65" s="24">
        <v>34.17</v>
      </c>
    </row>
    <row r="66" spans="1:3" hidden="1" x14ac:dyDescent="0.3">
      <c r="A66" s="26">
        <v>45985</v>
      </c>
      <c r="B66" s="27" t="s">
        <v>4</v>
      </c>
      <c r="C66" s="24">
        <v>-34.17</v>
      </c>
    </row>
    <row r="67" spans="1:3" x14ac:dyDescent="0.3">
      <c r="A67" s="26">
        <v>45987</v>
      </c>
      <c r="B67" s="27" t="s">
        <v>1</v>
      </c>
      <c r="C67" s="24">
        <v>60.55</v>
      </c>
    </row>
    <row r="68" spans="1:3" x14ac:dyDescent="0.3">
      <c r="A68" s="26">
        <v>45995</v>
      </c>
      <c r="B68" s="27" t="s">
        <v>4</v>
      </c>
      <c r="C68" s="24">
        <v>-60.53</v>
      </c>
    </row>
    <row r="69" spans="1:3" x14ac:dyDescent="0.3">
      <c r="A69" s="26">
        <v>46001</v>
      </c>
      <c r="B69" s="27" t="s">
        <v>1</v>
      </c>
      <c r="C69" s="24">
        <v>64.14</v>
      </c>
    </row>
    <row r="70" spans="1:3" x14ac:dyDescent="0.3">
      <c r="A70" s="26">
        <v>46020</v>
      </c>
      <c r="B70" s="27" t="s">
        <v>4</v>
      </c>
      <c r="C70" s="24">
        <v>-64.14</v>
      </c>
    </row>
    <row r="71" spans="1:3" x14ac:dyDescent="0.3">
      <c r="A71" s="26">
        <v>46020</v>
      </c>
      <c r="B71" s="27" t="s">
        <v>1</v>
      </c>
      <c r="C71" s="24">
        <v>34.57</v>
      </c>
    </row>
    <row r="72" spans="1:3" x14ac:dyDescent="0.3">
      <c r="A72" s="26">
        <v>46030</v>
      </c>
      <c r="B72" s="27" t="s">
        <v>4</v>
      </c>
      <c r="C72" s="24">
        <v>-34.57</v>
      </c>
    </row>
    <row r="73" spans="1:3" x14ac:dyDescent="0.3">
      <c r="A73" s="26">
        <v>46036</v>
      </c>
      <c r="B73" s="27" t="s">
        <v>1</v>
      </c>
      <c r="C73" s="24">
        <v>44.74</v>
      </c>
    </row>
    <row r="74" spans="1:3" x14ac:dyDescent="0.3">
      <c r="A74" s="26">
        <v>46042</v>
      </c>
      <c r="B74" s="27" t="s">
        <v>4</v>
      </c>
      <c r="C74" s="24">
        <v>-45.09</v>
      </c>
    </row>
    <row r="75" spans="1:3" x14ac:dyDescent="0.3">
      <c r="A75" s="26">
        <v>46043</v>
      </c>
      <c r="B75" s="27" t="s">
        <v>1</v>
      </c>
      <c r="C75" s="24">
        <v>27.21</v>
      </c>
    </row>
    <row r="76" spans="1:3" x14ac:dyDescent="0.3">
      <c r="A76" s="26">
        <v>46050</v>
      </c>
      <c r="B76" s="27" t="s">
        <v>4</v>
      </c>
      <c r="C76" s="24">
        <v>-27.21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1E251-E3BE-417A-88A1-87212104299B}">
  <sheetPr codeName="Hoja12"/>
  <dimension ref="A1:I68"/>
  <sheetViews>
    <sheetView view="pageBreakPreview" zoomScale="80" zoomScaleNormal="100" zoomScaleSheetLayoutView="80" workbookViewId="0">
      <selection activeCell="C69" sqref="C6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492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205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541.04000000000008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45820</v>
      </c>
      <c r="B5" s="32" t="s">
        <v>21</v>
      </c>
      <c r="C5" s="24">
        <v>60.87</v>
      </c>
      <c r="D5" s="30"/>
      <c r="E5" s="30"/>
      <c r="F5" s="30"/>
      <c r="G5" s="22"/>
    </row>
    <row r="6" spans="1:8" hidden="1" x14ac:dyDescent="0.3">
      <c r="A6" s="21">
        <v>45820</v>
      </c>
      <c r="B6" s="34" t="s">
        <v>21</v>
      </c>
      <c r="C6" s="24">
        <v>435.5</v>
      </c>
    </row>
    <row r="7" spans="1:8" hidden="1" x14ac:dyDescent="0.3">
      <c r="A7" s="21">
        <v>45820</v>
      </c>
      <c r="B7" s="46" t="s">
        <v>21</v>
      </c>
      <c r="C7" s="24">
        <v>12.32</v>
      </c>
    </row>
    <row r="8" spans="1:8" hidden="1" x14ac:dyDescent="0.3">
      <c r="A8" s="26">
        <v>45831</v>
      </c>
      <c r="B8" s="27" t="s">
        <v>4</v>
      </c>
      <c r="C8" s="24">
        <v>-508.68</v>
      </c>
    </row>
    <row r="9" spans="1:8" hidden="1" x14ac:dyDescent="0.3">
      <c r="A9" s="26">
        <v>45832</v>
      </c>
      <c r="B9" s="27" t="s">
        <v>4</v>
      </c>
      <c r="C9" s="24">
        <v>-1.38</v>
      </c>
    </row>
    <row r="10" spans="1:8" hidden="1" x14ac:dyDescent="0.3">
      <c r="A10" s="26">
        <v>45834</v>
      </c>
      <c r="B10" s="32" t="s">
        <v>21</v>
      </c>
      <c r="C10" s="24">
        <v>15</v>
      </c>
    </row>
    <row r="11" spans="1:8" hidden="1" x14ac:dyDescent="0.3">
      <c r="A11" s="26">
        <v>45834</v>
      </c>
      <c r="B11" s="34" t="s">
        <v>21</v>
      </c>
      <c r="C11" s="24">
        <v>548.14</v>
      </c>
    </row>
    <row r="12" spans="1:8" hidden="1" x14ac:dyDescent="0.3">
      <c r="A12" s="26">
        <v>45834</v>
      </c>
      <c r="B12" s="46" t="s">
        <v>21</v>
      </c>
      <c r="C12" s="24">
        <v>6.69</v>
      </c>
    </row>
    <row r="13" spans="1:8" hidden="1" x14ac:dyDescent="0.3">
      <c r="A13" s="26">
        <v>45846</v>
      </c>
      <c r="B13" s="27" t="s">
        <v>4</v>
      </c>
      <c r="C13" s="24">
        <v>-569.83000000000004</v>
      </c>
    </row>
    <row r="14" spans="1:8" hidden="1" x14ac:dyDescent="0.3">
      <c r="A14" s="26">
        <v>45846</v>
      </c>
      <c r="B14" s="32" t="s">
        <v>21</v>
      </c>
      <c r="C14" s="24">
        <v>123.31</v>
      </c>
    </row>
    <row r="15" spans="1:8" hidden="1" x14ac:dyDescent="0.3">
      <c r="A15" s="26">
        <v>45846</v>
      </c>
      <c r="B15" s="34" t="s">
        <v>21</v>
      </c>
      <c r="C15" s="24">
        <v>600.26</v>
      </c>
    </row>
    <row r="16" spans="1:8" hidden="1" x14ac:dyDescent="0.3">
      <c r="A16" s="26">
        <v>45846</v>
      </c>
      <c r="B16" s="46" t="s">
        <v>21</v>
      </c>
      <c r="C16" s="24">
        <v>12.9</v>
      </c>
    </row>
    <row r="17" spans="1:9" hidden="1" x14ac:dyDescent="0.3">
      <c r="A17" s="26">
        <v>45855</v>
      </c>
      <c r="B17" s="34" t="s">
        <v>21</v>
      </c>
      <c r="C17" s="24">
        <v>182.4</v>
      </c>
    </row>
    <row r="18" spans="1:9" hidden="1" x14ac:dyDescent="0.3">
      <c r="A18" s="26">
        <v>45860</v>
      </c>
      <c r="B18" s="27" t="s">
        <v>4</v>
      </c>
      <c r="C18" s="24">
        <v>-736.47</v>
      </c>
    </row>
    <row r="19" spans="1:9" hidden="1" x14ac:dyDescent="0.3">
      <c r="A19" s="26">
        <v>45869</v>
      </c>
      <c r="B19" s="32" t="s">
        <v>21</v>
      </c>
      <c r="C19" s="24">
        <v>88.63</v>
      </c>
    </row>
    <row r="20" spans="1:9" hidden="1" x14ac:dyDescent="0.3">
      <c r="A20" s="26">
        <v>45869</v>
      </c>
      <c r="B20" s="34" t="s">
        <v>21</v>
      </c>
      <c r="C20" s="24">
        <v>16.47</v>
      </c>
      <c r="I20" s="18" t="s">
        <v>122</v>
      </c>
    </row>
    <row r="21" spans="1:9" hidden="1" x14ac:dyDescent="0.3">
      <c r="A21" s="26">
        <v>45873</v>
      </c>
      <c r="B21" s="27" t="s">
        <v>4</v>
      </c>
      <c r="C21" s="24">
        <v>-182.4</v>
      </c>
    </row>
    <row r="22" spans="1:9" hidden="1" x14ac:dyDescent="0.3">
      <c r="A22" s="26">
        <v>45876</v>
      </c>
      <c r="B22" s="32" t="s">
        <v>21</v>
      </c>
      <c r="C22" s="24">
        <v>43.33</v>
      </c>
    </row>
    <row r="23" spans="1:9" hidden="1" x14ac:dyDescent="0.3">
      <c r="A23" s="26">
        <v>45876</v>
      </c>
      <c r="B23" s="34" t="s">
        <v>21</v>
      </c>
      <c r="C23" s="24">
        <v>106.8</v>
      </c>
    </row>
    <row r="24" spans="1:9" hidden="1" x14ac:dyDescent="0.3">
      <c r="A24" s="26">
        <v>45887</v>
      </c>
      <c r="B24" s="27" t="s">
        <v>4</v>
      </c>
      <c r="C24" s="24">
        <v>-261.92</v>
      </c>
    </row>
    <row r="25" spans="1:9" hidden="1" x14ac:dyDescent="0.3">
      <c r="A25" s="26">
        <v>45890</v>
      </c>
      <c r="B25" s="32" t="s">
        <v>21</v>
      </c>
      <c r="C25" s="24">
        <v>75.849999999999994</v>
      </c>
    </row>
    <row r="26" spans="1:9" hidden="1" x14ac:dyDescent="0.3">
      <c r="A26" s="26">
        <v>45890</v>
      </c>
      <c r="B26" s="34" t="s">
        <v>21</v>
      </c>
      <c r="C26" s="24">
        <v>112.27</v>
      </c>
    </row>
    <row r="27" spans="1:9" hidden="1" x14ac:dyDescent="0.3">
      <c r="A27" s="26">
        <v>45890</v>
      </c>
      <c r="B27" s="46" t="s">
        <v>21</v>
      </c>
      <c r="C27" s="24">
        <v>13.38</v>
      </c>
    </row>
    <row r="28" spans="1:9" hidden="1" x14ac:dyDescent="0.3">
      <c r="A28" s="26">
        <v>45893</v>
      </c>
      <c r="B28" s="27" t="s">
        <v>4</v>
      </c>
      <c r="C28" s="24">
        <v>-98.67</v>
      </c>
    </row>
    <row r="29" spans="1:9" hidden="1" x14ac:dyDescent="0.3">
      <c r="A29" s="26">
        <v>45898</v>
      </c>
      <c r="B29" s="32" t="s">
        <v>21</v>
      </c>
      <c r="C29" s="24">
        <v>23.65</v>
      </c>
    </row>
    <row r="30" spans="1:9" hidden="1" x14ac:dyDescent="0.3">
      <c r="A30" s="26">
        <v>45898</v>
      </c>
      <c r="B30" s="46" t="s">
        <v>21</v>
      </c>
      <c r="C30" s="24">
        <v>45.54</v>
      </c>
    </row>
    <row r="31" spans="1:9" hidden="1" x14ac:dyDescent="0.3">
      <c r="A31" s="26">
        <v>45908</v>
      </c>
      <c r="B31" s="27" t="s">
        <v>4</v>
      </c>
      <c r="C31" s="24">
        <v>-163.96</v>
      </c>
    </row>
    <row r="32" spans="1:9" hidden="1" x14ac:dyDescent="0.3">
      <c r="A32" s="26">
        <v>45911</v>
      </c>
      <c r="B32" s="32" t="s">
        <v>21</v>
      </c>
      <c r="C32" s="24">
        <v>29.52</v>
      </c>
    </row>
    <row r="33" spans="1:3" hidden="1" x14ac:dyDescent="0.3">
      <c r="A33" s="26">
        <v>45911</v>
      </c>
      <c r="B33" s="34" t="s">
        <v>21</v>
      </c>
      <c r="C33" s="24">
        <v>232.32</v>
      </c>
    </row>
    <row r="34" spans="1:3" hidden="1" x14ac:dyDescent="0.3">
      <c r="A34" s="26">
        <v>45920</v>
      </c>
      <c r="B34" s="32" t="s">
        <v>21</v>
      </c>
      <c r="C34" s="24">
        <v>48.8</v>
      </c>
    </row>
    <row r="35" spans="1:3" hidden="1" x14ac:dyDescent="0.3">
      <c r="A35" s="26">
        <v>45920</v>
      </c>
      <c r="B35" s="46" t="s">
        <v>21</v>
      </c>
      <c r="C35" s="24">
        <v>10.36</v>
      </c>
    </row>
    <row r="36" spans="1:3" hidden="1" x14ac:dyDescent="0.3">
      <c r="A36" s="26">
        <v>45922</v>
      </c>
      <c r="B36" s="27" t="s">
        <v>4</v>
      </c>
      <c r="C36" s="24">
        <v>-261.83</v>
      </c>
    </row>
    <row r="37" spans="1:3" hidden="1" x14ac:dyDescent="0.3">
      <c r="A37" s="26">
        <v>45925</v>
      </c>
      <c r="B37" s="27" t="s">
        <v>4</v>
      </c>
      <c r="C37" s="24">
        <v>-58.52</v>
      </c>
    </row>
    <row r="38" spans="1:3" hidden="1" x14ac:dyDescent="0.3">
      <c r="A38" s="26">
        <v>45925</v>
      </c>
      <c r="B38" s="27" t="s">
        <v>4</v>
      </c>
      <c r="C38" s="24">
        <v>-0.65</v>
      </c>
    </row>
    <row r="39" spans="1:3" hidden="1" x14ac:dyDescent="0.3">
      <c r="A39" s="26">
        <v>45932</v>
      </c>
      <c r="B39" s="32" t="s">
        <v>21</v>
      </c>
      <c r="C39" s="24">
        <v>31.7</v>
      </c>
    </row>
    <row r="40" spans="1:3" hidden="1" x14ac:dyDescent="0.3">
      <c r="A40" s="26">
        <v>45932</v>
      </c>
      <c r="B40" s="34" t="s">
        <v>21</v>
      </c>
      <c r="C40" s="24">
        <v>99.11</v>
      </c>
    </row>
    <row r="41" spans="1:3" hidden="1" x14ac:dyDescent="0.3">
      <c r="A41" s="26">
        <v>45932</v>
      </c>
      <c r="B41" s="46" t="s">
        <v>21</v>
      </c>
      <c r="C41" s="24">
        <v>31.48</v>
      </c>
    </row>
    <row r="42" spans="1:3" hidden="1" x14ac:dyDescent="0.3">
      <c r="A42" s="26">
        <v>45936</v>
      </c>
      <c r="B42" s="27" t="s">
        <v>4</v>
      </c>
      <c r="C42" s="24">
        <v>-162.29</v>
      </c>
    </row>
    <row r="43" spans="1:3" x14ac:dyDescent="0.3">
      <c r="A43" s="26">
        <v>45939</v>
      </c>
      <c r="B43" s="32" t="s">
        <v>21</v>
      </c>
      <c r="C43" s="24">
        <v>67.62</v>
      </c>
    </row>
    <row r="44" spans="1:3" x14ac:dyDescent="0.3">
      <c r="A44" s="26">
        <v>45939</v>
      </c>
      <c r="B44" s="34" t="s">
        <v>21</v>
      </c>
      <c r="C44" s="24">
        <v>404.64</v>
      </c>
    </row>
    <row r="45" spans="1:3" x14ac:dyDescent="0.3">
      <c r="A45" s="26">
        <v>45939</v>
      </c>
      <c r="B45" s="46" t="s">
        <v>21</v>
      </c>
      <c r="C45" s="24">
        <v>46.98</v>
      </c>
    </row>
    <row r="46" spans="1:3" x14ac:dyDescent="0.3">
      <c r="A46" s="26">
        <v>45947</v>
      </c>
      <c r="B46" s="34" t="s">
        <v>21</v>
      </c>
      <c r="C46" s="24">
        <v>19.11</v>
      </c>
    </row>
    <row r="47" spans="1:3" x14ac:dyDescent="0.3">
      <c r="A47" s="26">
        <v>45950</v>
      </c>
      <c r="B47" s="27" t="s">
        <v>4</v>
      </c>
      <c r="C47" s="24">
        <v>-534.9</v>
      </c>
    </row>
    <row r="48" spans="1:3" x14ac:dyDescent="0.3">
      <c r="A48" s="26">
        <v>45953</v>
      </c>
      <c r="B48" s="32" t="s">
        <v>21</v>
      </c>
      <c r="C48" s="24">
        <v>116.64</v>
      </c>
    </row>
    <row r="49" spans="1:3" x14ac:dyDescent="0.3">
      <c r="A49" s="26">
        <v>45953</v>
      </c>
      <c r="B49" s="34" t="s">
        <v>21</v>
      </c>
      <c r="C49" s="24">
        <v>394.54</v>
      </c>
    </row>
    <row r="50" spans="1:3" x14ac:dyDescent="0.3">
      <c r="A50" s="26">
        <v>45960</v>
      </c>
      <c r="B50" s="32" t="s">
        <v>21</v>
      </c>
      <c r="C50" s="24">
        <v>82.98</v>
      </c>
    </row>
    <row r="51" spans="1:3" x14ac:dyDescent="0.3">
      <c r="A51" s="26">
        <v>45960</v>
      </c>
      <c r="B51" s="34" t="s">
        <v>21</v>
      </c>
      <c r="C51" s="24">
        <v>482.96</v>
      </c>
    </row>
    <row r="52" spans="1:3" x14ac:dyDescent="0.3">
      <c r="A52" s="26">
        <v>45960</v>
      </c>
      <c r="B52" s="46" t="s">
        <v>21</v>
      </c>
      <c r="C52" s="24">
        <v>20.76</v>
      </c>
    </row>
    <row r="53" spans="1:3" x14ac:dyDescent="0.3">
      <c r="A53" s="26">
        <v>45966</v>
      </c>
      <c r="B53" s="27" t="s">
        <v>4</v>
      </c>
      <c r="C53" s="24">
        <v>-514.66</v>
      </c>
    </row>
    <row r="54" spans="1:3" x14ac:dyDescent="0.3">
      <c r="A54" s="26">
        <v>45980</v>
      </c>
      <c r="B54" s="27" t="s">
        <v>4</v>
      </c>
      <c r="C54" s="24">
        <v>-567.07000000000005</v>
      </c>
    </row>
    <row r="55" spans="1:3" x14ac:dyDescent="0.3">
      <c r="A55" s="26">
        <v>45981</v>
      </c>
      <c r="B55" s="27" t="s">
        <v>1</v>
      </c>
      <c r="C55" s="24">
        <v>419.4</v>
      </c>
    </row>
    <row r="56" spans="1:3" x14ac:dyDescent="0.3">
      <c r="A56" s="26">
        <v>45988</v>
      </c>
      <c r="B56" s="27" t="s">
        <v>1</v>
      </c>
      <c r="C56" s="24">
        <v>434.01</v>
      </c>
    </row>
    <row r="57" spans="1:3" x14ac:dyDescent="0.3">
      <c r="A57" s="26">
        <v>45992</v>
      </c>
      <c r="B57" s="27" t="s">
        <v>4</v>
      </c>
      <c r="C57" s="24">
        <v>-434.01</v>
      </c>
    </row>
    <row r="58" spans="1:3" x14ac:dyDescent="0.3">
      <c r="A58" s="26">
        <v>45995</v>
      </c>
      <c r="B58" s="27" t="s">
        <v>1</v>
      </c>
      <c r="C58" s="24">
        <v>139.56</v>
      </c>
    </row>
    <row r="59" spans="1:3" x14ac:dyDescent="0.3">
      <c r="A59" s="26">
        <v>46002</v>
      </c>
      <c r="B59" s="27" t="s">
        <v>1</v>
      </c>
      <c r="C59" s="24">
        <v>28.8</v>
      </c>
    </row>
    <row r="60" spans="1:3" x14ac:dyDescent="0.3">
      <c r="A60" s="26">
        <v>46006</v>
      </c>
      <c r="B60" s="27" t="s">
        <v>4</v>
      </c>
      <c r="C60" s="24">
        <v>-553.94000000000005</v>
      </c>
    </row>
    <row r="61" spans="1:3" x14ac:dyDescent="0.3">
      <c r="A61" s="26">
        <v>46006</v>
      </c>
      <c r="B61" s="27" t="s">
        <v>4</v>
      </c>
      <c r="C61" s="24">
        <v>-24.74</v>
      </c>
    </row>
    <row r="62" spans="1:3" x14ac:dyDescent="0.3">
      <c r="A62" s="26">
        <v>46010</v>
      </c>
      <c r="B62" s="27" t="s">
        <v>1</v>
      </c>
      <c r="C62" s="24">
        <v>23.25</v>
      </c>
    </row>
    <row r="63" spans="1:3" x14ac:dyDescent="0.3">
      <c r="A63" s="26">
        <v>46020</v>
      </c>
      <c r="B63" s="27" t="s">
        <v>4</v>
      </c>
      <c r="C63" s="24">
        <v>-52.05</v>
      </c>
    </row>
    <row r="64" spans="1:3" x14ac:dyDescent="0.3">
      <c r="A64" s="26">
        <v>46021</v>
      </c>
      <c r="B64" s="27" t="s">
        <v>1</v>
      </c>
      <c r="C64" s="24">
        <v>210.72</v>
      </c>
    </row>
    <row r="65" spans="1:3" x14ac:dyDescent="0.3">
      <c r="A65" s="26">
        <v>46030</v>
      </c>
      <c r="B65" s="27" t="s">
        <v>4</v>
      </c>
      <c r="C65" s="24">
        <v>-210.72</v>
      </c>
    </row>
    <row r="66" spans="1:3" x14ac:dyDescent="0.3">
      <c r="A66" s="26">
        <v>46037</v>
      </c>
      <c r="B66" s="27" t="s">
        <v>1</v>
      </c>
      <c r="C66" s="24">
        <v>242.06</v>
      </c>
    </row>
    <row r="67" spans="1:3" x14ac:dyDescent="0.3">
      <c r="A67" s="26">
        <v>46044</v>
      </c>
      <c r="B67" s="27" t="s">
        <v>1</v>
      </c>
      <c r="C67" s="24">
        <v>538.76</v>
      </c>
    </row>
    <row r="68" spans="1:3" x14ac:dyDescent="0.3">
      <c r="A68" s="26">
        <v>46052</v>
      </c>
      <c r="B68" s="27" t="s">
        <v>4</v>
      </c>
      <c r="C68" s="24">
        <v>-239.66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440FD-2B5B-49FD-83F7-D6A78F8254D2}">
  <sheetPr codeName="Hoja136"/>
  <dimension ref="A1:H12"/>
  <sheetViews>
    <sheetView view="pageBreakPreview" zoomScale="80" zoomScaleNormal="100" zoomScaleSheetLayoutView="8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267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 t="s">
        <v>128</v>
      </c>
      <c r="B5" s="32" t="s">
        <v>21</v>
      </c>
      <c r="D5" s="30"/>
      <c r="E5" s="30"/>
      <c r="F5" s="30"/>
      <c r="G5" s="22"/>
    </row>
    <row r="6" spans="1:8" x14ac:dyDescent="0.3">
      <c r="A6" s="21"/>
      <c r="B6" s="34" t="s">
        <v>21</v>
      </c>
    </row>
    <row r="7" spans="1:8" x14ac:dyDescent="0.3">
      <c r="B7" s="27" t="s">
        <v>4</v>
      </c>
    </row>
    <row r="10" spans="1:8" x14ac:dyDescent="0.3">
      <c r="B10" s="31"/>
    </row>
    <row r="12" spans="1:8" x14ac:dyDescent="0.3">
      <c r="B12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3D8D-91CE-4F28-B248-AF6B7C9CF879}">
  <sheetPr codeName="Hoja13"/>
  <dimension ref="A1:H34"/>
  <sheetViews>
    <sheetView view="pageBreakPreview" zoomScale="80" zoomScaleNormal="100" zoomScaleSheetLayoutView="80" workbookViewId="0">
      <selection activeCell="C35" sqref="C3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86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66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-2.2099999999999582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45814</v>
      </c>
      <c r="B5" s="34" t="s">
        <v>21</v>
      </c>
      <c r="C5" s="24">
        <v>21</v>
      </c>
      <c r="D5" s="30"/>
      <c r="E5" s="30"/>
      <c r="F5" s="30"/>
      <c r="G5" s="22"/>
    </row>
    <row r="6" spans="1:8" hidden="1" x14ac:dyDescent="0.3">
      <c r="A6" s="21">
        <v>45825</v>
      </c>
      <c r="B6" s="31" t="s">
        <v>7</v>
      </c>
      <c r="C6" s="24">
        <v>-21</v>
      </c>
    </row>
    <row r="7" spans="1:8" hidden="1" x14ac:dyDescent="0.3">
      <c r="A7" s="21">
        <v>45825</v>
      </c>
      <c r="B7" s="34" t="s">
        <v>21</v>
      </c>
      <c r="C7" s="24">
        <v>141.16</v>
      </c>
    </row>
    <row r="8" spans="1:8" hidden="1" x14ac:dyDescent="0.3">
      <c r="A8" s="26">
        <v>45834</v>
      </c>
      <c r="B8" s="27" t="s">
        <v>7</v>
      </c>
      <c r="C8" s="24">
        <v>-141.19</v>
      </c>
    </row>
    <row r="9" spans="1:8" hidden="1" x14ac:dyDescent="0.3">
      <c r="A9" s="26">
        <v>45834</v>
      </c>
      <c r="B9" s="32" t="s">
        <v>21</v>
      </c>
      <c r="C9" s="24">
        <v>25.69</v>
      </c>
    </row>
    <row r="10" spans="1:8" hidden="1" x14ac:dyDescent="0.3">
      <c r="A10" s="26">
        <v>45834</v>
      </c>
      <c r="B10" s="34" t="s">
        <v>21</v>
      </c>
      <c r="C10" s="24">
        <v>101.86</v>
      </c>
    </row>
    <row r="11" spans="1:8" hidden="1" x14ac:dyDescent="0.3">
      <c r="A11" s="26">
        <v>45853</v>
      </c>
      <c r="B11" s="34" t="s">
        <v>21</v>
      </c>
      <c r="C11" s="24">
        <v>93.08</v>
      </c>
    </row>
    <row r="12" spans="1:8" hidden="1" x14ac:dyDescent="0.3">
      <c r="A12" s="26">
        <v>45854</v>
      </c>
      <c r="B12" s="31" t="s">
        <v>7</v>
      </c>
      <c r="C12" s="24">
        <v>-100</v>
      </c>
    </row>
    <row r="13" spans="1:8" hidden="1" x14ac:dyDescent="0.3">
      <c r="A13" s="26">
        <v>45877</v>
      </c>
      <c r="B13" s="27" t="s">
        <v>7</v>
      </c>
      <c r="C13" s="24">
        <v>-120.55</v>
      </c>
    </row>
    <row r="14" spans="1:8" hidden="1" x14ac:dyDescent="0.3">
      <c r="A14" s="26">
        <v>45877</v>
      </c>
      <c r="B14" s="32" t="s">
        <v>21</v>
      </c>
      <c r="C14" s="24">
        <v>15.84</v>
      </c>
    </row>
    <row r="15" spans="1:8" hidden="1" x14ac:dyDescent="0.3">
      <c r="A15" s="26">
        <v>45877</v>
      </c>
      <c r="B15" s="34" t="s">
        <v>21</v>
      </c>
      <c r="C15" s="24">
        <v>119.05</v>
      </c>
    </row>
    <row r="16" spans="1:8" hidden="1" x14ac:dyDescent="0.3">
      <c r="A16" s="26">
        <v>45896</v>
      </c>
      <c r="B16" s="27" t="s">
        <v>7</v>
      </c>
      <c r="C16" s="24">
        <v>-134.16</v>
      </c>
    </row>
    <row r="17" spans="1:3" hidden="1" x14ac:dyDescent="0.3">
      <c r="A17" s="26">
        <v>45924</v>
      </c>
      <c r="B17" s="32" t="s">
        <v>21</v>
      </c>
      <c r="C17" s="24">
        <v>15.85</v>
      </c>
    </row>
    <row r="18" spans="1:3" hidden="1" x14ac:dyDescent="0.3">
      <c r="A18" s="26">
        <v>45924</v>
      </c>
      <c r="B18" s="34" t="s">
        <v>21</v>
      </c>
      <c r="C18" s="24">
        <v>145.06</v>
      </c>
    </row>
    <row r="19" spans="1:3" hidden="1" x14ac:dyDescent="0.3">
      <c r="A19" s="26">
        <v>45940</v>
      </c>
      <c r="B19" s="27" t="s">
        <v>4</v>
      </c>
      <c r="C19" s="24">
        <v>-161.88999999999999</v>
      </c>
    </row>
    <row r="20" spans="1:3" x14ac:dyDescent="0.3">
      <c r="A20" s="26">
        <v>45944</v>
      </c>
      <c r="B20" s="32" t="s">
        <v>21</v>
      </c>
      <c r="C20" s="24">
        <v>16.38</v>
      </c>
    </row>
    <row r="21" spans="1:3" x14ac:dyDescent="0.3">
      <c r="A21" s="26">
        <v>45944</v>
      </c>
      <c r="B21" s="34" t="s">
        <v>21</v>
      </c>
      <c r="C21" s="24">
        <v>158.54</v>
      </c>
    </row>
    <row r="22" spans="1:3" x14ac:dyDescent="0.3">
      <c r="A22" s="26">
        <v>45967</v>
      </c>
      <c r="B22" s="32" t="s">
        <v>21</v>
      </c>
      <c r="C22" s="24">
        <v>61.6</v>
      </c>
    </row>
    <row r="23" spans="1:3" x14ac:dyDescent="0.3">
      <c r="A23" s="26">
        <v>45967</v>
      </c>
      <c r="B23" s="34" t="s">
        <v>21</v>
      </c>
      <c r="C23" s="24">
        <v>212.17</v>
      </c>
    </row>
    <row r="24" spans="1:3" x14ac:dyDescent="0.3">
      <c r="A24" s="26">
        <v>45967</v>
      </c>
      <c r="B24" s="46" t="s">
        <v>21</v>
      </c>
      <c r="C24" s="24">
        <v>19.14</v>
      </c>
    </row>
    <row r="25" spans="1:3" x14ac:dyDescent="0.3">
      <c r="A25" s="26">
        <v>45972</v>
      </c>
      <c r="B25" s="27" t="s">
        <v>4</v>
      </c>
      <c r="C25" s="24">
        <v>-43.28</v>
      </c>
    </row>
    <row r="26" spans="1:3" x14ac:dyDescent="0.3">
      <c r="A26" s="26">
        <v>45981</v>
      </c>
      <c r="B26" s="27" t="s">
        <v>4</v>
      </c>
      <c r="C26" s="24">
        <v>-71.430000000000007</v>
      </c>
    </row>
    <row r="27" spans="1:3" x14ac:dyDescent="0.3">
      <c r="A27" s="26">
        <v>45995</v>
      </c>
      <c r="B27" s="27" t="s">
        <v>4</v>
      </c>
      <c r="C27" s="24">
        <v>-35.71</v>
      </c>
    </row>
    <row r="28" spans="1:3" x14ac:dyDescent="0.3">
      <c r="A28" s="26">
        <v>45995</v>
      </c>
      <c r="B28" s="27" t="s">
        <v>4</v>
      </c>
      <c r="C28" s="24">
        <v>-100</v>
      </c>
    </row>
    <row r="29" spans="1:3" x14ac:dyDescent="0.3">
      <c r="A29" s="26">
        <v>45998</v>
      </c>
      <c r="B29" s="27" t="s">
        <v>4</v>
      </c>
      <c r="C29" s="24">
        <v>-29.29</v>
      </c>
    </row>
    <row r="30" spans="1:3" x14ac:dyDescent="0.3">
      <c r="A30" s="26">
        <v>46000</v>
      </c>
      <c r="B30" s="27" t="s">
        <v>4</v>
      </c>
      <c r="C30" s="24">
        <v>-38.770000000000003</v>
      </c>
    </row>
    <row r="31" spans="1:3" x14ac:dyDescent="0.3">
      <c r="A31" s="26">
        <v>46020</v>
      </c>
      <c r="B31" s="27" t="s">
        <v>4</v>
      </c>
      <c r="C31" s="24">
        <v>-124.85</v>
      </c>
    </row>
    <row r="32" spans="1:3" x14ac:dyDescent="0.3">
      <c r="A32" s="26">
        <v>46021</v>
      </c>
      <c r="B32" s="27" t="s">
        <v>4</v>
      </c>
      <c r="C32" s="24">
        <v>-60</v>
      </c>
    </row>
    <row r="33" spans="1:3" x14ac:dyDescent="0.3">
      <c r="A33" s="26">
        <v>46021</v>
      </c>
      <c r="B33" s="27" t="s">
        <v>1</v>
      </c>
      <c r="C33" s="24">
        <v>41.49</v>
      </c>
    </row>
    <row r="34" spans="1:3" x14ac:dyDescent="0.3">
      <c r="A34" s="26">
        <v>46055</v>
      </c>
      <c r="B34" s="27" t="s">
        <v>4</v>
      </c>
      <c r="C34" s="24">
        <v>-8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3276-DFB8-432D-B30E-08DBBBDAEF26}">
  <sheetPr codeName="Hoja137"/>
  <dimension ref="A1:L74"/>
  <sheetViews>
    <sheetView view="pageBreakPreview" zoomScale="80" zoomScaleNormal="100" zoomScaleSheetLayoutView="80" workbookViewId="0">
      <selection activeCell="B69" sqref="B6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263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33.850000000000009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45826</v>
      </c>
      <c r="B5" s="32" t="s">
        <v>21</v>
      </c>
      <c r="C5" s="24">
        <v>25.69</v>
      </c>
      <c r="D5" s="30"/>
      <c r="E5" s="30"/>
      <c r="F5" s="30"/>
      <c r="G5" s="22"/>
    </row>
    <row r="6" spans="1:8" hidden="1" x14ac:dyDescent="0.3">
      <c r="A6" s="21">
        <v>45826</v>
      </c>
      <c r="B6" s="34" t="s">
        <v>21</v>
      </c>
      <c r="C6" s="24">
        <v>199.04</v>
      </c>
    </row>
    <row r="7" spans="1:8" hidden="1" x14ac:dyDescent="0.3">
      <c r="A7" s="26">
        <v>45841</v>
      </c>
      <c r="B7" s="27" t="s">
        <v>4</v>
      </c>
      <c r="C7" s="24">
        <v>-174.73</v>
      </c>
    </row>
    <row r="8" spans="1:8" hidden="1" x14ac:dyDescent="0.3">
      <c r="A8" s="26">
        <v>45846</v>
      </c>
      <c r="B8" s="27" t="s">
        <v>4</v>
      </c>
      <c r="C8" s="24">
        <v>-50</v>
      </c>
    </row>
    <row r="9" spans="1:8" hidden="1" x14ac:dyDescent="0.3">
      <c r="A9" s="26">
        <v>45847</v>
      </c>
      <c r="B9" s="32" t="s">
        <v>21</v>
      </c>
      <c r="C9" s="24">
        <v>25.69</v>
      </c>
    </row>
    <row r="10" spans="1:8" hidden="1" x14ac:dyDescent="0.3">
      <c r="A10" s="26">
        <v>45847</v>
      </c>
      <c r="B10" s="34" t="s">
        <v>21</v>
      </c>
      <c r="C10" s="24">
        <v>292.08999999999997</v>
      </c>
    </row>
    <row r="11" spans="1:8" hidden="1" x14ac:dyDescent="0.3">
      <c r="A11" s="26">
        <v>45847</v>
      </c>
      <c r="B11" s="27" t="s">
        <v>1</v>
      </c>
      <c r="C11" s="24">
        <v>47.6</v>
      </c>
    </row>
    <row r="12" spans="1:8" hidden="1" x14ac:dyDescent="0.3">
      <c r="A12" s="26">
        <v>45861</v>
      </c>
      <c r="B12" s="31" t="s">
        <v>4</v>
      </c>
      <c r="C12" s="24">
        <v>-165.38</v>
      </c>
    </row>
    <row r="13" spans="1:8" hidden="1" x14ac:dyDescent="0.3">
      <c r="A13" s="26">
        <v>45862</v>
      </c>
      <c r="B13" s="27" t="s">
        <v>4</v>
      </c>
      <c r="C13" s="24">
        <v>-79.39</v>
      </c>
    </row>
    <row r="14" spans="1:8" hidden="1" x14ac:dyDescent="0.3">
      <c r="A14" s="26">
        <v>45863</v>
      </c>
      <c r="B14" s="27" t="s">
        <v>4</v>
      </c>
      <c r="C14" s="24">
        <v>-90</v>
      </c>
    </row>
    <row r="15" spans="1:8" hidden="1" x14ac:dyDescent="0.3">
      <c r="A15" s="26">
        <v>45868</v>
      </c>
      <c r="B15" s="27" t="s">
        <v>4</v>
      </c>
      <c r="C15" s="24">
        <v>-25</v>
      </c>
    </row>
    <row r="16" spans="1:8" hidden="1" x14ac:dyDescent="0.3">
      <c r="A16" s="26">
        <v>45868</v>
      </c>
      <c r="B16" s="27" t="s">
        <v>1</v>
      </c>
      <c r="C16" s="24">
        <v>20</v>
      </c>
    </row>
    <row r="17" spans="1:3" hidden="1" x14ac:dyDescent="0.3">
      <c r="A17" s="26">
        <v>45868</v>
      </c>
      <c r="B17" s="34" t="s">
        <v>21</v>
      </c>
      <c r="C17" s="24">
        <v>328.71</v>
      </c>
    </row>
    <row r="18" spans="1:3" hidden="1" x14ac:dyDescent="0.3">
      <c r="A18" s="26">
        <v>45868</v>
      </c>
      <c r="B18" s="46" t="s">
        <v>21</v>
      </c>
      <c r="C18" s="24">
        <v>16.32</v>
      </c>
    </row>
    <row r="19" spans="1:3" hidden="1" x14ac:dyDescent="0.3">
      <c r="A19" s="26">
        <v>45882</v>
      </c>
      <c r="B19" s="27" t="s">
        <v>4</v>
      </c>
      <c r="C19" s="24">
        <v>-365.03</v>
      </c>
    </row>
    <row r="20" spans="1:3" hidden="1" x14ac:dyDescent="0.3">
      <c r="A20" s="26">
        <v>45882</v>
      </c>
      <c r="B20" s="32" t="s">
        <v>21</v>
      </c>
      <c r="C20" s="24">
        <v>25.69</v>
      </c>
    </row>
    <row r="21" spans="1:3" hidden="1" x14ac:dyDescent="0.3">
      <c r="A21" s="26">
        <v>45882</v>
      </c>
      <c r="B21" s="34" t="s">
        <v>21</v>
      </c>
      <c r="C21" s="24">
        <v>304.7</v>
      </c>
    </row>
    <row r="22" spans="1:3" hidden="1" x14ac:dyDescent="0.3">
      <c r="A22" s="26">
        <v>45882</v>
      </c>
      <c r="B22" s="27" t="s">
        <v>1</v>
      </c>
      <c r="C22" s="24">
        <v>36.6</v>
      </c>
    </row>
    <row r="23" spans="1:3" hidden="1" x14ac:dyDescent="0.3">
      <c r="A23" s="26">
        <v>45903</v>
      </c>
      <c r="B23" s="27" t="s">
        <v>4</v>
      </c>
      <c r="C23" s="24">
        <v>-351.47</v>
      </c>
    </row>
    <row r="24" spans="1:3" hidden="1" x14ac:dyDescent="0.3">
      <c r="A24" s="26">
        <v>45903</v>
      </c>
      <c r="B24" s="32" t="s">
        <v>21</v>
      </c>
      <c r="C24" s="24">
        <v>9.84</v>
      </c>
    </row>
    <row r="25" spans="1:3" hidden="1" x14ac:dyDescent="0.3">
      <c r="A25" s="26">
        <v>45903</v>
      </c>
      <c r="B25" s="34" t="s">
        <v>21</v>
      </c>
      <c r="C25" s="24">
        <v>148.9</v>
      </c>
    </row>
    <row r="26" spans="1:3" hidden="1" x14ac:dyDescent="0.3">
      <c r="A26" s="26">
        <v>45903</v>
      </c>
      <c r="B26" s="46" t="s">
        <v>21</v>
      </c>
      <c r="C26" s="24">
        <v>26.08</v>
      </c>
    </row>
    <row r="27" spans="1:3" hidden="1" x14ac:dyDescent="0.3">
      <c r="A27" s="26">
        <v>45910</v>
      </c>
      <c r="B27" s="27" t="s">
        <v>4</v>
      </c>
      <c r="C27" s="24">
        <v>-21.23</v>
      </c>
    </row>
    <row r="28" spans="1:3" hidden="1" x14ac:dyDescent="0.3">
      <c r="A28" s="26">
        <v>45917</v>
      </c>
      <c r="B28" s="27" t="s">
        <v>4</v>
      </c>
      <c r="C28" s="24">
        <v>-184.82</v>
      </c>
    </row>
    <row r="29" spans="1:3" hidden="1" x14ac:dyDescent="0.3">
      <c r="A29" s="26">
        <v>45917</v>
      </c>
      <c r="B29" s="32" t="s">
        <v>21</v>
      </c>
      <c r="C29" s="24">
        <v>25.69</v>
      </c>
    </row>
    <row r="30" spans="1:3" hidden="1" x14ac:dyDescent="0.3">
      <c r="A30" s="26">
        <v>45917</v>
      </c>
      <c r="B30" s="34" t="s">
        <v>21</v>
      </c>
      <c r="C30" s="24">
        <v>137.68</v>
      </c>
    </row>
    <row r="31" spans="1:3" hidden="1" x14ac:dyDescent="0.3">
      <c r="A31" s="26">
        <v>45924</v>
      </c>
      <c r="B31" s="27" t="s">
        <v>4</v>
      </c>
      <c r="C31" s="24">
        <v>-163.37</v>
      </c>
    </row>
    <row r="32" spans="1:3" hidden="1" x14ac:dyDescent="0.3">
      <c r="A32" s="26">
        <v>45924</v>
      </c>
      <c r="B32" s="34" t="s">
        <v>21</v>
      </c>
      <c r="C32" s="24">
        <v>175.31</v>
      </c>
    </row>
    <row r="33" spans="1:3" hidden="1" x14ac:dyDescent="0.3">
      <c r="A33" s="26">
        <v>45924</v>
      </c>
      <c r="B33" s="27" t="s">
        <v>1</v>
      </c>
      <c r="C33" s="24">
        <v>47.6</v>
      </c>
    </row>
    <row r="34" spans="1:3" hidden="1" x14ac:dyDescent="0.3">
      <c r="A34" s="26">
        <v>45932</v>
      </c>
      <c r="B34" s="27" t="s">
        <v>4</v>
      </c>
      <c r="C34" s="24">
        <v>-222.91</v>
      </c>
    </row>
    <row r="35" spans="1:3" hidden="1" x14ac:dyDescent="0.3">
      <c r="A35" s="26">
        <v>45938</v>
      </c>
      <c r="B35" s="34" t="s">
        <v>21</v>
      </c>
      <c r="C35" s="24">
        <v>184.87</v>
      </c>
    </row>
    <row r="36" spans="1:3" hidden="1" x14ac:dyDescent="0.3">
      <c r="A36" s="26">
        <v>45938</v>
      </c>
      <c r="B36" s="46" t="s">
        <v>21</v>
      </c>
      <c r="C36" s="24">
        <v>24.46</v>
      </c>
    </row>
    <row r="37" spans="1:3" hidden="1" x14ac:dyDescent="0.3">
      <c r="A37" s="26">
        <v>45952</v>
      </c>
      <c r="B37" s="27" t="s">
        <v>4</v>
      </c>
      <c r="C37" s="24">
        <v>-209.33</v>
      </c>
    </row>
    <row r="38" spans="1:3" hidden="1" x14ac:dyDescent="0.3">
      <c r="A38" s="26">
        <v>45953</v>
      </c>
      <c r="B38" s="32" t="s">
        <v>21</v>
      </c>
      <c r="C38" s="24">
        <v>16.38</v>
      </c>
    </row>
    <row r="39" spans="1:3" hidden="1" x14ac:dyDescent="0.3">
      <c r="A39" s="26">
        <v>45953</v>
      </c>
      <c r="B39" s="34" t="s">
        <v>21</v>
      </c>
      <c r="C39" s="24">
        <v>37.700000000000003</v>
      </c>
    </row>
    <row r="40" spans="1:3" hidden="1" x14ac:dyDescent="0.3">
      <c r="A40" s="26">
        <v>45958</v>
      </c>
      <c r="B40" s="27" t="s">
        <v>4</v>
      </c>
      <c r="C40" s="24">
        <v>-54.08</v>
      </c>
    </row>
    <row r="41" spans="1:3" hidden="1" x14ac:dyDescent="0.3">
      <c r="A41" s="26">
        <v>45959</v>
      </c>
      <c r="B41" s="27" t="s">
        <v>4</v>
      </c>
      <c r="C41" s="24">
        <v>-90.96</v>
      </c>
    </row>
    <row r="42" spans="1:3" hidden="1" x14ac:dyDescent="0.3">
      <c r="A42" s="26">
        <v>45959</v>
      </c>
      <c r="B42" s="34" t="s">
        <v>21</v>
      </c>
      <c r="C42" s="24">
        <v>189.94</v>
      </c>
    </row>
    <row r="43" spans="1:3" hidden="1" x14ac:dyDescent="0.3">
      <c r="A43" s="26">
        <v>45959</v>
      </c>
      <c r="B43" s="46" t="s">
        <v>21</v>
      </c>
      <c r="C43" s="24">
        <v>26.23</v>
      </c>
    </row>
    <row r="44" spans="1:3" hidden="1" x14ac:dyDescent="0.3">
      <c r="A44" s="26">
        <v>45959</v>
      </c>
      <c r="B44" s="27" t="s">
        <v>1</v>
      </c>
      <c r="C44" s="24">
        <v>53.4</v>
      </c>
    </row>
    <row r="45" spans="1:3" hidden="1" x14ac:dyDescent="0.3">
      <c r="A45" s="26">
        <v>45965</v>
      </c>
      <c r="B45" s="27" t="s">
        <v>4</v>
      </c>
      <c r="C45" s="24">
        <v>-62.4</v>
      </c>
    </row>
    <row r="46" spans="1:3" hidden="1" x14ac:dyDescent="0.3">
      <c r="A46" s="26">
        <v>45967</v>
      </c>
      <c r="B46" s="32" t="s">
        <v>21</v>
      </c>
      <c r="C46" s="24">
        <v>9.84</v>
      </c>
    </row>
    <row r="47" spans="1:3" hidden="1" x14ac:dyDescent="0.3">
      <c r="A47" s="26">
        <v>45967</v>
      </c>
      <c r="B47" s="34" t="s">
        <v>21</v>
      </c>
      <c r="C47" s="24">
        <v>82.73</v>
      </c>
    </row>
    <row r="48" spans="1:3" hidden="1" x14ac:dyDescent="0.3">
      <c r="A48" s="26">
        <v>45968</v>
      </c>
      <c r="B48" s="27" t="s">
        <v>4</v>
      </c>
      <c r="C48" s="24">
        <v>-116.21</v>
      </c>
    </row>
    <row r="49" spans="1:4" hidden="1" x14ac:dyDescent="0.3">
      <c r="A49" s="26">
        <v>45973</v>
      </c>
      <c r="B49" s="27" t="s">
        <v>4</v>
      </c>
      <c r="C49" s="24">
        <v>-91.79</v>
      </c>
    </row>
    <row r="50" spans="1:4" hidden="1" x14ac:dyDescent="0.3">
      <c r="A50" s="26">
        <v>45973</v>
      </c>
      <c r="B50" s="27" t="s">
        <v>1</v>
      </c>
      <c r="C50" s="24">
        <v>163.91</v>
      </c>
    </row>
    <row r="51" spans="1:4" hidden="1" x14ac:dyDescent="0.3">
      <c r="A51" s="26">
        <v>45980</v>
      </c>
      <c r="B51" s="27" t="s">
        <v>4</v>
      </c>
      <c r="C51" s="24">
        <v>-163.91</v>
      </c>
    </row>
    <row r="52" spans="1:4" hidden="1" x14ac:dyDescent="0.3">
      <c r="A52" s="26">
        <v>45980</v>
      </c>
      <c r="B52" s="27" t="s">
        <v>1</v>
      </c>
      <c r="C52" s="24">
        <v>206.74</v>
      </c>
      <c r="D52" s="25">
        <v>1</v>
      </c>
    </row>
    <row r="53" spans="1:4" hidden="1" x14ac:dyDescent="0.3">
      <c r="A53" s="26">
        <v>45986</v>
      </c>
      <c r="B53" s="27" t="s">
        <v>4</v>
      </c>
      <c r="C53" s="24">
        <v>-207.18</v>
      </c>
    </row>
    <row r="54" spans="1:4" x14ac:dyDescent="0.3">
      <c r="A54" s="26">
        <v>45987</v>
      </c>
      <c r="B54" s="27" t="s">
        <v>1</v>
      </c>
      <c r="C54" s="24">
        <v>150.59</v>
      </c>
    </row>
    <row r="55" spans="1:4" x14ac:dyDescent="0.3">
      <c r="A55" s="26">
        <v>45998</v>
      </c>
      <c r="B55" s="27" t="s">
        <v>4</v>
      </c>
      <c r="C55" s="24">
        <v>-148.80000000000001</v>
      </c>
    </row>
    <row r="56" spans="1:4" x14ac:dyDescent="0.3">
      <c r="A56" s="26">
        <v>46001</v>
      </c>
      <c r="B56" s="27" t="s">
        <v>1</v>
      </c>
      <c r="C56" s="24">
        <v>123.12</v>
      </c>
      <c r="D56" s="25">
        <v>-1</v>
      </c>
    </row>
    <row r="57" spans="1:4" x14ac:dyDescent="0.3">
      <c r="A57" s="26">
        <v>46009</v>
      </c>
      <c r="B57" s="27" t="s">
        <v>4</v>
      </c>
      <c r="C57" s="24">
        <v>-123.59</v>
      </c>
    </row>
    <row r="58" spans="1:4" x14ac:dyDescent="0.3">
      <c r="A58" s="26">
        <v>46014</v>
      </c>
      <c r="B58" s="27" t="s">
        <v>1</v>
      </c>
      <c r="C58" s="24">
        <v>240.74</v>
      </c>
    </row>
    <row r="59" spans="1:4" x14ac:dyDescent="0.3">
      <c r="A59" s="26">
        <v>46020</v>
      </c>
      <c r="B59" s="27" t="s">
        <v>4</v>
      </c>
      <c r="C59" s="24">
        <v>-118.66</v>
      </c>
    </row>
    <row r="60" spans="1:4" x14ac:dyDescent="0.3">
      <c r="A60" s="26">
        <v>46020</v>
      </c>
      <c r="B60" s="27" t="s">
        <v>4</v>
      </c>
      <c r="C60" s="24">
        <v>-101.71</v>
      </c>
    </row>
    <row r="61" spans="1:4" x14ac:dyDescent="0.3">
      <c r="A61" s="26">
        <v>46020</v>
      </c>
      <c r="B61" s="27" t="s">
        <v>4</v>
      </c>
      <c r="C61" s="24">
        <v>-20.38</v>
      </c>
    </row>
    <row r="62" spans="1:4" x14ac:dyDescent="0.3">
      <c r="A62" s="26">
        <v>46029</v>
      </c>
      <c r="B62" s="27" t="s">
        <v>1</v>
      </c>
      <c r="C62" s="24">
        <v>98.76</v>
      </c>
    </row>
    <row r="63" spans="1:4" x14ac:dyDescent="0.3">
      <c r="A63" s="26">
        <v>46031</v>
      </c>
      <c r="B63" s="27" t="s">
        <v>4</v>
      </c>
      <c r="C63" s="24">
        <v>-98.76</v>
      </c>
    </row>
    <row r="64" spans="1:4" x14ac:dyDescent="0.3">
      <c r="A64" s="26">
        <v>46036</v>
      </c>
      <c r="B64" s="27" t="s">
        <v>1</v>
      </c>
      <c r="C64" s="24">
        <v>237.06</v>
      </c>
    </row>
    <row r="65" spans="1:12" x14ac:dyDescent="0.3">
      <c r="A65" s="26">
        <v>46042</v>
      </c>
      <c r="B65" s="27" t="s">
        <v>4</v>
      </c>
      <c r="C65" s="24">
        <v>-237.06</v>
      </c>
    </row>
    <row r="66" spans="1:12" x14ac:dyDescent="0.3">
      <c r="A66" s="26">
        <v>46043</v>
      </c>
      <c r="B66" s="27" t="s">
        <v>1</v>
      </c>
      <c r="C66" s="24">
        <v>54.7</v>
      </c>
    </row>
    <row r="67" spans="1:12" x14ac:dyDescent="0.3">
      <c r="A67" s="26">
        <v>46048</v>
      </c>
      <c r="B67" s="27" t="s">
        <v>4</v>
      </c>
      <c r="C67" s="24">
        <v>-54.7</v>
      </c>
    </row>
    <row r="68" spans="1:12" x14ac:dyDescent="0.3">
      <c r="A68" s="26">
        <v>46050</v>
      </c>
      <c r="B68" s="27" t="s">
        <v>1</v>
      </c>
      <c r="C68" s="24">
        <v>32.299999999999997</v>
      </c>
      <c r="L68" s="18">
        <f>38450.32/355.5528</f>
        <v>108.14236310331405</v>
      </c>
    </row>
    <row r="69" spans="1:12" x14ac:dyDescent="0.3">
      <c r="L69" s="18">
        <f>+L68-56.25</f>
        <v>51.892363103314054</v>
      </c>
    </row>
    <row r="70" spans="1:12" x14ac:dyDescent="0.3">
      <c r="L70" s="18">
        <f>+L69*355.5528</f>
        <v>18450.475000000002</v>
      </c>
    </row>
    <row r="73" spans="1:12" x14ac:dyDescent="0.3">
      <c r="L73" s="18">
        <f>54.7*355.5528</f>
        <v>19448.738160000001</v>
      </c>
    </row>
    <row r="74" spans="1:12" x14ac:dyDescent="0.3">
      <c r="L74" s="18">
        <f>38450.32-L73</f>
        <v>19001.581839999999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3438-7B3C-4999-AAC7-217B36A49057}">
  <dimension ref="A1:H66"/>
  <sheetViews>
    <sheetView view="pageBreakPreview" zoomScale="80" zoomScaleNormal="100" zoomScaleSheetLayoutView="80" workbookViewId="0">
      <selection activeCell="C67" sqref="C6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515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335.58</v>
      </c>
      <c r="D3" s="20">
        <f>SUM(D$4:D$1048576)</f>
        <v>1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45826</v>
      </c>
      <c r="B5" s="32" t="s">
        <v>21</v>
      </c>
      <c r="C5" s="24">
        <v>25.69</v>
      </c>
      <c r="D5" s="30"/>
      <c r="E5" s="30"/>
      <c r="F5" s="30"/>
      <c r="G5" s="22"/>
    </row>
    <row r="6" spans="1:8" hidden="1" x14ac:dyDescent="0.3">
      <c r="A6" s="21">
        <v>45826</v>
      </c>
      <c r="B6" s="34" t="s">
        <v>21</v>
      </c>
      <c r="C6" s="24">
        <v>199.04</v>
      </c>
    </row>
    <row r="7" spans="1:8" hidden="1" x14ac:dyDescent="0.3">
      <c r="A7" s="26">
        <v>45841</v>
      </c>
      <c r="B7" s="27" t="s">
        <v>4</v>
      </c>
      <c r="C7" s="24">
        <v>-174.73</v>
      </c>
    </row>
    <row r="8" spans="1:8" hidden="1" x14ac:dyDescent="0.3">
      <c r="A8" s="26">
        <v>45846</v>
      </c>
      <c r="B8" s="27" t="s">
        <v>4</v>
      </c>
      <c r="C8" s="24">
        <v>-50</v>
      </c>
    </row>
    <row r="9" spans="1:8" hidden="1" x14ac:dyDescent="0.3">
      <c r="A9" s="26">
        <v>45847</v>
      </c>
      <c r="B9" s="32" t="s">
        <v>21</v>
      </c>
      <c r="C9" s="24">
        <v>25.69</v>
      </c>
    </row>
    <row r="10" spans="1:8" hidden="1" x14ac:dyDescent="0.3">
      <c r="A10" s="26">
        <v>45847</v>
      </c>
      <c r="B10" s="34" t="s">
        <v>21</v>
      </c>
      <c r="C10" s="24">
        <v>292.08999999999997</v>
      </c>
    </row>
    <row r="11" spans="1:8" hidden="1" x14ac:dyDescent="0.3">
      <c r="A11" s="26">
        <v>45847</v>
      </c>
      <c r="B11" s="27" t="s">
        <v>1</v>
      </c>
      <c r="C11" s="24">
        <v>47.6</v>
      </c>
    </row>
    <row r="12" spans="1:8" hidden="1" x14ac:dyDescent="0.3">
      <c r="A12" s="26">
        <v>45861</v>
      </c>
      <c r="B12" s="31" t="s">
        <v>4</v>
      </c>
      <c r="C12" s="24">
        <v>-165.38</v>
      </c>
    </row>
    <row r="13" spans="1:8" hidden="1" x14ac:dyDescent="0.3">
      <c r="A13" s="26">
        <v>45862</v>
      </c>
      <c r="B13" s="27" t="s">
        <v>4</v>
      </c>
      <c r="C13" s="24">
        <v>-79.39</v>
      </c>
    </row>
    <row r="14" spans="1:8" hidden="1" x14ac:dyDescent="0.3">
      <c r="A14" s="26">
        <v>45863</v>
      </c>
      <c r="B14" s="27" t="s">
        <v>4</v>
      </c>
      <c r="C14" s="24">
        <v>-90</v>
      </c>
    </row>
    <row r="15" spans="1:8" hidden="1" x14ac:dyDescent="0.3">
      <c r="A15" s="26">
        <v>45868</v>
      </c>
      <c r="B15" s="27" t="s">
        <v>4</v>
      </c>
      <c r="C15" s="24">
        <v>-25</v>
      </c>
    </row>
    <row r="16" spans="1:8" hidden="1" x14ac:dyDescent="0.3">
      <c r="A16" s="26">
        <v>45868</v>
      </c>
      <c r="B16" s="27" t="s">
        <v>1</v>
      </c>
      <c r="C16" s="24">
        <v>20</v>
      </c>
    </row>
    <row r="17" spans="1:3" hidden="1" x14ac:dyDescent="0.3">
      <c r="A17" s="26">
        <v>45868</v>
      </c>
      <c r="B17" s="34" t="s">
        <v>21</v>
      </c>
      <c r="C17" s="24">
        <v>328.71</v>
      </c>
    </row>
    <row r="18" spans="1:3" hidden="1" x14ac:dyDescent="0.3">
      <c r="A18" s="26">
        <v>45868</v>
      </c>
      <c r="B18" s="46" t="s">
        <v>21</v>
      </c>
      <c r="C18" s="24">
        <v>16.32</v>
      </c>
    </row>
    <row r="19" spans="1:3" hidden="1" x14ac:dyDescent="0.3">
      <c r="A19" s="26">
        <v>45882</v>
      </c>
      <c r="B19" s="27" t="s">
        <v>4</v>
      </c>
      <c r="C19" s="24">
        <v>-365.03</v>
      </c>
    </row>
    <row r="20" spans="1:3" hidden="1" x14ac:dyDescent="0.3">
      <c r="A20" s="26">
        <v>45882</v>
      </c>
      <c r="B20" s="32" t="s">
        <v>21</v>
      </c>
      <c r="C20" s="24">
        <v>25.69</v>
      </c>
    </row>
    <row r="21" spans="1:3" hidden="1" x14ac:dyDescent="0.3">
      <c r="A21" s="26">
        <v>45882</v>
      </c>
      <c r="B21" s="34" t="s">
        <v>21</v>
      </c>
      <c r="C21" s="24">
        <v>304.7</v>
      </c>
    </row>
    <row r="22" spans="1:3" hidden="1" x14ac:dyDescent="0.3">
      <c r="A22" s="26">
        <v>45882</v>
      </c>
      <c r="B22" s="27" t="s">
        <v>1</v>
      </c>
      <c r="C22" s="24">
        <v>36.6</v>
      </c>
    </row>
    <row r="23" spans="1:3" hidden="1" x14ac:dyDescent="0.3">
      <c r="A23" s="26">
        <v>45903</v>
      </c>
      <c r="B23" s="27" t="s">
        <v>4</v>
      </c>
      <c r="C23" s="24">
        <v>-351.47</v>
      </c>
    </row>
    <row r="24" spans="1:3" hidden="1" x14ac:dyDescent="0.3">
      <c r="A24" s="26">
        <v>45903</v>
      </c>
      <c r="B24" s="32" t="s">
        <v>21</v>
      </c>
      <c r="C24" s="24">
        <v>9.84</v>
      </c>
    </row>
    <row r="25" spans="1:3" hidden="1" x14ac:dyDescent="0.3">
      <c r="A25" s="26">
        <v>45903</v>
      </c>
      <c r="B25" s="34" t="s">
        <v>21</v>
      </c>
      <c r="C25" s="24">
        <v>148.9</v>
      </c>
    </row>
    <row r="26" spans="1:3" hidden="1" x14ac:dyDescent="0.3">
      <c r="A26" s="26">
        <v>45903</v>
      </c>
      <c r="B26" s="46" t="s">
        <v>21</v>
      </c>
      <c r="C26" s="24">
        <v>26.08</v>
      </c>
    </row>
    <row r="27" spans="1:3" hidden="1" x14ac:dyDescent="0.3">
      <c r="A27" s="26">
        <v>45910</v>
      </c>
      <c r="B27" s="27" t="s">
        <v>4</v>
      </c>
      <c r="C27" s="24">
        <v>-21.23</v>
      </c>
    </row>
    <row r="28" spans="1:3" hidden="1" x14ac:dyDescent="0.3">
      <c r="A28" s="26">
        <v>45917</v>
      </c>
      <c r="B28" s="27" t="s">
        <v>4</v>
      </c>
      <c r="C28" s="24">
        <v>-184.82</v>
      </c>
    </row>
    <row r="29" spans="1:3" hidden="1" x14ac:dyDescent="0.3">
      <c r="A29" s="26">
        <v>45917</v>
      </c>
      <c r="B29" s="32" t="s">
        <v>21</v>
      </c>
      <c r="C29" s="24">
        <v>25.69</v>
      </c>
    </row>
    <row r="30" spans="1:3" hidden="1" x14ac:dyDescent="0.3">
      <c r="A30" s="26">
        <v>45917</v>
      </c>
      <c r="B30" s="34" t="s">
        <v>21</v>
      </c>
      <c r="C30" s="24">
        <v>137.68</v>
      </c>
    </row>
    <row r="31" spans="1:3" hidden="1" x14ac:dyDescent="0.3">
      <c r="A31" s="26">
        <v>45924</v>
      </c>
      <c r="B31" s="27" t="s">
        <v>4</v>
      </c>
      <c r="C31" s="24">
        <v>-163.37</v>
      </c>
    </row>
    <row r="32" spans="1:3" hidden="1" x14ac:dyDescent="0.3">
      <c r="A32" s="26">
        <v>45924</v>
      </c>
      <c r="B32" s="34" t="s">
        <v>21</v>
      </c>
      <c r="C32" s="24">
        <v>175.31</v>
      </c>
    </row>
    <row r="33" spans="1:3" hidden="1" x14ac:dyDescent="0.3">
      <c r="A33" s="26">
        <v>45924</v>
      </c>
      <c r="B33" s="27" t="s">
        <v>1</v>
      </c>
      <c r="C33" s="24">
        <v>47.6</v>
      </c>
    </row>
    <row r="34" spans="1:3" hidden="1" x14ac:dyDescent="0.3">
      <c r="A34" s="26">
        <v>45932</v>
      </c>
      <c r="B34" s="27" t="s">
        <v>4</v>
      </c>
      <c r="C34" s="24">
        <v>-222.91</v>
      </c>
    </row>
    <row r="35" spans="1:3" hidden="1" x14ac:dyDescent="0.3">
      <c r="A35" s="26">
        <v>45938</v>
      </c>
      <c r="B35" s="34" t="s">
        <v>21</v>
      </c>
      <c r="C35" s="24">
        <v>184.87</v>
      </c>
    </row>
    <row r="36" spans="1:3" hidden="1" x14ac:dyDescent="0.3">
      <c r="A36" s="26">
        <v>45938</v>
      </c>
      <c r="B36" s="46" t="s">
        <v>21</v>
      </c>
      <c r="C36" s="24">
        <v>24.46</v>
      </c>
    </row>
    <row r="37" spans="1:3" hidden="1" x14ac:dyDescent="0.3">
      <c r="A37" s="26">
        <v>45952</v>
      </c>
      <c r="B37" s="27" t="s">
        <v>4</v>
      </c>
      <c r="C37" s="24">
        <v>-209.33</v>
      </c>
    </row>
    <row r="38" spans="1:3" hidden="1" x14ac:dyDescent="0.3">
      <c r="A38" s="26">
        <v>45953</v>
      </c>
      <c r="B38" s="32" t="s">
        <v>21</v>
      </c>
      <c r="C38" s="24">
        <v>16.38</v>
      </c>
    </row>
    <row r="39" spans="1:3" hidden="1" x14ac:dyDescent="0.3">
      <c r="A39" s="26">
        <v>45953</v>
      </c>
      <c r="B39" s="34" t="s">
        <v>21</v>
      </c>
      <c r="C39" s="24">
        <v>37.700000000000003</v>
      </c>
    </row>
    <row r="40" spans="1:3" hidden="1" x14ac:dyDescent="0.3">
      <c r="A40" s="26">
        <v>45958</v>
      </c>
      <c r="B40" s="27" t="s">
        <v>4</v>
      </c>
      <c r="C40" s="24">
        <v>-54.08</v>
      </c>
    </row>
    <row r="41" spans="1:3" hidden="1" x14ac:dyDescent="0.3">
      <c r="A41" s="26">
        <v>45959</v>
      </c>
      <c r="B41" s="27" t="s">
        <v>4</v>
      </c>
      <c r="C41" s="24">
        <v>-90.96</v>
      </c>
    </row>
    <row r="42" spans="1:3" hidden="1" x14ac:dyDescent="0.3">
      <c r="A42" s="26">
        <v>45959</v>
      </c>
      <c r="B42" s="34" t="s">
        <v>21</v>
      </c>
      <c r="C42" s="24">
        <v>189.94</v>
      </c>
    </row>
    <row r="43" spans="1:3" hidden="1" x14ac:dyDescent="0.3">
      <c r="A43" s="26">
        <v>45959</v>
      </c>
      <c r="B43" s="46" t="s">
        <v>21</v>
      </c>
      <c r="C43" s="24">
        <v>26.23</v>
      </c>
    </row>
    <row r="44" spans="1:3" hidden="1" x14ac:dyDescent="0.3">
      <c r="A44" s="26">
        <v>45959</v>
      </c>
      <c r="B44" s="27" t="s">
        <v>1</v>
      </c>
      <c r="C44" s="24">
        <v>53.4</v>
      </c>
    </row>
    <row r="45" spans="1:3" hidden="1" x14ac:dyDescent="0.3">
      <c r="A45" s="26">
        <v>45965</v>
      </c>
      <c r="B45" s="27" t="s">
        <v>4</v>
      </c>
      <c r="C45" s="24">
        <v>-62.4</v>
      </c>
    </row>
    <row r="46" spans="1:3" hidden="1" x14ac:dyDescent="0.3">
      <c r="A46" s="26">
        <v>45967</v>
      </c>
      <c r="B46" s="32" t="s">
        <v>21</v>
      </c>
      <c r="C46" s="24">
        <v>9.84</v>
      </c>
    </row>
    <row r="47" spans="1:3" hidden="1" x14ac:dyDescent="0.3">
      <c r="A47" s="26">
        <v>45967</v>
      </c>
      <c r="B47" s="34" t="s">
        <v>21</v>
      </c>
      <c r="C47" s="24">
        <v>82.73</v>
      </c>
    </row>
    <row r="48" spans="1:3" hidden="1" x14ac:dyDescent="0.3">
      <c r="A48" s="26">
        <v>45968</v>
      </c>
      <c r="B48" s="27" t="s">
        <v>4</v>
      </c>
      <c r="C48" s="24">
        <v>-116.21</v>
      </c>
    </row>
    <row r="49" spans="1:4" hidden="1" x14ac:dyDescent="0.3">
      <c r="A49" s="26">
        <v>45973</v>
      </c>
      <c r="B49" s="27" t="s">
        <v>4</v>
      </c>
      <c r="C49" s="24">
        <v>-91.79</v>
      </c>
    </row>
    <row r="50" spans="1:4" hidden="1" x14ac:dyDescent="0.3">
      <c r="A50" s="26">
        <v>45973</v>
      </c>
      <c r="B50" s="27" t="s">
        <v>1</v>
      </c>
      <c r="C50" s="24">
        <v>163.91</v>
      </c>
    </row>
    <row r="51" spans="1:4" hidden="1" x14ac:dyDescent="0.3">
      <c r="A51" s="26">
        <v>45980</v>
      </c>
      <c r="B51" s="27" t="s">
        <v>4</v>
      </c>
      <c r="C51" s="24">
        <v>-163.91</v>
      </c>
    </row>
    <row r="52" spans="1:4" hidden="1" x14ac:dyDescent="0.3">
      <c r="A52" s="26">
        <v>45980</v>
      </c>
      <c r="B52" s="27" t="s">
        <v>1</v>
      </c>
      <c r="C52" s="24">
        <v>206.74</v>
      </c>
      <c r="D52" s="25">
        <v>1</v>
      </c>
    </row>
    <row r="53" spans="1:4" hidden="1" x14ac:dyDescent="0.3">
      <c r="A53" s="26">
        <v>45986</v>
      </c>
      <c r="B53" s="27" t="s">
        <v>4</v>
      </c>
      <c r="C53" s="24">
        <v>-207.18</v>
      </c>
    </row>
    <row r="54" spans="1:4" x14ac:dyDescent="0.3">
      <c r="A54" s="26">
        <v>45998</v>
      </c>
      <c r="B54" s="27" t="s">
        <v>4</v>
      </c>
      <c r="C54" s="24">
        <v>-267.62</v>
      </c>
    </row>
    <row r="55" spans="1:4" x14ac:dyDescent="0.3">
      <c r="A55" s="26">
        <v>45996</v>
      </c>
      <c r="B55" s="27" t="s">
        <v>1</v>
      </c>
      <c r="C55" s="24">
        <v>265.58999999999997</v>
      </c>
      <c r="D55" s="25">
        <v>1</v>
      </c>
    </row>
    <row r="56" spans="1:4" x14ac:dyDescent="0.3">
      <c r="A56" s="26">
        <v>46003</v>
      </c>
      <c r="B56" s="27" t="s">
        <v>1</v>
      </c>
      <c r="C56" s="24">
        <v>17.34</v>
      </c>
      <c r="D56" s="25">
        <v>-1</v>
      </c>
    </row>
    <row r="57" spans="1:4" x14ac:dyDescent="0.3">
      <c r="A57" s="26">
        <v>46010</v>
      </c>
      <c r="B57" s="27" t="s">
        <v>4</v>
      </c>
      <c r="C57" s="24">
        <v>-17.34</v>
      </c>
    </row>
    <row r="58" spans="1:4" x14ac:dyDescent="0.3">
      <c r="A58" s="26">
        <v>46010</v>
      </c>
      <c r="B58" s="27" t="s">
        <v>1</v>
      </c>
      <c r="C58" s="24">
        <v>22.5</v>
      </c>
    </row>
    <row r="59" spans="1:4" x14ac:dyDescent="0.3">
      <c r="A59" s="26">
        <v>46017</v>
      </c>
      <c r="B59" s="27" t="s">
        <v>4</v>
      </c>
      <c r="C59" s="24">
        <v>-22.5</v>
      </c>
    </row>
    <row r="60" spans="1:4" x14ac:dyDescent="0.3">
      <c r="A60" s="26">
        <v>46017</v>
      </c>
      <c r="B60" s="27" t="s">
        <v>1</v>
      </c>
      <c r="C60" s="24">
        <v>303.97000000000003</v>
      </c>
    </row>
    <row r="61" spans="1:4" x14ac:dyDescent="0.3">
      <c r="A61" s="26">
        <v>46024</v>
      </c>
      <c r="B61" s="27" t="s">
        <v>4</v>
      </c>
      <c r="C61" s="24">
        <v>-303.97000000000003</v>
      </c>
    </row>
    <row r="62" spans="1:4" x14ac:dyDescent="0.3">
      <c r="A62" s="26">
        <v>46031</v>
      </c>
      <c r="B62" s="27" t="s">
        <v>1</v>
      </c>
      <c r="C62" s="24">
        <v>63.74</v>
      </c>
    </row>
    <row r="63" spans="1:4" x14ac:dyDescent="0.3">
      <c r="A63" s="26">
        <v>46038</v>
      </c>
      <c r="B63" s="27" t="s">
        <v>4</v>
      </c>
      <c r="C63" s="24">
        <v>-61.95</v>
      </c>
    </row>
    <row r="64" spans="1:4" x14ac:dyDescent="0.3">
      <c r="A64" s="26">
        <v>46038</v>
      </c>
      <c r="B64" s="27" t="s">
        <v>1</v>
      </c>
      <c r="C64" s="24">
        <v>51.76</v>
      </c>
    </row>
    <row r="65" spans="1:3" x14ac:dyDescent="0.3">
      <c r="A65" s="26">
        <v>46044</v>
      </c>
      <c r="B65" s="27" t="s">
        <v>4</v>
      </c>
      <c r="C65" s="24">
        <v>-51.76</v>
      </c>
    </row>
    <row r="66" spans="1:3" x14ac:dyDescent="0.3">
      <c r="A66" s="26">
        <v>46052</v>
      </c>
      <c r="B66" s="27" t="s">
        <v>1</v>
      </c>
      <c r="C66" s="24">
        <v>335.58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68015-FB4B-4E60-88AB-9716CCB1BDF5}">
  <dimension ref="A1:M49"/>
  <sheetViews>
    <sheetView view="pageBreakPreview" zoomScale="80" zoomScaleNormal="100" zoomScaleSheetLayoutView="80" workbookViewId="0">
      <selection activeCell="D11" sqref="D11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13" x14ac:dyDescent="0.3">
      <c r="A1" s="16" t="s">
        <v>15</v>
      </c>
      <c r="B1" s="17" t="s">
        <v>442</v>
      </c>
      <c r="C1" s="17"/>
      <c r="D1" s="17"/>
      <c r="E1" s="17"/>
      <c r="F1" s="17"/>
      <c r="G1" s="18"/>
      <c r="H1" s="16"/>
    </row>
    <row r="2" spans="1:13" x14ac:dyDescent="0.3">
      <c r="A2" s="16" t="s">
        <v>91</v>
      </c>
      <c r="B2" s="17"/>
      <c r="C2" s="17"/>
      <c r="D2" s="17"/>
      <c r="E2" s="17"/>
      <c r="F2" s="17"/>
      <c r="G2" s="17"/>
      <c r="M2" s="18">
        <f>4319.86-100</f>
        <v>4219.8599999999997</v>
      </c>
    </row>
    <row r="3" spans="1:13" ht="14.4" thickBot="1" x14ac:dyDescent="0.35">
      <c r="A3" s="138" t="s">
        <v>16</v>
      </c>
      <c r="B3" s="139"/>
      <c r="C3" s="19">
        <f>SUM(C$4:C$1048576)</f>
        <v>0.25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13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13" x14ac:dyDescent="0.3">
      <c r="A5" s="21">
        <v>45912</v>
      </c>
      <c r="B5" s="34" t="s">
        <v>21</v>
      </c>
      <c r="C5" s="24">
        <v>22.12</v>
      </c>
      <c r="D5" s="30"/>
      <c r="E5" s="30"/>
      <c r="F5" s="30"/>
      <c r="G5" s="22"/>
    </row>
    <row r="6" spans="1:13" x14ac:dyDescent="0.3">
      <c r="A6" s="21">
        <v>45958</v>
      </c>
      <c r="B6" s="27" t="s">
        <v>22</v>
      </c>
      <c r="C6" s="24">
        <v>-108.75</v>
      </c>
    </row>
    <row r="7" spans="1:13" x14ac:dyDescent="0.3">
      <c r="A7" s="21">
        <v>45961</v>
      </c>
      <c r="B7" s="27" t="s">
        <v>4</v>
      </c>
      <c r="C7" s="24">
        <v>-22.12</v>
      </c>
    </row>
    <row r="8" spans="1:13" x14ac:dyDescent="0.3">
      <c r="A8" s="21">
        <v>45961</v>
      </c>
      <c r="B8" s="27" t="s">
        <v>1</v>
      </c>
      <c r="C8" s="24">
        <v>115</v>
      </c>
      <c r="D8" s="25">
        <v>5</v>
      </c>
    </row>
    <row r="9" spans="1:13" x14ac:dyDescent="0.3">
      <c r="A9" s="26">
        <v>45964</v>
      </c>
      <c r="B9" s="27" t="s">
        <v>4</v>
      </c>
      <c r="C9" s="24">
        <v>-6</v>
      </c>
    </row>
    <row r="10" spans="1:13" x14ac:dyDescent="0.3">
      <c r="A10" s="26">
        <v>46036</v>
      </c>
      <c r="B10" s="27" t="s">
        <v>536</v>
      </c>
      <c r="D10" s="25">
        <v>-5</v>
      </c>
    </row>
    <row r="45" spans="2:2" x14ac:dyDescent="0.3">
      <c r="B45" s="32"/>
    </row>
    <row r="46" spans="2:2" x14ac:dyDescent="0.3">
      <c r="B46" s="34"/>
    </row>
    <row r="48" spans="2:2" x14ac:dyDescent="0.3">
      <c r="B48" s="32"/>
    </row>
    <row r="49" spans="2:2" x14ac:dyDescent="0.3">
      <c r="B49" s="34"/>
    </row>
  </sheetData>
  <mergeCells count="1">
    <mergeCell ref="A3:B3"/>
  </mergeCells>
  <pageMargins left="0.7" right="0.7" top="0.75" bottom="0.75" header="0.3" footer="0.3"/>
  <pageSetup paperSize="5" scale="81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D7905-2E08-407F-BB2E-28685325C5F9}">
  <sheetPr codeName="Hoja14"/>
  <dimension ref="A1:M137"/>
  <sheetViews>
    <sheetView view="pageBreakPreview" topLeftCell="A106" zoomScale="80" zoomScaleNormal="100" zoomScaleSheetLayoutView="80" workbookViewId="0">
      <selection activeCell="A137" sqref="A137:B13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13" x14ac:dyDescent="0.3">
      <c r="A1" s="16" t="s">
        <v>15</v>
      </c>
      <c r="B1" s="17" t="s">
        <v>115</v>
      </c>
      <c r="C1" s="17"/>
      <c r="D1" s="17"/>
      <c r="E1" s="17"/>
      <c r="F1" s="17"/>
      <c r="G1" s="18"/>
      <c r="H1" s="16"/>
    </row>
    <row r="2" spans="1:13" x14ac:dyDescent="0.3">
      <c r="A2" s="16" t="s">
        <v>91</v>
      </c>
      <c r="B2" s="17"/>
      <c r="C2" s="17"/>
      <c r="D2" s="17"/>
      <c r="E2" s="17"/>
      <c r="F2" s="17"/>
      <c r="G2" s="17"/>
      <c r="M2" s="18">
        <f>4319.86-100</f>
        <v>4219.8599999999997</v>
      </c>
    </row>
    <row r="3" spans="1:13" ht="14.4" thickBot="1" x14ac:dyDescent="0.35">
      <c r="A3" s="138" t="s">
        <v>16</v>
      </c>
      <c r="B3" s="139"/>
      <c r="C3" s="19">
        <f>SUM(C$4:C$1048576)</f>
        <v>127.18</v>
      </c>
      <c r="D3" s="20">
        <f>SUM(D$4:D$1048576)</f>
        <v>0</v>
      </c>
      <c r="E3" s="20">
        <f>SUM(E$5:E$1048576)</f>
        <v>-1</v>
      </c>
      <c r="F3" s="20">
        <f>SUM(F$5:F$1048576)</f>
        <v>-2</v>
      </c>
      <c r="G3" s="19">
        <f>SUM(G$5:G$1048576)</f>
        <v>0</v>
      </c>
    </row>
    <row r="4" spans="1:13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13" hidden="1" x14ac:dyDescent="0.3">
      <c r="A5" s="21">
        <v>45815</v>
      </c>
      <c r="B5" s="32" t="s">
        <v>21</v>
      </c>
      <c r="C5" s="24">
        <v>23.55</v>
      </c>
      <c r="D5" s="30">
        <v>1</v>
      </c>
      <c r="E5" s="30"/>
      <c r="F5" s="30"/>
      <c r="G5" s="22"/>
    </row>
    <row r="6" spans="1:13" hidden="1" x14ac:dyDescent="0.3">
      <c r="A6" s="21">
        <v>45815</v>
      </c>
      <c r="B6" s="34" t="s">
        <v>21</v>
      </c>
      <c r="C6" s="24">
        <v>44.6</v>
      </c>
    </row>
    <row r="7" spans="1:13" hidden="1" x14ac:dyDescent="0.3">
      <c r="A7" s="21">
        <v>45815</v>
      </c>
      <c r="B7" s="46" t="s">
        <v>21</v>
      </c>
      <c r="C7" s="24">
        <v>9.15</v>
      </c>
    </row>
    <row r="8" spans="1:13" hidden="1" x14ac:dyDescent="0.3">
      <c r="A8" s="26">
        <v>45824</v>
      </c>
      <c r="B8" s="27" t="s">
        <v>4</v>
      </c>
      <c r="C8" s="24">
        <v>-77.78</v>
      </c>
    </row>
    <row r="9" spans="1:13" hidden="1" x14ac:dyDescent="0.3">
      <c r="A9" s="26">
        <v>45826</v>
      </c>
      <c r="B9" s="34" t="s">
        <v>21</v>
      </c>
      <c r="C9" s="24">
        <v>71.12</v>
      </c>
    </row>
    <row r="10" spans="1:13" hidden="1" x14ac:dyDescent="0.3">
      <c r="A10" s="26">
        <v>45833</v>
      </c>
      <c r="B10" s="34" t="s">
        <v>21</v>
      </c>
      <c r="C10" s="24">
        <v>55.35</v>
      </c>
    </row>
    <row r="11" spans="1:13" hidden="1" x14ac:dyDescent="0.3">
      <c r="A11" s="26">
        <v>45833</v>
      </c>
      <c r="B11" s="46" t="s">
        <v>21</v>
      </c>
      <c r="C11" s="24">
        <v>5.66</v>
      </c>
    </row>
    <row r="12" spans="1:13" hidden="1" x14ac:dyDescent="0.3">
      <c r="A12" s="26">
        <v>45840</v>
      </c>
      <c r="B12" s="31" t="s">
        <v>4</v>
      </c>
      <c r="C12" s="24">
        <v>-61</v>
      </c>
    </row>
    <row r="13" spans="1:13" hidden="1" x14ac:dyDescent="0.3">
      <c r="A13" s="26">
        <v>45840</v>
      </c>
      <c r="B13" s="27" t="s">
        <v>4</v>
      </c>
      <c r="C13" s="24">
        <v>-71.12</v>
      </c>
    </row>
    <row r="14" spans="1:13" hidden="1" x14ac:dyDescent="0.3">
      <c r="A14" s="26">
        <v>45840</v>
      </c>
      <c r="B14" s="32" t="s">
        <v>21</v>
      </c>
      <c r="C14" s="24">
        <v>15.85</v>
      </c>
    </row>
    <row r="15" spans="1:13" hidden="1" x14ac:dyDescent="0.3">
      <c r="A15" s="26">
        <v>45840</v>
      </c>
      <c r="B15" s="34" t="s">
        <v>21</v>
      </c>
      <c r="C15" s="24">
        <v>63.95</v>
      </c>
    </row>
    <row r="16" spans="1:13" hidden="1" x14ac:dyDescent="0.3">
      <c r="A16" s="26">
        <v>45847</v>
      </c>
      <c r="B16" s="34" t="s">
        <v>21</v>
      </c>
      <c r="C16" s="24">
        <v>46.11</v>
      </c>
    </row>
    <row r="17" spans="1:4" hidden="1" x14ac:dyDescent="0.3">
      <c r="A17" s="26">
        <v>45854</v>
      </c>
      <c r="B17" s="27" t="s">
        <v>4</v>
      </c>
      <c r="C17" s="24">
        <v>-11.23</v>
      </c>
    </row>
    <row r="18" spans="1:4" hidden="1" x14ac:dyDescent="0.3">
      <c r="A18" s="26">
        <v>45854</v>
      </c>
      <c r="B18" s="27" t="s">
        <v>4</v>
      </c>
      <c r="C18" s="24">
        <v>-68.48</v>
      </c>
    </row>
    <row r="19" spans="1:4" hidden="1" x14ac:dyDescent="0.3">
      <c r="A19" s="26">
        <v>45854</v>
      </c>
      <c r="B19" s="27" t="s">
        <v>4</v>
      </c>
      <c r="C19" s="24">
        <v>-46.11</v>
      </c>
    </row>
    <row r="20" spans="1:4" x14ac:dyDescent="0.3">
      <c r="A20" s="26">
        <v>45854</v>
      </c>
      <c r="B20" s="32" t="s">
        <v>21</v>
      </c>
      <c r="C20" s="24">
        <v>15.85</v>
      </c>
    </row>
    <row r="21" spans="1:4" x14ac:dyDescent="0.3">
      <c r="A21" s="26">
        <v>45854</v>
      </c>
      <c r="B21" s="34" t="s">
        <v>21</v>
      </c>
      <c r="C21" s="24">
        <v>42.96</v>
      </c>
    </row>
    <row r="22" spans="1:4" x14ac:dyDescent="0.3">
      <c r="A22" s="26">
        <v>45861</v>
      </c>
      <c r="B22" s="27" t="s">
        <v>4</v>
      </c>
      <c r="C22" s="24">
        <v>-41.52</v>
      </c>
    </row>
    <row r="23" spans="1:4" x14ac:dyDescent="0.3">
      <c r="A23" s="26">
        <v>45861</v>
      </c>
      <c r="B23" s="34" t="s">
        <v>21</v>
      </c>
      <c r="C23" s="24">
        <v>49.88</v>
      </c>
    </row>
    <row r="24" spans="1:4" x14ac:dyDescent="0.3">
      <c r="A24" s="26">
        <v>45863</v>
      </c>
      <c r="B24" s="27" t="s">
        <v>4</v>
      </c>
      <c r="C24" s="24">
        <v>-17.28</v>
      </c>
    </row>
    <row r="25" spans="1:4" x14ac:dyDescent="0.3">
      <c r="A25" s="26">
        <v>45868</v>
      </c>
      <c r="B25" s="32" t="s">
        <v>21</v>
      </c>
      <c r="C25" s="24">
        <v>15.85</v>
      </c>
      <c r="D25" s="25">
        <v>-1</v>
      </c>
    </row>
    <row r="26" spans="1:4" x14ac:dyDescent="0.3">
      <c r="A26" s="26">
        <v>45868</v>
      </c>
      <c r="B26" s="34" t="s">
        <v>21</v>
      </c>
      <c r="C26" s="24">
        <v>58.62</v>
      </c>
    </row>
    <row r="27" spans="1:4" x14ac:dyDescent="0.3">
      <c r="A27" s="26">
        <v>45869</v>
      </c>
      <c r="B27" s="27" t="s">
        <v>4</v>
      </c>
      <c r="C27" s="24">
        <v>-9.7200000000000006</v>
      </c>
    </row>
    <row r="28" spans="1:4" x14ac:dyDescent="0.3">
      <c r="A28" s="26">
        <v>45869</v>
      </c>
      <c r="B28" s="34" t="s">
        <v>21</v>
      </c>
      <c r="C28" s="24">
        <v>13.68</v>
      </c>
    </row>
    <row r="29" spans="1:4" x14ac:dyDescent="0.3">
      <c r="A29" s="26">
        <v>45876</v>
      </c>
      <c r="B29" s="27" t="s">
        <v>4</v>
      </c>
      <c r="C29" s="24">
        <v>-40.159999999999997</v>
      </c>
    </row>
    <row r="30" spans="1:4" x14ac:dyDescent="0.3">
      <c r="A30" s="26">
        <v>45876</v>
      </c>
      <c r="B30" s="27" t="s">
        <v>4</v>
      </c>
      <c r="C30" s="24">
        <v>-61.99</v>
      </c>
    </row>
    <row r="31" spans="1:4" x14ac:dyDescent="0.3">
      <c r="A31" s="26">
        <v>45876</v>
      </c>
      <c r="B31" s="32" t="s">
        <v>21</v>
      </c>
      <c r="C31" s="24">
        <v>4.5</v>
      </c>
    </row>
    <row r="32" spans="1:4" x14ac:dyDescent="0.3">
      <c r="A32" s="26">
        <v>45876</v>
      </c>
      <c r="B32" s="34" t="s">
        <v>21</v>
      </c>
      <c r="C32" s="24">
        <v>45.58</v>
      </c>
    </row>
    <row r="33" spans="1:3" x14ac:dyDescent="0.3">
      <c r="A33" s="26">
        <v>45880</v>
      </c>
      <c r="B33" s="27" t="s">
        <v>4</v>
      </c>
      <c r="C33" s="24">
        <v>-26.16</v>
      </c>
    </row>
    <row r="34" spans="1:3" x14ac:dyDescent="0.3">
      <c r="A34" s="26">
        <v>45883</v>
      </c>
      <c r="B34" s="27" t="s">
        <v>4</v>
      </c>
      <c r="C34" s="24">
        <v>-37.18</v>
      </c>
    </row>
    <row r="35" spans="1:3" x14ac:dyDescent="0.3">
      <c r="A35" s="26">
        <v>45883</v>
      </c>
      <c r="B35" s="32" t="s">
        <v>21</v>
      </c>
      <c r="C35" s="24">
        <v>18.600000000000001</v>
      </c>
    </row>
    <row r="36" spans="1:3" x14ac:dyDescent="0.3">
      <c r="A36" s="26">
        <v>45883</v>
      </c>
      <c r="B36" s="34" t="s">
        <v>21</v>
      </c>
      <c r="C36" s="24">
        <v>39.53</v>
      </c>
    </row>
    <row r="37" spans="1:3" x14ac:dyDescent="0.3">
      <c r="A37" s="26">
        <v>45887</v>
      </c>
      <c r="B37" s="27" t="s">
        <v>4</v>
      </c>
      <c r="C37" s="24">
        <v>-13.55</v>
      </c>
    </row>
    <row r="38" spans="1:3" x14ac:dyDescent="0.3">
      <c r="A38" s="26">
        <v>45889</v>
      </c>
      <c r="B38" s="27" t="s">
        <v>4</v>
      </c>
      <c r="C38" s="24">
        <v>-35.869999999999997</v>
      </c>
    </row>
    <row r="39" spans="1:3" x14ac:dyDescent="0.3">
      <c r="A39" s="26">
        <v>45889</v>
      </c>
      <c r="B39" s="32" t="s">
        <v>21</v>
      </c>
      <c r="C39" s="24">
        <v>33.85</v>
      </c>
    </row>
    <row r="40" spans="1:3" x14ac:dyDescent="0.3">
      <c r="A40" s="26">
        <v>45889</v>
      </c>
      <c r="B40" s="34" t="s">
        <v>21</v>
      </c>
      <c r="C40" s="24">
        <v>47.5</v>
      </c>
    </row>
    <row r="41" spans="1:3" x14ac:dyDescent="0.3">
      <c r="A41" s="26">
        <v>45895</v>
      </c>
      <c r="B41" s="27" t="s">
        <v>4</v>
      </c>
      <c r="C41" s="24">
        <v>-22.85</v>
      </c>
    </row>
    <row r="42" spans="1:3" x14ac:dyDescent="0.3">
      <c r="A42" s="26">
        <v>45896</v>
      </c>
      <c r="B42" s="34" t="s">
        <v>21</v>
      </c>
      <c r="C42" s="24">
        <v>43.33</v>
      </c>
    </row>
    <row r="43" spans="1:3" x14ac:dyDescent="0.3">
      <c r="A43" s="26">
        <v>45902</v>
      </c>
      <c r="B43" s="27" t="s">
        <v>4</v>
      </c>
      <c r="C43" s="24">
        <v>-53.89</v>
      </c>
    </row>
    <row r="44" spans="1:3" x14ac:dyDescent="0.3">
      <c r="A44" s="26">
        <v>45904</v>
      </c>
      <c r="B44" s="27" t="s">
        <v>4</v>
      </c>
      <c r="C44" s="24">
        <v>-43.32</v>
      </c>
    </row>
    <row r="45" spans="1:3" x14ac:dyDescent="0.3">
      <c r="A45" s="26">
        <v>45903</v>
      </c>
      <c r="B45" s="32" t="s">
        <v>21</v>
      </c>
      <c r="C45" s="24">
        <v>9</v>
      </c>
    </row>
    <row r="46" spans="1:3" x14ac:dyDescent="0.3">
      <c r="A46" s="26">
        <v>45903</v>
      </c>
      <c r="B46" s="34" t="s">
        <v>21</v>
      </c>
      <c r="C46" s="24">
        <v>26.68</v>
      </c>
    </row>
    <row r="47" spans="1:3" x14ac:dyDescent="0.3">
      <c r="A47" s="26">
        <v>45910</v>
      </c>
      <c r="B47" s="27" t="s">
        <v>4</v>
      </c>
      <c r="C47" s="24">
        <v>-12.79</v>
      </c>
    </row>
    <row r="48" spans="1:3" x14ac:dyDescent="0.3">
      <c r="A48" s="26">
        <v>45910</v>
      </c>
      <c r="B48" s="32" t="s">
        <v>21</v>
      </c>
      <c r="C48" s="24">
        <v>9</v>
      </c>
    </row>
    <row r="49" spans="1:3" x14ac:dyDescent="0.3">
      <c r="A49" s="26">
        <v>45910</v>
      </c>
      <c r="B49" s="34" t="s">
        <v>21</v>
      </c>
      <c r="C49" s="24">
        <v>51.21</v>
      </c>
    </row>
    <row r="50" spans="1:3" x14ac:dyDescent="0.3">
      <c r="A50" s="26">
        <v>45912</v>
      </c>
      <c r="B50" s="27" t="s">
        <v>4</v>
      </c>
      <c r="C50" s="24">
        <v>-22.65</v>
      </c>
    </row>
    <row r="51" spans="1:3" x14ac:dyDescent="0.3">
      <c r="A51" s="26">
        <v>45917</v>
      </c>
      <c r="B51" s="27" t="s">
        <v>4</v>
      </c>
      <c r="C51" s="24">
        <v>-36.659999999999997</v>
      </c>
    </row>
    <row r="52" spans="1:3" x14ac:dyDescent="0.3">
      <c r="A52" s="26">
        <v>45918</v>
      </c>
      <c r="B52" s="27" t="s">
        <v>4</v>
      </c>
      <c r="C52" s="24">
        <v>-6.11</v>
      </c>
    </row>
    <row r="53" spans="1:3" x14ac:dyDescent="0.3">
      <c r="A53" s="26">
        <v>45918</v>
      </c>
      <c r="B53" s="32" t="s">
        <v>21</v>
      </c>
      <c r="C53" s="24">
        <v>43.69</v>
      </c>
    </row>
    <row r="54" spans="1:3" x14ac:dyDescent="0.3">
      <c r="A54" s="26">
        <v>45918</v>
      </c>
      <c r="B54" s="34" t="s">
        <v>21</v>
      </c>
      <c r="C54" s="24">
        <v>55.79</v>
      </c>
    </row>
    <row r="55" spans="1:3" x14ac:dyDescent="0.3">
      <c r="A55" s="26">
        <v>45922</v>
      </c>
      <c r="B55" s="27" t="s">
        <v>4</v>
      </c>
      <c r="C55" s="24">
        <v>-18.13</v>
      </c>
    </row>
    <row r="56" spans="1:3" x14ac:dyDescent="0.3">
      <c r="A56" s="26">
        <v>45925</v>
      </c>
      <c r="B56" s="27" t="s">
        <v>4</v>
      </c>
      <c r="C56" s="24">
        <v>-49.46</v>
      </c>
    </row>
    <row r="57" spans="1:3" x14ac:dyDescent="0.3">
      <c r="A57" s="26">
        <v>45925</v>
      </c>
      <c r="B57" s="32" t="s">
        <v>21</v>
      </c>
      <c r="C57" s="24">
        <v>9</v>
      </c>
    </row>
    <row r="58" spans="1:3" x14ac:dyDescent="0.3">
      <c r="A58" s="26">
        <v>45925</v>
      </c>
      <c r="B58" s="34" t="s">
        <v>21</v>
      </c>
      <c r="C58" s="24">
        <v>39.96</v>
      </c>
    </row>
    <row r="59" spans="1:3" x14ac:dyDescent="0.3">
      <c r="A59" s="26">
        <v>45930</v>
      </c>
      <c r="B59" s="27" t="s">
        <v>4</v>
      </c>
      <c r="C59" s="24">
        <v>-11.26</v>
      </c>
    </row>
    <row r="60" spans="1:3" x14ac:dyDescent="0.3">
      <c r="A60" s="26">
        <v>45930</v>
      </c>
      <c r="B60" s="27" t="s">
        <v>4</v>
      </c>
      <c r="C60" s="24">
        <v>-19.71</v>
      </c>
    </row>
    <row r="61" spans="1:3" x14ac:dyDescent="0.3">
      <c r="A61" s="26">
        <v>45931</v>
      </c>
      <c r="B61" s="27" t="s">
        <v>4</v>
      </c>
      <c r="C61" s="24">
        <v>-11.29</v>
      </c>
    </row>
    <row r="62" spans="1:3" x14ac:dyDescent="0.3">
      <c r="A62" s="26">
        <v>45932</v>
      </c>
      <c r="B62" s="32" t="s">
        <v>21</v>
      </c>
      <c r="C62" s="24">
        <v>20.350000000000001</v>
      </c>
    </row>
    <row r="63" spans="1:3" x14ac:dyDescent="0.3">
      <c r="A63" s="26">
        <v>45932</v>
      </c>
      <c r="B63" s="34" t="s">
        <v>21</v>
      </c>
      <c r="C63" s="24">
        <v>31.35</v>
      </c>
    </row>
    <row r="64" spans="1:3" x14ac:dyDescent="0.3">
      <c r="A64" s="26">
        <v>45933</v>
      </c>
      <c r="B64" s="27" t="s">
        <v>4</v>
      </c>
      <c r="C64" s="24">
        <v>-38.22</v>
      </c>
    </row>
    <row r="65" spans="1:3" x14ac:dyDescent="0.3">
      <c r="A65" s="26">
        <v>45934</v>
      </c>
      <c r="B65" s="27" t="s">
        <v>4</v>
      </c>
      <c r="C65" s="24">
        <v>-11.96</v>
      </c>
    </row>
    <row r="66" spans="1:3" x14ac:dyDescent="0.3">
      <c r="A66" s="26">
        <v>45937</v>
      </c>
      <c r="B66" s="27" t="s">
        <v>4</v>
      </c>
      <c r="C66" s="24">
        <v>-21.36</v>
      </c>
    </row>
    <row r="67" spans="1:3" x14ac:dyDescent="0.3">
      <c r="A67" s="26">
        <v>45939</v>
      </c>
      <c r="B67" s="32" t="s">
        <v>21</v>
      </c>
      <c r="C67" s="24">
        <v>27.84</v>
      </c>
    </row>
    <row r="68" spans="1:3" x14ac:dyDescent="0.3">
      <c r="A68" s="26">
        <v>45939</v>
      </c>
      <c r="B68" s="34" t="s">
        <v>21</v>
      </c>
      <c r="C68" s="24">
        <v>28.31</v>
      </c>
    </row>
    <row r="69" spans="1:3" x14ac:dyDescent="0.3">
      <c r="A69" s="26">
        <v>45942</v>
      </c>
      <c r="B69" s="27" t="s">
        <v>4</v>
      </c>
      <c r="C69" s="24">
        <v>-17.93</v>
      </c>
    </row>
    <row r="70" spans="1:3" x14ac:dyDescent="0.3">
      <c r="A70" s="26">
        <v>45943</v>
      </c>
      <c r="B70" s="27" t="s">
        <v>4</v>
      </c>
      <c r="C70" s="24">
        <v>-13.28</v>
      </c>
    </row>
    <row r="71" spans="1:3" x14ac:dyDescent="0.3">
      <c r="A71" s="26">
        <v>45946</v>
      </c>
      <c r="B71" s="27" t="s">
        <v>4</v>
      </c>
      <c r="C71" s="24">
        <v>-19.64</v>
      </c>
    </row>
    <row r="72" spans="1:3" x14ac:dyDescent="0.3">
      <c r="A72" s="26">
        <v>45946</v>
      </c>
      <c r="B72" s="32" t="s">
        <v>21</v>
      </c>
      <c r="C72" s="24">
        <v>25.38</v>
      </c>
    </row>
    <row r="73" spans="1:3" x14ac:dyDescent="0.3">
      <c r="A73" s="26">
        <v>45946</v>
      </c>
      <c r="B73" s="34" t="s">
        <v>21</v>
      </c>
      <c r="C73" s="24">
        <v>27.24</v>
      </c>
    </row>
    <row r="74" spans="1:3" x14ac:dyDescent="0.3">
      <c r="A74" s="26">
        <v>45950</v>
      </c>
      <c r="B74" s="27" t="s">
        <v>4</v>
      </c>
      <c r="C74" s="24">
        <v>-44.89</v>
      </c>
    </row>
    <row r="75" spans="1:3" x14ac:dyDescent="0.3">
      <c r="A75" s="26">
        <v>45953</v>
      </c>
      <c r="B75" s="27" t="s">
        <v>4</v>
      </c>
      <c r="C75" s="24">
        <v>-37.65</v>
      </c>
    </row>
    <row r="76" spans="1:3" x14ac:dyDescent="0.3">
      <c r="A76" s="26">
        <v>45953</v>
      </c>
      <c r="B76" s="32" t="s">
        <v>21</v>
      </c>
      <c r="C76" s="24">
        <v>9</v>
      </c>
    </row>
    <row r="77" spans="1:3" x14ac:dyDescent="0.3">
      <c r="A77" s="26">
        <v>45953</v>
      </c>
      <c r="B77" s="34" t="s">
        <v>21</v>
      </c>
      <c r="C77" s="24">
        <v>59.79</v>
      </c>
    </row>
    <row r="78" spans="1:3" x14ac:dyDescent="0.3">
      <c r="A78" s="26">
        <v>45958</v>
      </c>
      <c r="B78" s="27" t="s">
        <v>4</v>
      </c>
      <c r="C78" s="24">
        <v>-7.65</v>
      </c>
    </row>
    <row r="79" spans="1:3" x14ac:dyDescent="0.3">
      <c r="A79" s="26">
        <v>45960</v>
      </c>
      <c r="B79" s="27" t="s">
        <v>4</v>
      </c>
      <c r="C79" s="24">
        <v>-36.08</v>
      </c>
    </row>
    <row r="80" spans="1:3" x14ac:dyDescent="0.3">
      <c r="A80" s="26">
        <v>45960</v>
      </c>
      <c r="B80" s="32" t="s">
        <v>21</v>
      </c>
      <c r="C80" s="24">
        <v>19</v>
      </c>
    </row>
    <row r="81" spans="1:3" x14ac:dyDescent="0.3">
      <c r="A81" s="26">
        <v>45960</v>
      </c>
      <c r="B81" s="34" t="s">
        <v>21</v>
      </c>
      <c r="C81" s="24">
        <v>48</v>
      </c>
    </row>
    <row r="82" spans="1:3" x14ac:dyDescent="0.3">
      <c r="A82" s="26">
        <v>45964</v>
      </c>
      <c r="B82" s="27" t="s">
        <v>4</v>
      </c>
      <c r="C82" s="24">
        <v>-35.99</v>
      </c>
    </row>
    <row r="83" spans="1:3" x14ac:dyDescent="0.3">
      <c r="A83" s="26">
        <v>45966</v>
      </c>
      <c r="B83" s="27" t="s">
        <v>4</v>
      </c>
      <c r="C83" s="24">
        <v>-35.380000000000003</v>
      </c>
    </row>
    <row r="84" spans="1:3" x14ac:dyDescent="0.3">
      <c r="A84" s="26">
        <v>45967</v>
      </c>
      <c r="B84" s="27" t="s">
        <v>4</v>
      </c>
      <c r="C84" s="24">
        <v>-13.18</v>
      </c>
    </row>
    <row r="85" spans="1:3" x14ac:dyDescent="0.3">
      <c r="A85" s="26">
        <v>45967</v>
      </c>
      <c r="B85" s="32" t="s">
        <v>21</v>
      </c>
      <c r="C85" s="24">
        <v>20.88</v>
      </c>
    </row>
    <row r="86" spans="1:3" x14ac:dyDescent="0.3">
      <c r="A86" s="26">
        <v>45967</v>
      </c>
      <c r="B86" s="34" t="s">
        <v>21</v>
      </c>
      <c r="C86" s="24">
        <v>59.67</v>
      </c>
    </row>
    <row r="87" spans="1:3" x14ac:dyDescent="0.3">
      <c r="A87" s="26">
        <v>45974</v>
      </c>
      <c r="B87" s="27" t="s">
        <v>1</v>
      </c>
      <c r="C87" s="24">
        <v>46.1</v>
      </c>
    </row>
    <row r="88" spans="1:3" x14ac:dyDescent="0.3">
      <c r="A88" s="26">
        <v>45975</v>
      </c>
      <c r="B88" s="27" t="s">
        <v>4</v>
      </c>
      <c r="C88" s="24">
        <v>-20.16</v>
      </c>
    </row>
    <row r="89" spans="1:3" x14ac:dyDescent="0.3">
      <c r="A89" s="26">
        <v>45980</v>
      </c>
      <c r="B89" s="27" t="s">
        <v>4</v>
      </c>
      <c r="C89" s="24">
        <v>-46.1</v>
      </c>
    </row>
    <row r="90" spans="1:3" x14ac:dyDescent="0.3">
      <c r="A90" s="26">
        <v>45981</v>
      </c>
      <c r="B90" s="27" t="s">
        <v>4</v>
      </c>
      <c r="C90" s="24">
        <v>-20.81</v>
      </c>
    </row>
    <row r="91" spans="1:3" x14ac:dyDescent="0.3">
      <c r="A91" s="26">
        <v>45981</v>
      </c>
      <c r="B91" s="27" t="s">
        <v>4</v>
      </c>
      <c r="C91" s="24">
        <v>-24.84</v>
      </c>
    </row>
    <row r="92" spans="1:3" x14ac:dyDescent="0.3">
      <c r="A92" s="26">
        <v>45981</v>
      </c>
      <c r="B92" s="27" t="s">
        <v>1</v>
      </c>
      <c r="C92" s="24">
        <v>80.599999999999994</v>
      </c>
    </row>
    <row r="93" spans="1:3" x14ac:dyDescent="0.3">
      <c r="A93" s="26">
        <v>45982</v>
      </c>
      <c r="B93" s="27" t="s">
        <v>4</v>
      </c>
      <c r="C93" s="24">
        <v>-20.7</v>
      </c>
    </row>
    <row r="94" spans="1:3" x14ac:dyDescent="0.3">
      <c r="A94" s="26">
        <v>45985</v>
      </c>
      <c r="B94" s="27" t="s">
        <v>4</v>
      </c>
      <c r="C94" s="24">
        <v>-14.73</v>
      </c>
    </row>
    <row r="95" spans="1:3" x14ac:dyDescent="0.3">
      <c r="A95" s="26">
        <v>45985</v>
      </c>
      <c r="B95" s="27" t="s">
        <v>4</v>
      </c>
      <c r="C95" s="24">
        <v>-32.909999999999997</v>
      </c>
    </row>
    <row r="96" spans="1:3" x14ac:dyDescent="0.3">
      <c r="A96" s="26">
        <v>45987</v>
      </c>
      <c r="B96" s="27" t="s">
        <v>4</v>
      </c>
      <c r="C96" s="24">
        <v>-20.53</v>
      </c>
    </row>
    <row r="97" spans="1:5" x14ac:dyDescent="0.3">
      <c r="A97" s="26">
        <v>45988</v>
      </c>
      <c r="B97" s="27" t="s">
        <v>4</v>
      </c>
      <c r="C97" s="24">
        <v>-12.26</v>
      </c>
    </row>
    <row r="98" spans="1:5" x14ac:dyDescent="0.3">
      <c r="A98" s="26">
        <v>45988</v>
      </c>
      <c r="B98" s="27" t="s">
        <v>1</v>
      </c>
      <c r="C98" s="24">
        <v>72.77</v>
      </c>
    </row>
    <row r="99" spans="1:5" x14ac:dyDescent="0.3">
      <c r="A99" s="26">
        <v>45992</v>
      </c>
      <c r="B99" s="27" t="s">
        <v>4</v>
      </c>
      <c r="C99" s="24">
        <v>-15.9</v>
      </c>
    </row>
    <row r="100" spans="1:5" x14ac:dyDescent="0.3">
      <c r="A100" s="26">
        <v>45995</v>
      </c>
      <c r="B100" s="27" t="s">
        <v>4</v>
      </c>
      <c r="C100" s="24">
        <v>-19.850000000000001</v>
      </c>
    </row>
    <row r="101" spans="1:5" x14ac:dyDescent="0.3">
      <c r="A101" s="26">
        <v>45995</v>
      </c>
      <c r="B101" s="27" t="s">
        <v>1</v>
      </c>
      <c r="C101" s="24">
        <v>49.5</v>
      </c>
    </row>
    <row r="102" spans="1:5" x14ac:dyDescent="0.3">
      <c r="A102" s="26">
        <v>45996</v>
      </c>
      <c r="B102" s="27" t="s">
        <v>4</v>
      </c>
      <c r="C102" s="24">
        <v>-15.69</v>
      </c>
    </row>
    <row r="103" spans="1:5" x14ac:dyDescent="0.3">
      <c r="A103" s="26">
        <v>45999</v>
      </c>
      <c r="B103" s="27" t="s">
        <v>4</v>
      </c>
      <c r="C103" s="24">
        <v>-17.45</v>
      </c>
    </row>
    <row r="104" spans="1:5" x14ac:dyDescent="0.3">
      <c r="A104" s="26">
        <v>46001</v>
      </c>
      <c r="B104" s="27" t="s">
        <v>4</v>
      </c>
      <c r="C104" s="24">
        <v>-21.26</v>
      </c>
    </row>
    <row r="105" spans="1:5" x14ac:dyDescent="0.3">
      <c r="A105" s="26">
        <v>46002</v>
      </c>
      <c r="B105" s="27" t="s">
        <v>4</v>
      </c>
      <c r="C105" s="24">
        <v>-28.29</v>
      </c>
    </row>
    <row r="106" spans="1:5" x14ac:dyDescent="0.3">
      <c r="A106" s="26">
        <v>46002</v>
      </c>
      <c r="B106" s="27" t="s">
        <v>1</v>
      </c>
      <c r="C106" s="24">
        <v>95.88</v>
      </c>
    </row>
    <row r="107" spans="1:5" x14ac:dyDescent="0.3">
      <c r="A107" s="26">
        <v>46004</v>
      </c>
      <c r="B107" s="27" t="s">
        <v>4</v>
      </c>
      <c r="C107" s="24">
        <v>-9.23</v>
      </c>
    </row>
    <row r="108" spans="1:5" x14ac:dyDescent="0.3">
      <c r="A108" s="26">
        <v>46007</v>
      </c>
      <c r="B108" s="27" t="s">
        <v>4</v>
      </c>
      <c r="C108" s="24">
        <v>-20.73</v>
      </c>
    </row>
    <row r="109" spans="1:5" x14ac:dyDescent="0.3">
      <c r="A109" s="26">
        <v>46008</v>
      </c>
      <c r="B109" s="27" t="s">
        <v>4</v>
      </c>
      <c r="C109" s="24">
        <v>-14.46</v>
      </c>
    </row>
    <row r="110" spans="1:5" x14ac:dyDescent="0.3">
      <c r="A110" s="26">
        <v>46009</v>
      </c>
      <c r="B110" s="27" t="s">
        <v>4</v>
      </c>
      <c r="C110" s="24">
        <v>-25.04</v>
      </c>
    </row>
    <row r="111" spans="1:5" x14ac:dyDescent="0.3">
      <c r="A111" s="26">
        <v>46009</v>
      </c>
      <c r="B111" s="27" t="s">
        <v>1</v>
      </c>
      <c r="C111" s="24">
        <v>139.91999999999999</v>
      </c>
      <c r="E111" s="25">
        <v>-1</v>
      </c>
    </row>
    <row r="112" spans="1:5" x14ac:dyDescent="0.3">
      <c r="A112" s="26">
        <v>46013</v>
      </c>
      <c r="B112" s="27" t="s">
        <v>4</v>
      </c>
      <c r="C112" s="24">
        <v>-15.77</v>
      </c>
    </row>
    <row r="113" spans="1:6" x14ac:dyDescent="0.3">
      <c r="A113" s="26">
        <v>46014</v>
      </c>
      <c r="B113" s="27" t="s">
        <v>4</v>
      </c>
      <c r="C113" s="24">
        <v>-10.4</v>
      </c>
    </row>
    <row r="114" spans="1:6" x14ac:dyDescent="0.3">
      <c r="A114" s="26">
        <v>46017</v>
      </c>
      <c r="B114" s="27" t="s">
        <v>4</v>
      </c>
      <c r="C114" s="24">
        <v>-23.8</v>
      </c>
    </row>
    <row r="115" spans="1:6" x14ac:dyDescent="0.3">
      <c r="A115" s="26">
        <v>46020</v>
      </c>
      <c r="B115" s="27" t="s">
        <v>4</v>
      </c>
      <c r="C115" s="24">
        <v>-27.12</v>
      </c>
    </row>
    <row r="116" spans="1:6" x14ac:dyDescent="0.3">
      <c r="A116" s="26">
        <v>46024</v>
      </c>
      <c r="B116" s="27" t="s">
        <v>4</v>
      </c>
      <c r="C116" s="24">
        <v>-19.91</v>
      </c>
    </row>
    <row r="117" spans="1:6" x14ac:dyDescent="0.3">
      <c r="A117" s="26">
        <v>46024</v>
      </c>
      <c r="B117" s="27" t="s">
        <v>4</v>
      </c>
      <c r="C117" s="24">
        <v>-21.57</v>
      </c>
    </row>
    <row r="118" spans="1:6" x14ac:dyDescent="0.3">
      <c r="A118" s="26">
        <v>46030</v>
      </c>
      <c r="B118" s="27" t="s">
        <v>4</v>
      </c>
      <c r="C118" s="24">
        <v>-6.23</v>
      </c>
    </row>
    <row r="119" spans="1:6" x14ac:dyDescent="0.3">
      <c r="A119" s="26">
        <v>46030</v>
      </c>
      <c r="B119" s="27" t="s">
        <v>1</v>
      </c>
      <c r="C119" s="24">
        <v>75.7</v>
      </c>
      <c r="F119" s="25">
        <v>-2</v>
      </c>
    </row>
    <row r="120" spans="1:6" x14ac:dyDescent="0.3">
      <c r="A120" s="26">
        <v>46034</v>
      </c>
      <c r="B120" s="27" t="s">
        <v>4</v>
      </c>
      <c r="C120" s="24">
        <v>-6.05</v>
      </c>
    </row>
    <row r="121" spans="1:6" x14ac:dyDescent="0.3">
      <c r="A121" s="26">
        <v>46034</v>
      </c>
      <c r="B121" s="27" t="s">
        <v>4</v>
      </c>
      <c r="C121" s="24">
        <v>-18.78</v>
      </c>
    </row>
    <row r="122" spans="1:6" x14ac:dyDescent="0.3">
      <c r="A122" s="26">
        <v>46035</v>
      </c>
      <c r="B122" s="27" t="s">
        <v>4</v>
      </c>
      <c r="C122" s="24">
        <v>-9.08</v>
      </c>
    </row>
    <row r="123" spans="1:6" x14ac:dyDescent="0.3">
      <c r="A123" s="26">
        <v>46036</v>
      </c>
      <c r="B123" s="27" t="s">
        <v>4</v>
      </c>
      <c r="C123" s="24">
        <v>-4.42</v>
      </c>
    </row>
    <row r="124" spans="1:6" x14ac:dyDescent="0.3">
      <c r="A124" s="26">
        <v>46037</v>
      </c>
      <c r="B124" s="27" t="s">
        <v>4</v>
      </c>
      <c r="C124" s="24">
        <v>-55.32</v>
      </c>
    </row>
    <row r="125" spans="1:6" x14ac:dyDescent="0.3">
      <c r="A125" s="26">
        <v>46037</v>
      </c>
      <c r="B125" s="27" t="s">
        <v>1</v>
      </c>
      <c r="C125" s="24">
        <v>165.59</v>
      </c>
    </row>
    <row r="126" spans="1:6" x14ac:dyDescent="0.3">
      <c r="A126" s="26">
        <v>46042</v>
      </c>
      <c r="B126" s="27" t="s">
        <v>4</v>
      </c>
      <c r="C126" s="24">
        <v>-43.54</v>
      </c>
    </row>
    <row r="127" spans="1:6" x14ac:dyDescent="0.3">
      <c r="A127" s="26">
        <v>46042</v>
      </c>
      <c r="B127" s="27" t="s">
        <v>4</v>
      </c>
      <c r="C127" s="24">
        <v>-7.55</v>
      </c>
    </row>
    <row r="128" spans="1:6" x14ac:dyDescent="0.3">
      <c r="A128" s="26">
        <v>46043</v>
      </c>
      <c r="B128" s="27" t="s">
        <v>4</v>
      </c>
      <c r="C128" s="24">
        <v>-115.19</v>
      </c>
    </row>
    <row r="129" spans="1:3" x14ac:dyDescent="0.3">
      <c r="A129" s="26">
        <v>46045</v>
      </c>
      <c r="B129" s="27" t="s">
        <v>4</v>
      </c>
      <c r="C129" s="24">
        <v>-28.35</v>
      </c>
    </row>
    <row r="130" spans="1:3" x14ac:dyDescent="0.3">
      <c r="A130" s="26">
        <v>46045</v>
      </c>
      <c r="B130" s="27" t="s">
        <v>4</v>
      </c>
      <c r="C130" s="24">
        <v>-8.57</v>
      </c>
    </row>
    <row r="131" spans="1:3" x14ac:dyDescent="0.3">
      <c r="A131" s="26">
        <v>46045</v>
      </c>
      <c r="B131" s="27" t="s">
        <v>1</v>
      </c>
      <c r="C131" s="24">
        <v>95.15</v>
      </c>
    </row>
    <row r="132" spans="1:3" x14ac:dyDescent="0.3">
      <c r="A132" s="26">
        <v>46048</v>
      </c>
      <c r="B132" s="27" t="s">
        <v>4</v>
      </c>
      <c r="C132" s="24">
        <v>-8.09</v>
      </c>
    </row>
    <row r="133" spans="1:3" x14ac:dyDescent="0.3">
      <c r="A133" s="26">
        <v>46048</v>
      </c>
      <c r="B133" s="27" t="s">
        <v>4</v>
      </c>
      <c r="C133" s="24">
        <v>-8.44</v>
      </c>
    </row>
    <row r="134" spans="1:3" x14ac:dyDescent="0.3">
      <c r="A134" s="26">
        <v>46051</v>
      </c>
      <c r="B134" s="27" t="s">
        <v>4</v>
      </c>
      <c r="C134" s="24">
        <v>-22</v>
      </c>
    </row>
    <row r="135" spans="1:3" x14ac:dyDescent="0.3">
      <c r="A135" s="26">
        <v>46051</v>
      </c>
      <c r="B135" s="27" t="s">
        <v>1</v>
      </c>
      <c r="C135" s="24">
        <v>64.25</v>
      </c>
    </row>
    <row r="136" spans="1:3" x14ac:dyDescent="0.3">
      <c r="A136" s="26">
        <v>46056</v>
      </c>
      <c r="B136" s="27" t="s">
        <v>4</v>
      </c>
      <c r="C136" s="24">
        <v>-9.4499999999999993</v>
      </c>
    </row>
    <row r="137" spans="1:3" x14ac:dyDescent="0.3">
      <c r="A137" s="26">
        <v>46056</v>
      </c>
      <c r="B137" s="27" t="s">
        <v>4</v>
      </c>
      <c r="C137" s="24">
        <v>-13.44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8CDAC-2A0C-4BD9-8212-0FBC14246ED5}">
  <dimension ref="A1:H109"/>
  <sheetViews>
    <sheetView view="pageBreakPreview" zoomScale="80" zoomScaleNormal="100" zoomScaleSheetLayoutView="80" workbookViewId="0">
      <selection activeCell="C110" sqref="C11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403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368.59000000000015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45875</v>
      </c>
      <c r="B5" s="32" t="s">
        <v>21</v>
      </c>
      <c r="C5" s="24">
        <v>18.84</v>
      </c>
      <c r="D5" s="30"/>
      <c r="E5" s="30"/>
      <c r="F5" s="30"/>
      <c r="G5" s="22"/>
    </row>
    <row r="6" spans="1:8" hidden="1" x14ac:dyDescent="0.3">
      <c r="A6" s="21">
        <v>45875</v>
      </c>
      <c r="B6" s="34" t="s">
        <v>21</v>
      </c>
      <c r="C6" s="24">
        <v>105.43</v>
      </c>
    </row>
    <row r="7" spans="1:8" hidden="1" x14ac:dyDescent="0.3">
      <c r="A7" s="21">
        <v>45875</v>
      </c>
      <c r="B7" s="46" t="s">
        <v>21</v>
      </c>
      <c r="C7" s="24">
        <v>18.3</v>
      </c>
    </row>
    <row r="8" spans="1:8" hidden="1" x14ac:dyDescent="0.3">
      <c r="A8" s="26">
        <v>45876</v>
      </c>
      <c r="B8" s="27" t="s">
        <v>4</v>
      </c>
      <c r="C8" s="24">
        <v>-65</v>
      </c>
    </row>
    <row r="9" spans="1:8" hidden="1" x14ac:dyDescent="0.3">
      <c r="A9" s="26">
        <v>45880</v>
      </c>
      <c r="B9" s="27" t="s">
        <v>4</v>
      </c>
      <c r="C9" s="24">
        <v>-50</v>
      </c>
    </row>
    <row r="10" spans="1:8" hidden="1" x14ac:dyDescent="0.3">
      <c r="A10" s="26">
        <v>45882</v>
      </c>
      <c r="B10" s="27" t="s">
        <v>4</v>
      </c>
      <c r="C10" s="24">
        <v>-27.85</v>
      </c>
    </row>
    <row r="11" spans="1:8" hidden="1" x14ac:dyDescent="0.3">
      <c r="A11" s="26">
        <v>45883</v>
      </c>
      <c r="B11" s="27" t="s">
        <v>4</v>
      </c>
      <c r="C11" s="24">
        <v>-74.36</v>
      </c>
    </row>
    <row r="12" spans="1:8" hidden="1" x14ac:dyDescent="0.3">
      <c r="A12" s="26">
        <v>45882</v>
      </c>
      <c r="B12" s="32" t="s">
        <v>21</v>
      </c>
      <c r="C12" s="24">
        <v>9.6</v>
      </c>
    </row>
    <row r="13" spans="1:8" hidden="1" x14ac:dyDescent="0.3">
      <c r="A13" s="26">
        <v>45882</v>
      </c>
      <c r="B13" s="34" t="s">
        <v>21</v>
      </c>
      <c r="C13" s="24">
        <v>97.81</v>
      </c>
    </row>
    <row r="14" spans="1:8" hidden="1" x14ac:dyDescent="0.3">
      <c r="A14" s="26">
        <v>45882</v>
      </c>
      <c r="B14" s="46" t="s">
        <v>21</v>
      </c>
      <c r="C14" s="24">
        <v>59.29</v>
      </c>
    </row>
    <row r="15" spans="1:8" hidden="1" x14ac:dyDescent="0.3">
      <c r="A15" s="26">
        <v>45884</v>
      </c>
      <c r="B15" s="27" t="s">
        <v>4</v>
      </c>
      <c r="C15" s="24">
        <v>-92.33</v>
      </c>
    </row>
    <row r="16" spans="1:8" hidden="1" x14ac:dyDescent="0.3">
      <c r="A16" s="26">
        <v>45889</v>
      </c>
      <c r="B16" s="32" t="s">
        <v>21</v>
      </c>
      <c r="C16" s="24">
        <v>40.78</v>
      </c>
    </row>
    <row r="17" spans="1:3" hidden="1" x14ac:dyDescent="0.3">
      <c r="A17" s="26">
        <v>45889</v>
      </c>
      <c r="B17" s="34" t="s">
        <v>21</v>
      </c>
      <c r="C17" s="24">
        <v>219.26</v>
      </c>
    </row>
    <row r="18" spans="1:3" hidden="1" x14ac:dyDescent="0.3">
      <c r="A18" s="26">
        <v>45889</v>
      </c>
      <c r="B18" s="46" t="s">
        <v>21</v>
      </c>
      <c r="C18" s="24">
        <v>38.33</v>
      </c>
    </row>
    <row r="19" spans="1:3" hidden="1" x14ac:dyDescent="0.3">
      <c r="A19" s="26">
        <v>45890</v>
      </c>
      <c r="B19" s="27" t="s">
        <v>4</v>
      </c>
      <c r="C19" s="24">
        <v>-90</v>
      </c>
    </row>
    <row r="20" spans="1:3" hidden="1" x14ac:dyDescent="0.3">
      <c r="A20" s="26">
        <v>45891</v>
      </c>
      <c r="B20" s="27" t="s">
        <v>4</v>
      </c>
      <c r="C20" s="24">
        <v>-86</v>
      </c>
    </row>
    <row r="21" spans="1:3" hidden="1" x14ac:dyDescent="0.3">
      <c r="A21" s="26">
        <v>45895</v>
      </c>
      <c r="B21" s="27" t="s">
        <v>4</v>
      </c>
      <c r="C21" s="24">
        <v>-122.37</v>
      </c>
    </row>
    <row r="22" spans="1:3" hidden="1" x14ac:dyDescent="0.3">
      <c r="A22" s="26">
        <v>45896</v>
      </c>
      <c r="B22" s="32" t="s">
        <v>21</v>
      </c>
      <c r="C22" s="24">
        <v>31.15</v>
      </c>
    </row>
    <row r="23" spans="1:3" hidden="1" x14ac:dyDescent="0.3">
      <c r="A23" s="26">
        <v>45896</v>
      </c>
      <c r="B23" s="34" t="s">
        <v>21</v>
      </c>
      <c r="C23" s="24">
        <v>165.8</v>
      </c>
    </row>
    <row r="24" spans="1:3" hidden="1" x14ac:dyDescent="0.3">
      <c r="A24" s="26">
        <v>45896</v>
      </c>
      <c r="B24" s="46" t="s">
        <v>21</v>
      </c>
      <c r="C24" s="24">
        <v>41.38</v>
      </c>
    </row>
    <row r="25" spans="1:3" hidden="1" x14ac:dyDescent="0.3">
      <c r="A25" s="26">
        <v>45898</v>
      </c>
      <c r="B25" s="27" t="s">
        <v>4</v>
      </c>
      <c r="C25" s="24">
        <v>-101.09</v>
      </c>
    </row>
    <row r="26" spans="1:3" hidden="1" x14ac:dyDescent="0.3">
      <c r="A26" s="26">
        <v>45901</v>
      </c>
      <c r="B26" s="27" t="s">
        <v>4</v>
      </c>
      <c r="C26" s="24">
        <v>-38.71</v>
      </c>
    </row>
    <row r="27" spans="1:3" hidden="1" x14ac:dyDescent="0.3">
      <c r="A27" s="26">
        <v>45902</v>
      </c>
      <c r="B27" s="34" t="s">
        <v>21</v>
      </c>
      <c r="C27" s="24">
        <v>38.700000000000003</v>
      </c>
    </row>
    <row r="28" spans="1:3" hidden="1" x14ac:dyDescent="0.3">
      <c r="A28" s="26">
        <v>45903</v>
      </c>
      <c r="B28" s="27" t="s">
        <v>4</v>
      </c>
      <c r="C28" s="24">
        <v>-137.22999999999999</v>
      </c>
    </row>
    <row r="29" spans="1:3" hidden="1" x14ac:dyDescent="0.3">
      <c r="A29" s="26">
        <v>45903</v>
      </c>
      <c r="B29" s="32" t="s">
        <v>21</v>
      </c>
      <c r="C29" s="24">
        <v>24.6</v>
      </c>
    </row>
    <row r="30" spans="1:3" hidden="1" x14ac:dyDescent="0.3">
      <c r="A30" s="26">
        <v>45903</v>
      </c>
      <c r="B30" s="34" t="s">
        <v>21</v>
      </c>
      <c r="C30" s="24">
        <v>216.34</v>
      </c>
    </row>
    <row r="31" spans="1:3" hidden="1" x14ac:dyDescent="0.3">
      <c r="A31" s="26">
        <v>45903</v>
      </c>
      <c r="B31" s="46" t="s">
        <v>21</v>
      </c>
      <c r="C31" s="24">
        <v>98.37</v>
      </c>
    </row>
    <row r="32" spans="1:3" hidden="1" x14ac:dyDescent="0.3">
      <c r="A32" s="26">
        <v>45905</v>
      </c>
      <c r="B32" s="27" t="s">
        <v>4</v>
      </c>
      <c r="C32" s="24">
        <v>-100</v>
      </c>
    </row>
    <row r="33" spans="1:3" hidden="1" x14ac:dyDescent="0.3">
      <c r="A33" s="26">
        <v>45908</v>
      </c>
      <c r="B33" s="27" t="s">
        <v>4</v>
      </c>
      <c r="C33" s="24">
        <v>-194.79</v>
      </c>
    </row>
    <row r="34" spans="1:3" hidden="1" x14ac:dyDescent="0.3">
      <c r="A34" s="26">
        <v>45909</v>
      </c>
      <c r="B34" s="27" t="s">
        <v>4</v>
      </c>
      <c r="C34" s="24">
        <v>-40.270000000000003</v>
      </c>
    </row>
    <row r="35" spans="1:3" hidden="1" x14ac:dyDescent="0.3">
      <c r="A35" s="26">
        <v>45910</v>
      </c>
      <c r="B35" s="32" t="s">
        <v>21</v>
      </c>
      <c r="C35" s="24">
        <v>36.840000000000003</v>
      </c>
    </row>
    <row r="36" spans="1:3" hidden="1" x14ac:dyDescent="0.3">
      <c r="A36" s="26">
        <v>45910</v>
      </c>
      <c r="B36" s="34" t="s">
        <v>21</v>
      </c>
      <c r="C36" s="24">
        <v>155.18</v>
      </c>
    </row>
    <row r="37" spans="1:3" hidden="1" x14ac:dyDescent="0.3">
      <c r="A37" s="26">
        <v>45910</v>
      </c>
      <c r="B37" s="46" t="s">
        <v>21</v>
      </c>
      <c r="C37" s="24">
        <v>13.84</v>
      </c>
    </row>
    <row r="38" spans="1:3" hidden="1" x14ac:dyDescent="0.3">
      <c r="A38" s="26">
        <v>45916</v>
      </c>
      <c r="B38" s="27" t="s">
        <v>4</v>
      </c>
      <c r="C38" s="24">
        <v>-205.85</v>
      </c>
    </row>
    <row r="39" spans="1:3" hidden="1" x14ac:dyDescent="0.3">
      <c r="A39" s="26">
        <v>45917</v>
      </c>
      <c r="B39" s="32" t="s">
        <v>21</v>
      </c>
      <c r="C39" s="24">
        <v>51.79</v>
      </c>
    </row>
    <row r="40" spans="1:3" hidden="1" x14ac:dyDescent="0.3">
      <c r="A40" s="26">
        <v>45917</v>
      </c>
      <c r="B40" s="34" t="s">
        <v>21</v>
      </c>
      <c r="C40" s="24">
        <v>119.18</v>
      </c>
    </row>
    <row r="41" spans="1:3" hidden="1" x14ac:dyDescent="0.3">
      <c r="A41" s="26">
        <v>45922</v>
      </c>
      <c r="B41" s="27" t="s">
        <v>4</v>
      </c>
      <c r="C41" s="24">
        <v>-150.07</v>
      </c>
    </row>
    <row r="42" spans="1:3" hidden="1" x14ac:dyDescent="0.3">
      <c r="A42" s="26">
        <v>45923</v>
      </c>
      <c r="B42" s="27" t="s">
        <v>4</v>
      </c>
      <c r="C42" s="24">
        <v>-24.88</v>
      </c>
    </row>
    <row r="43" spans="1:3" hidden="1" x14ac:dyDescent="0.3">
      <c r="A43" s="26">
        <v>45924</v>
      </c>
      <c r="B43" s="32" t="s">
        <v>21</v>
      </c>
      <c r="C43" s="24">
        <v>4.5</v>
      </c>
    </row>
    <row r="44" spans="1:3" hidden="1" x14ac:dyDescent="0.3">
      <c r="A44" s="26">
        <v>45924</v>
      </c>
      <c r="B44" s="34" t="s">
        <v>21</v>
      </c>
      <c r="C44" s="24">
        <v>134.94</v>
      </c>
    </row>
    <row r="45" spans="1:3" hidden="1" x14ac:dyDescent="0.3">
      <c r="A45" s="26">
        <v>45924</v>
      </c>
      <c r="B45" s="46" t="s">
        <v>21</v>
      </c>
      <c r="C45" s="24">
        <v>107.82</v>
      </c>
    </row>
    <row r="46" spans="1:3" hidden="1" x14ac:dyDescent="0.3">
      <c r="A46" s="26">
        <v>45930</v>
      </c>
      <c r="B46" s="27" t="s">
        <v>4</v>
      </c>
      <c r="C46" s="24">
        <v>-199.26</v>
      </c>
    </row>
    <row r="47" spans="1:3" hidden="1" x14ac:dyDescent="0.3">
      <c r="A47" s="26">
        <v>45930</v>
      </c>
      <c r="B47" s="27" t="s">
        <v>4</v>
      </c>
      <c r="C47" s="24">
        <v>-49.07</v>
      </c>
    </row>
    <row r="48" spans="1:3" hidden="1" x14ac:dyDescent="0.3">
      <c r="A48" s="26">
        <v>45931</v>
      </c>
      <c r="B48" s="32" t="s">
        <v>21</v>
      </c>
      <c r="C48" s="24">
        <v>24.84</v>
      </c>
    </row>
    <row r="49" spans="1:3" hidden="1" x14ac:dyDescent="0.3">
      <c r="A49" s="26">
        <v>45931</v>
      </c>
      <c r="B49" s="34" t="s">
        <v>21</v>
      </c>
      <c r="C49" s="24">
        <v>81.52</v>
      </c>
    </row>
    <row r="50" spans="1:3" hidden="1" x14ac:dyDescent="0.3">
      <c r="A50" s="26">
        <v>45931</v>
      </c>
      <c r="B50" s="46" t="s">
        <v>21</v>
      </c>
      <c r="C50" s="24">
        <v>41.14</v>
      </c>
    </row>
    <row r="51" spans="1:3" hidden="1" x14ac:dyDescent="0.3">
      <c r="A51" s="26">
        <v>45932</v>
      </c>
      <c r="B51" s="34" t="s">
        <v>21</v>
      </c>
      <c r="C51" s="24">
        <v>36.36</v>
      </c>
    </row>
    <row r="52" spans="1:3" hidden="1" x14ac:dyDescent="0.3">
      <c r="A52" s="26">
        <v>45933</v>
      </c>
      <c r="B52" s="27" t="s">
        <v>4</v>
      </c>
      <c r="C52" s="24">
        <v>-101.02</v>
      </c>
    </row>
    <row r="53" spans="1:3" hidden="1" x14ac:dyDescent="0.3">
      <c r="A53" s="26">
        <v>45936</v>
      </c>
      <c r="B53" s="27" t="s">
        <v>4</v>
      </c>
      <c r="C53" s="24">
        <v>-46.5</v>
      </c>
    </row>
    <row r="54" spans="1:3" hidden="1" x14ac:dyDescent="0.3">
      <c r="A54" s="26">
        <v>45938</v>
      </c>
      <c r="B54" s="32" t="s">
        <v>21</v>
      </c>
      <c r="C54" s="24">
        <v>34.979999999999997</v>
      </c>
    </row>
    <row r="55" spans="1:3" hidden="1" x14ac:dyDescent="0.3">
      <c r="A55" s="26">
        <v>45938</v>
      </c>
      <c r="B55" s="34" t="s">
        <v>21</v>
      </c>
      <c r="C55" s="24">
        <v>67.94</v>
      </c>
    </row>
    <row r="56" spans="1:3" hidden="1" x14ac:dyDescent="0.3">
      <c r="A56" s="26">
        <v>45938</v>
      </c>
      <c r="B56" s="46" t="s">
        <v>21</v>
      </c>
      <c r="C56" s="24">
        <v>12.95</v>
      </c>
    </row>
    <row r="57" spans="1:3" hidden="1" x14ac:dyDescent="0.3">
      <c r="A57" s="26">
        <v>45939</v>
      </c>
      <c r="B57" s="27" t="s">
        <v>4</v>
      </c>
      <c r="C57" s="24">
        <v>-36.36</v>
      </c>
    </row>
    <row r="58" spans="1:3" hidden="1" x14ac:dyDescent="0.3">
      <c r="A58" s="26">
        <v>45940</v>
      </c>
      <c r="B58" s="27" t="s">
        <v>4</v>
      </c>
      <c r="C58" s="24">
        <v>-100</v>
      </c>
    </row>
    <row r="59" spans="1:3" hidden="1" x14ac:dyDescent="0.3">
      <c r="A59" s="26">
        <v>45944</v>
      </c>
      <c r="B59" s="27" t="s">
        <v>4</v>
      </c>
      <c r="C59" s="24">
        <v>-15.87</v>
      </c>
    </row>
    <row r="60" spans="1:3" hidden="1" x14ac:dyDescent="0.3">
      <c r="A60" s="26">
        <v>45945</v>
      </c>
      <c r="B60" s="32" t="s">
        <v>21</v>
      </c>
      <c r="C60" s="24">
        <v>18.940000000000001</v>
      </c>
    </row>
    <row r="61" spans="1:3" hidden="1" x14ac:dyDescent="0.3">
      <c r="A61" s="26">
        <v>45945</v>
      </c>
      <c r="B61" s="34" t="s">
        <v>21</v>
      </c>
      <c r="C61" s="24">
        <v>57.31</v>
      </c>
    </row>
    <row r="62" spans="1:3" hidden="1" x14ac:dyDescent="0.3">
      <c r="A62" s="26">
        <v>45945</v>
      </c>
      <c r="B62" s="46" t="s">
        <v>21</v>
      </c>
      <c r="C62" s="24">
        <v>68.31</v>
      </c>
    </row>
    <row r="63" spans="1:3" hidden="1" x14ac:dyDescent="0.3">
      <c r="A63" s="26">
        <v>45946</v>
      </c>
      <c r="B63" s="27" t="s">
        <v>4</v>
      </c>
      <c r="C63" s="24">
        <v>-70</v>
      </c>
    </row>
    <row r="64" spans="1:3" hidden="1" x14ac:dyDescent="0.3">
      <c r="A64" s="26">
        <v>45947</v>
      </c>
      <c r="B64" s="27" t="s">
        <v>4</v>
      </c>
      <c r="C64" s="24">
        <v>-66.16</v>
      </c>
    </row>
    <row r="65" spans="1:3" hidden="1" x14ac:dyDescent="0.3">
      <c r="A65" s="26">
        <v>45947</v>
      </c>
      <c r="B65" s="34" t="s">
        <v>21</v>
      </c>
      <c r="C65" s="24">
        <v>66.12</v>
      </c>
    </row>
    <row r="66" spans="1:3" hidden="1" x14ac:dyDescent="0.3">
      <c r="A66" s="26">
        <v>45950</v>
      </c>
      <c r="B66" s="27" t="s">
        <v>4</v>
      </c>
      <c r="C66" s="24">
        <v>-75.28</v>
      </c>
    </row>
    <row r="67" spans="1:3" hidden="1" x14ac:dyDescent="0.3">
      <c r="A67" s="26">
        <v>45952</v>
      </c>
      <c r="B67" s="27" t="s">
        <v>4</v>
      </c>
      <c r="C67" s="24">
        <v>-186.88</v>
      </c>
    </row>
    <row r="68" spans="1:3" hidden="1" x14ac:dyDescent="0.3">
      <c r="A68" s="26">
        <v>45952</v>
      </c>
      <c r="B68" s="32" t="s">
        <v>21</v>
      </c>
      <c r="C68" s="24">
        <v>42.48</v>
      </c>
    </row>
    <row r="69" spans="1:3" hidden="1" x14ac:dyDescent="0.3">
      <c r="A69" s="26">
        <v>45952</v>
      </c>
      <c r="B69" s="34" t="s">
        <v>21</v>
      </c>
      <c r="C69" s="24">
        <v>130.82</v>
      </c>
    </row>
    <row r="70" spans="1:3" hidden="1" x14ac:dyDescent="0.3">
      <c r="A70" s="26">
        <v>45952</v>
      </c>
      <c r="B70" s="46" t="s">
        <v>21</v>
      </c>
      <c r="C70" s="24">
        <v>13.58</v>
      </c>
    </row>
    <row r="71" spans="1:3" hidden="1" x14ac:dyDescent="0.3">
      <c r="A71" s="26">
        <v>45959</v>
      </c>
      <c r="B71" s="27" t="s">
        <v>4</v>
      </c>
      <c r="C71" s="24">
        <v>-216.15</v>
      </c>
    </row>
    <row r="72" spans="1:3" hidden="1" x14ac:dyDescent="0.3">
      <c r="A72" s="26">
        <v>45959</v>
      </c>
      <c r="B72" s="32" t="s">
        <v>21</v>
      </c>
      <c r="C72" s="24">
        <v>29.34</v>
      </c>
    </row>
    <row r="73" spans="1:3" hidden="1" x14ac:dyDescent="0.3">
      <c r="A73" s="26">
        <v>45959</v>
      </c>
      <c r="B73" s="34" t="s">
        <v>21</v>
      </c>
      <c r="C73" s="24">
        <v>188.19</v>
      </c>
    </row>
    <row r="74" spans="1:3" hidden="1" x14ac:dyDescent="0.3">
      <c r="A74" s="26">
        <v>45959</v>
      </c>
      <c r="B74" s="46" t="s">
        <v>21</v>
      </c>
      <c r="C74" s="24">
        <v>65.819999999999993</v>
      </c>
    </row>
    <row r="75" spans="1:3" hidden="1" x14ac:dyDescent="0.3">
      <c r="A75" s="26">
        <v>45965</v>
      </c>
      <c r="B75" s="27" t="s">
        <v>4</v>
      </c>
      <c r="C75" s="24">
        <v>-67.2</v>
      </c>
    </row>
    <row r="76" spans="1:3" hidden="1" x14ac:dyDescent="0.3">
      <c r="A76" s="26">
        <v>45966</v>
      </c>
      <c r="B76" s="32" t="s">
        <v>21</v>
      </c>
      <c r="C76" s="24">
        <v>45.08</v>
      </c>
    </row>
    <row r="77" spans="1:3" hidden="1" x14ac:dyDescent="0.3">
      <c r="A77" s="26">
        <v>45966</v>
      </c>
      <c r="B77" s="34" t="s">
        <v>21</v>
      </c>
      <c r="C77" s="24">
        <v>155.84</v>
      </c>
    </row>
    <row r="78" spans="1:3" hidden="1" x14ac:dyDescent="0.3">
      <c r="A78" s="26">
        <v>45966</v>
      </c>
      <c r="B78" s="46" t="s">
        <v>21</v>
      </c>
      <c r="C78" s="24">
        <v>7.5</v>
      </c>
    </row>
    <row r="79" spans="1:3" hidden="1" x14ac:dyDescent="0.3">
      <c r="A79" s="26">
        <v>45973</v>
      </c>
      <c r="B79" s="27" t="s">
        <v>4</v>
      </c>
      <c r="C79" s="24">
        <v>-208.42</v>
      </c>
    </row>
    <row r="80" spans="1:3" hidden="1" x14ac:dyDescent="0.3">
      <c r="A80" s="26">
        <v>45973</v>
      </c>
      <c r="B80" s="27" t="s">
        <v>1</v>
      </c>
      <c r="C80" s="24">
        <v>301</v>
      </c>
    </row>
    <row r="81" spans="1:3" hidden="1" x14ac:dyDescent="0.3">
      <c r="A81" s="26">
        <v>45978</v>
      </c>
      <c r="B81" s="27" t="s">
        <v>4</v>
      </c>
      <c r="C81" s="24">
        <v>-190.31</v>
      </c>
    </row>
    <row r="82" spans="1:3" hidden="1" x14ac:dyDescent="0.3">
      <c r="A82" s="26">
        <v>45979</v>
      </c>
      <c r="B82" s="27" t="s">
        <v>4</v>
      </c>
      <c r="C82" s="24">
        <v>-110.7</v>
      </c>
    </row>
    <row r="83" spans="1:3" hidden="1" x14ac:dyDescent="0.3">
      <c r="A83" s="26">
        <v>45980</v>
      </c>
      <c r="B83" s="27" t="s">
        <v>1</v>
      </c>
      <c r="C83" s="24">
        <v>231.68</v>
      </c>
    </row>
    <row r="84" spans="1:3" hidden="1" x14ac:dyDescent="0.3">
      <c r="A84" s="26">
        <v>45986</v>
      </c>
      <c r="B84" s="27" t="s">
        <v>4</v>
      </c>
      <c r="C84" s="24">
        <v>-230.65</v>
      </c>
    </row>
    <row r="85" spans="1:3" hidden="1" x14ac:dyDescent="0.3">
      <c r="A85" s="26">
        <v>45987</v>
      </c>
      <c r="B85" s="27" t="s">
        <v>1</v>
      </c>
      <c r="C85" s="24">
        <v>376.1</v>
      </c>
    </row>
    <row r="86" spans="1:3" hidden="1" x14ac:dyDescent="0.3">
      <c r="A86" s="26">
        <v>45993</v>
      </c>
      <c r="B86" s="31" t="s">
        <v>4</v>
      </c>
      <c r="C86" s="24">
        <v>-376.09</v>
      </c>
    </row>
    <row r="87" spans="1:3" x14ac:dyDescent="0.3">
      <c r="A87" s="26">
        <v>45993</v>
      </c>
      <c r="B87" s="27" t="s">
        <v>1</v>
      </c>
      <c r="C87" s="24">
        <v>76.2</v>
      </c>
    </row>
    <row r="88" spans="1:3" x14ac:dyDescent="0.3">
      <c r="A88" s="26">
        <v>45994</v>
      </c>
      <c r="B88" s="27" t="s">
        <v>1</v>
      </c>
      <c r="C88" s="24">
        <v>321.10000000000002</v>
      </c>
    </row>
    <row r="89" spans="1:3" x14ac:dyDescent="0.3">
      <c r="A89" s="26">
        <v>46000</v>
      </c>
      <c r="B89" s="27" t="s">
        <v>4</v>
      </c>
      <c r="C89" s="24">
        <v>-120</v>
      </c>
    </row>
    <row r="90" spans="1:3" x14ac:dyDescent="0.3">
      <c r="A90" s="26">
        <v>46000</v>
      </c>
      <c r="B90" s="27" t="s">
        <v>4</v>
      </c>
      <c r="C90" s="24">
        <v>-193.85</v>
      </c>
    </row>
    <row r="91" spans="1:3" x14ac:dyDescent="0.3">
      <c r="A91" s="26">
        <v>46001</v>
      </c>
      <c r="B91" s="27" t="s">
        <v>4</v>
      </c>
      <c r="C91" s="24">
        <v>-80.12</v>
      </c>
    </row>
    <row r="92" spans="1:3" x14ac:dyDescent="0.3">
      <c r="A92" s="26">
        <v>46001</v>
      </c>
      <c r="B92" s="27" t="s">
        <v>1</v>
      </c>
      <c r="C92" s="24">
        <v>327.39999999999998</v>
      </c>
    </row>
    <row r="93" spans="1:3" x14ac:dyDescent="0.3">
      <c r="A93" s="26">
        <v>46008</v>
      </c>
      <c r="B93" s="27" t="s">
        <v>4</v>
      </c>
      <c r="C93" s="24">
        <v>-327.39</v>
      </c>
    </row>
    <row r="94" spans="1:3" x14ac:dyDescent="0.3">
      <c r="A94" s="26">
        <v>46008</v>
      </c>
      <c r="B94" s="27" t="s">
        <v>1</v>
      </c>
      <c r="C94" s="24">
        <v>404.8</v>
      </c>
    </row>
    <row r="95" spans="1:3" x14ac:dyDescent="0.3">
      <c r="A95" s="26">
        <v>46015</v>
      </c>
      <c r="B95" s="27" t="s">
        <v>4</v>
      </c>
      <c r="C95" s="24">
        <v>-291.74</v>
      </c>
    </row>
    <row r="96" spans="1:3" x14ac:dyDescent="0.3">
      <c r="A96" s="26">
        <v>46020</v>
      </c>
      <c r="B96" s="27" t="s">
        <v>4</v>
      </c>
      <c r="C96" s="24">
        <v>-113.05</v>
      </c>
    </row>
    <row r="97" spans="1:3" x14ac:dyDescent="0.3">
      <c r="A97" s="26">
        <v>46020</v>
      </c>
      <c r="B97" s="27" t="s">
        <v>1</v>
      </c>
      <c r="C97" s="24">
        <v>425.44</v>
      </c>
    </row>
    <row r="98" spans="1:3" x14ac:dyDescent="0.3">
      <c r="A98" s="26">
        <v>46027</v>
      </c>
      <c r="B98" s="27" t="s">
        <v>4</v>
      </c>
      <c r="C98" s="24">
        <v>-419.98</v>
      </c>
    </row>
    <row r="99" spans="1:3" x14ac:dyDescent="0.3">
      <c r="A99" s="26">
        <v>46029</v>
      </c>
      <c r="B99" s="27" t="s">
        <v>1</v>
      </c>
      <c r="C99" s="24">
        <v>205.01</v>
      </c>
    </row>
    <row r="100" spans="1:3" x14ac:dyDescent="0.3">
      <c r="A100" s="26">
        <v>46036</v>
      </c>
      <c r="B100" s="27" t="s">
        <v>7</v>
      </c>
      <c r="C100" s="24">
        <v>-205</v>
      </c>
    </row>
    <row r="101" spans="1:3" x14ac:dyDescent="0.3">
      <c r="A101" s="26">
        <v>46036</v>
      </c>
      <c r="B101" s="27" t="s">
        <v>1</v>
      </c>
      <c r="C101" s="24">
        <v>276.05</v>
      </c>
    </row>
    <row r="102" spans="1:3" x14ac:dyDescent="0.3">
      <c r="A102" s="26">
        <v>46036</v>
      </c>
      <c r="B102" s="27" t="s">
        <v>503</v>
      </c>
      <c r="C102" s="24">
        <v>-7.2</v>
      </c>
    </row>
    <row r="103" spans="1:3" x14ac:dyDescent="0.3">
      <c r="A103" s="26">
        <v>46042</v>
      </c>
      <c r="B103" s="27" t="s">
        <v>4</v>
      </c>
      <c r="C103" s="24">
        <v>-185.88</v>
      </c>
    </row>
    <row r="104" spans="1:3" x14ac:dyDescent="0.3">
      <c r="A104" s="26">
        <v>46043</v>
      </c>
      <c r="B104" s="27" t="s">
        <v>1</v>
      </c>
      <c r="C104" s="24">
        <v>204.42</v>
      </c>
    </row>
    <row r="105" spans="1:3" x14ac:dyDescent="0.3">
      <c r="A105" s="26">
        <v>46048</v>
      </c>
      <c r="B105" s="27" t="s">
        <v>4</v>
      </c>
      <c r="C105" s="24">
        <v>-82.8</v>
      </c>
    </row>
    <row r="106" spans="1:3" x14ac:dyDescent="0.3">
      <c r="A106" s="26">
        <v>46048</v>
      </c>
      <c r="B106" s="27" t="s">
        <v>4</v>
      </c>
      <c r="C106" s="24">
        <v>-204.42</v>
      </c>
    </row>
    <row r="107" spans="1:3" x14ac:dyDescent="0.3">
      <c r="A107" s="26">
        <v>46050</v>
      </c>
      <c r="B107" s="27" t="s">
        <v>1</v>
      </c>
      <c r="C107" s="24">
        <v>360.41</v>
      </c>
    </row>
    <row r="108" spans="1:3" x14ac:dyDescent="0.3">
      <c r="A108" s="26">
        <v>46052</v>
      </c>
      <c r="B108" s="27" t="s">
        <v>4</v>
      </c>
      <c r="C108" s="24">
        <v>-87</v>
      </c>
    </row>
    <row r="109" spans="1:3" x14ac:dyDescent="0.3">
      <c r="A109" s="26">
        <v>46052</v>
      </c>
      <c r="B109" s="27" t="s">
        <v>1</v>
      </c>
      <c r="C109" s="24">
        <v>87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4FCD-ECC6-43C0-ABD8-20C014F5AEBA}">
  <sheetPr codeName="Hoja138"/>
  <dimension ref="A1:H86"/>
  <sheetViews>
    <sheetView view="pageBreakPreview" zoomScale="80" zoomScaleNormal="100" zoomScaleSheetLayoutView="80" workbookViewId="0">
      <selection activeCell="C40" sqref="C4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284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440.72000000000008</v>
      </c>
      <c r="D3" s="20">
        <f>SUM(D$4:D$1048576)</f>
        <v>12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45828</v>
      </c>
      <c r="B5" s="32" t="s">
        <v>21</v>
      </c>
      <c r="C5" s="24">
        <v>123.41</v>
      </c>
      <c r="D5" s="30"/>
      <c r="E5" s="30"/>
      <c r="F5" s="30"/>
      <c r="G5" s="22"/>
    </row>
    <row r="6" spans="1:8" x14ac:dyDescent="0.3">
      <c r="A6" s="21">
        <v>45848</v>
      </c>
      <c r="B6" s="27" t="s">
        <v>4</v>
      </c>
      <c r="C6" s="24">
        <v>-89</v>
      </c>
    </row>
    <row r="7" spans="1:8" x14ac:dyDescent="0.3">
      <c r="A7" s="26">
        <v>45856</v>
      </c>
      <c r="B7" s="27" t="s">
        <v>4</v>
      </c>
      <c r="C7" s="24">
        <v>-34.409999999999997</v>
      </c>
    </row>
    <row r="8" spans="1:8" x14ac:dyDescent="0.3">
      <c r="A8" s="26">
        <v>45856</v>
      </c>
      <c r="B8" s="32" t="s">
        <v>21</v>
      </c>
      <c r="C8" s="24">
        <v>44.2</v>
      </c>
    </row>
    <row r="9" spans="1:8" x14ac:dyDescent="0.3">
      <c r="A9" s="26">
        <v>45873</v>
      </c>
      <c r="B9" s="27" t="s">
        <v>4</v>
      </c>
      <c r="C9" s="24">
        <v>-19.399999999999999</v>
      </c>
    </row>
    <row r="10" spans="1:8" x14ac:dyDescent="0.3">
      <c r="A10" s="26">
        <v>45875</v>
      </c>
      <c r="B10" s="27" t="s">
        <v>4</v>
      </c>
      <c r="C10" s="24">
        <v>-15.6</v>
      </c>
    </row>
    <row r="11" spans="1:8" x14ac:dyDescent="0.3">
      <c r="A11" s="26">
        <v>45877</v>
      </c>
      <c r="B11" s="32" t="s">
        <v>21</v>
      </c>
      <c r="C11" s="24">
        <v>53.95</v>
      </c>
    </row>
    <row r="12" spans="1:8" x14ac:dyDescent="0.3">
      <c r="A12" s="26">
        <v>45880</v>
      </c>
      <c r="B12" s="27" t="s">
        <v>4</v>
      </c>
      <c r="C12" s="24">
        <v>-13.67</v>
      </c>
    </row>
    <row r="13" spans="1:8" x14ac:dyDescent="0.3">
      <c r="A13" s="26">
        <v>45896</v>
      </c>
      <c r="B13" s="27" t="s">
        <v>4</v>
      </c>
      <c r="C13" s="24">
        <v>-49.01</v>
      </c>
    </row>
    <row r="14" spans="1:8" x14ac:dyDescent="0.3">
      <c r="A14" s="26">
        <v>45897</v>
      </c>
      <c r="B14" s="32" t="s">
        <v>21</v>
      </c>
      <c r="C14" s="24">
        <v>33.799999999999997</v>
      </c>
    </row>
    <row r="15" spans="1:8" x14ac:dyDescent="0.3">
      <c r="A15" s="26">
        <v>45908</v>
      </c>
      <c r="B15" s="27" t="s">
        <v>1</v>
      </c>
      <c r="C15" s="24">
        <v>208</v>
      </c>
      <c r="D15" s="25">
        <v>10</v>
      </c>
    </row>
    <row r="16" spans="1:8" x14ac:dyDescent="0.3">
      <c r="A16" s="26">
        <v>45911</v>
      </c>
      <c r="B16" s="27" t="s">
        <v>4</v>
      </c>
      <c r="C16" s="24">
        <v>-33.799999999999997</v>
      </c>
    </row>
    <row r="17" spans="1:4" x14ac:dyDescent="0.3">
      <c r="A17" s="26">
        <v>45912</v>
      </c>
      <c r="B17" s="27" t="s">
        <v>1</v>
      </c>
      <c r="C17" s="24">
        <v>342</v>
      </c>
      <c r="D17" s="25">
        <f>12-10</f>
        <v>2</v>
      </c>
    </row>
    <row r="18" spans="1:4" x14ac:dyDescent="0.3">
      <c r="A18" s="26">
        <v>45912</v>
      </c>
      <c r="B18" s="32" t="s">
        <v>21</v>
      </c>
      <c r="C18" s="24">
        <v>21.7</v>
      </c>
    </row>
    <row r="19" spans="1:4" x14ac:dyDescent="0.3">
      <c r="A19" s="26">
        <v>45918</v>
      </c>
      <c r="B19" s="27" t="s">
        <v>4</v>
      </c>
      <c r="C19" s="24">
        <v>-104</v>
      </c>
    </row>
    <row r="20" spans="1:4" x14ac:dyDescent="0.3">
      <c r="A20" s="26">
        <v>45919</v>
      </c>
      <c r="B20" s="27" t="s">
        <v>4</v>
      </c>
      <c r="C20" s="24">
        <v>-38</v>
      </c>
    </row>
    <row r="21" spans="1:4" x14ac:dyDescent="0.3">
      <c r="A21" s="26">
        <v>45922</v>
      </c>
      <c r="B21" s="27" t="s">
        <v>4</v>
      </c>
      <c r="C21" s="24">
        <v>-363.69</v>
      </c>
    </row>
    <row r="22" spans="1:4" x14ac:dyDescent="0.3">
      <c r="A22" s="26">
        <v>45923</v>
      </c>
      <c r="B22" s="27" t="s">
        <v>4</v>
      </c>
      <c r="C22" s="24">
        <v>-104.9</v>
      </c>
    </row>
    <row r="23" spans="1:4" x14ac:dyDescent="0.3">
      <c r="A23" s="26">
        <v>45923</v>
      </c>
      <c r="B23" s="27" t="s">
        <v>1</v>
      </c>
      <c r="C23" s="24">
        <v>322.8</v>
      </c>
    </row>
    <row r="24" spans="1:4" x14ac:dyDescent="0.3">
      <c r="A24" s="26">
        <v>45923</v>
      </c>
      <c r="B24" s="32" t="s">
        <v>21</v>
      </c>
      <c r="C24" s="24">
        <v>7.5</v>
      </c>
    </row>
    <row r="25" spans="1:4" x14ac:dyDescent="0.3">
      <c r="A25" s="26">
        <v>45931</v>
      </c>
      <c r="B25" s="27" t="s">
        <v>4</v>
      </c>
      <c r="C25" s="24">
        <v>-62.36</v>
      </c>
    </row>
    <row r="26" spans="1:4" x14ac:dyDescent="0.3">
      <c r="A26" s="26">
        <v>45932</v>
      </c>
      <c r="B26" s="27" t="s">
        <v>4</v>
      </c>
      <c r="C26" s="24">
        <v>-80</v>
      </c>
    </row>
    <row r="27" spans="1:4" x14ac:dyDescent="0.3">
      <c r="A27" s="26">
        <v>45933</v>
      </c>
      <c r="B27" s="27" t="s">
        <v>1</v>
      </c>
      <c r="C27" s="24">
        <v>41.5</v>
      </c>
    </row>
    <row r="28" spans="1:4" x14ac:dyDescent="0.3">
      <c r="A28" s="26">
        <v>45933</v>
      </c>
      <c r="B28" s="32" t="s">
        <v>21</v>
      </c>
      <c r="C28" s="24">
        <v>21.7</v>
      </c>
    </row>
    <row r="29" spans="1:4" x14ac:dyDescent="0.3">
      <c r="A29" s="26">
        <v>45940</v>
      </c>
      <c r="B29" s="27" t="s">
        <v>4</v>
      </c>
      <c r="C29" s="24">
        <v>-49.5</v>
      </c>
    </row>
    <row r="30" spans="1:4" x14ac:dyDescent="0.3">
      <c r="A30" s="26">
        <v>45946</v>
      </c>
      <c r="B30" s="27" t="s">
        <v>4</v>
      </c>
      <c r="C30" s="24">
        <v>-60</v>
      </c>
    </row>
    <row r="31" spans="1:4" x14ac:dyDescent="0.3">
      <c r="A31" s="26">
        <v>45946</v>
      </c>
      <c r="B31" s="27" t="s">
        <v>1</v>
      </c>
      <c r="C31" s="24">
        <v>230</v>
      </c>
    </row>
    <row r="32" spans="1:4" x14ac:dyDescent="0.3">
      <c r="A32" s="26">
        <v>45950</v>
      </c>
      <c r="B32" s="27" t="s">
        <v>4</v>
      </c>
      <c r="C32" s="24">
        <v>-102.5</v>
      </c>
    </row>
    <row r="33" spans="1:3" x14ac:dyDescent="0.3">
      <c r="A33" s="26">
        <v>45957</v>
      </c>
      <c r="B33" s="27" t="s">
        <v>4</v>
      </c>
      <c r="C33" s="24">
        <v>-25</v>
      </c>
    </row>
    <row r="34" spans="1:3" x14ac:dyDescent="0.3">
      <c r="A34" s="26">
        <v>46007</v>
      </c>
      <c r="B34" s="27" t="s">
        <v>4</v>
      </c>
      <c r="C34" s="24">
        <v>-100</v>
      </c>
    </row>
    <row r="35" spans="1:3" x14ac:dyDescent="0.3">
      <c r="A35" s="26">
        <v>46009</v>
      </c>
      <c r="B35" s="27" t="s">
        <v>4</v>
      </c>
      <c r="C35" s="24">
        <v>-105</v>
      </c>
    </row>
    <row r="36" spans="1:3" x14ac:dyDescent="0.3">
      <c r="A36" s="26">
        <v>46010</v>
      </c>
      <c r="B36" s="27" t="s">
        <v>1</v>
      </c>
      <c r="C36" s="24">
        <v>218.06</v>
      </c>
    </row>
    <row r="37" spans="1:3" x14ac:dyDescent="0.3">
      <c r="A37" s="26">
        <v>46020</v>
      </c>
      <c r="B37" s="27" t="s">
        <v>4</v>
      </c>
      <c r="C37" s="24">
        <v>-37.29</v>
      </c>
    </row>
    <row r="38" spans="1:3" x14ac:dyDescent="0.3">
      <c r="A38" s="26">
        <v>46020</v>
      </c>
      <c r="B38" s="27" t="s">
        <v>4</v>
      </c>
      <c r="C38" s="24">
        <v>-180.77</v>
      </c>
    </row>
    <row r="39" spans="1:3" x14ac:dyDescent="0.3">
      <c r="A39" s="26">
        <v>46045</v>
      </c>
      <c r="B39" s="27" t="s">
        <v>1</v>
      </c>
      <c r="C39" s="24">
        <v>440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CB3A7-26B4-47B7-AC84-6069CA03C7B5}">
  <dimension ref="A1:H86"/>
  <sheetViews>
    <sheetView view="pageBreakPreview" zoomScaleNormal="100" zoomScaleSheetLayoutView="10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438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-1.9999999999953388E-3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45912</v>
      </c>
      <c r="B5" s="27" t="s">
        <v>4</v>
      </c>
      <c r="C5" s="24">
        <v>-49.98</v>
      </c>
      <c r="D5" s="30"/>
      <c r="E5" s="30"/>
      <c r="F5" s="30"/>
      <c r="G5" s="22"/>
    </row>
    <row r="6" spans="1:8" x14ac:dyDescent="0.3">
      <c r="A6" s="21">
        <v>45912</v>
      </c>
      <c r="B6" s="32" t="s">
        <v>21</v>
      </c>
      <c r="C6" s="24">
        <v>7.5</v>
      </c>
    </row>
    <row r="7" spans="1:8" x14ac:dyDescent="0.3">
      <c r="A7" s="21">
        <v>45912</v>
      </c>
      <c r="B7" s="34" t="s">
        <v>21</v>
      </c>
      <c r="C7" s="24">
        <v>42.48</v>
      </c>
    </row>
    <row r="8" spans="1:8" x14ac:dyDescent="0.3">
      <c r="A8" s="26">
        <v>45920</v>
      </c>
      <c r="B8" s="32" t="s">
        <v>21</v>
      </c>
      <c r="C8" s="24">
        <v>7.5</v>
      </c>
    </row>
    <row r="9" spans="1:8" x14ac:dyDescent="0.3">
      <c r="A9" s="26">
        <v>45920</v>
      </c>
      <c r="B9" s="34" t="s">
        <v>21</v>
      </c>
      <c r="C9" s="24">
        <v>68.94</v>
      </c>
    </row>
    <row r="10" spans="1:8" x14ac:dyDescent="0.3">
      <c r="A10" s="26">
        <v>45922</v>
      </c>
      <c r="B10" s="27" t="s">
        <v>4</v>
      </c>
      <c r="C10" s="24">
        <v>-76.44</v>
      </c>
    </row>
    <row r="11" spans="1:8" x14ac:dyDescent="0.3">
      <c r="A11" s="26">
        <v>45933</v>
      </c>
      <c r="B11" s="34" t="s">
        <v>21</v>
      </c>
      <c r="C11" s="24">
        <v>79.28</v>
      </c>
    </row>
    <row r="12" spans="1:8" x14ac:dyDescent="0.3">
      <c r="A12" s="26">
        <v>45938</v>
      </c>
      <c r="B12" s="27" t="s">
        <v>4</v>
      </c>
      <c r="C12" s="24">
        <v>-40.99</v>
      </c>
    </row>
    <row r="13" spans="1:8" x14ac:dyDescent="0.3">
      <c r="A13" s="26">
        <v>45940</v>
      </c>
      <c r="B13" s="34" t="s">
        <v>21</v>
      </c>
      <c r="C13" s="24">
        <v>52.368000000000002</v>
      </c>
    </row>
    <row r="14" spans="1:8" x14ac:dyDescent="0.3">
      <c r="A14" s="26">
        <v>45947</v>
      </c>
      <c r="B14" s="27" t="s">
        <v>7</v>
      </c>
      <c r="C14" s="24">
        <v>-52.69</v>
      </c>
    </row>
    <row r="15" spans="1:8" x14ac:dyDescent="0.3">
      <c r="A15" s="26">
        <v>45950</v>
      </c>
      <c r="B15" s="27" t="s">
        <v>4</v>
      </c>
      <c r="C15" s="24">
        <v>-37.97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F2B4F-582B-434F-8835-15E15F3B3DAA}">
  <dimension ref="A1:H86"/>
  <sheetViews>
    <sheetView view="pageBreakPreview" zoomScaleNormal="100" zoomScaleSheetLayoutView="100" workbookViewId="0">
      <selection activeCell="C16" sqref="C1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529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1.9539925233402755E-13</v>
      </c>
      <c r="D3" s="20">
        <f>SUM(D$4:D$1048576)</f>
        <v>2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46017</v>
      </c>
      <c r="B5" s="27" t="s">
        <v>21</v>
      </c>
      <c r="C5" s="24">
        <v>709.9</v>
      </c>
      <c r="D5" s="30">
        <v>2</v>
      </c>
      <c r="E5" s="30"/>
      <c r="F5" s="30"/>
      <c r="G5" s="22"/>
    </row>
    <row r="6" spans="1:8" x14ac:dyDescent="0.3">
      <c r="A6" s="21">
        <v>46020</v>
      </c>
      <c r="B6" s="27" t="s">
        <v>4</v>
      </c>
      <c r="C6" s="24">
        <v>-709.88</v>
      </c>
    </row>
    <row r="7" spans="1:8" x14ac:dyDescent="0.3">
      <c r="A7" s="21">
        <v>46020</v>
      </c>
      <c r="B7" s="27" t="s">
        <v>1</v>
      </c>
      <c r="C7" s="24">
        <v>719.44</v>
      </c>
    </row>
    <row r="8" spans="1:8" x14ac:dyDescent="0.3">
      <c r="A8" s="26">
        <v>46021</v>
      </c>
      <c r="B8" s="27" t="s">
        <v>1</v>
      </c>
      <c r="C8" s="24">
        <v>113.23</v>
      </c>
    </row>
    <row r="9" spans="1:8" x14ac:dyDescent="0.3">
      <c r="A9" s="26">
        <v>46022</v>
      </c>
      <c r="B9" s="27" t="s">
        <v>4</v>
      </c>
      <c r="C9" s="24">
        <v>-832.67</v>
      </c>
    </row>
    <row r="10" spans="1:8" x14ac:dyDescent="0.3">
      <c r="A10" s="26">
        <v>46030</v>
      </c>
      <c r="B10" s="27" t="s">
        <v>1</v>
      </c>
      <c r="C10" s="24">
        <v>1938.84</v>
      </c>
    </row>
    <row r="11" spans="1:8" x14ac:dyDescent="0.3">
      <c r="A11" s="26">
        <v>46031</v>
      </c>
      <c r="B11" s="27" t="s">
        <v>4</v>
      </c>
      <c r="C11" s="24">
        <v>-1014.17</v>
      </c>
    </row>
    <row r="12" spans="1:8" x14ac:dyDescent="0.3">
      <c r="A12" s="26">
        <v>46037</v>
      </c>
      <c r="B12" s="27" t="s">
        <v>1</v>
      </c>
      <c r="C12" s="24">
        <v>773.4</v>
      </c>
    </row>
    <row r="13" spans="1:8" x14ac:dyDescent="0.3">
      <c r="A13" s="26">
        <v>46044</v>
      </c>
      <c r="B13" s="27" t="s">
        <v>4</v>
      </c>
      <c r="C13" s="24">
        <v>-924.67</v>
      </c>
    </row>
    <row r="14" spans="1:8" x14ac:dyDescent="0.3">
      <c r="A14" s="26">
        <v>46045</v>
      </c>
      <c r="B14" s="27" t="s">
        <v>4</v>
      </c>
      <c r="C14" s="24">
        <v>-767.51</v>
      </c>
    </row>
    <row r="15" spans="1:8" x14ac:dyDescent="0.3">
      <c r="A15" s="26">
        <v>46052</v>
      </c>
      <c r="B15" s="27" t="s">
        <v>4</v>
      </c>
      <c r="C15" s="24">
        <v>-5.91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3658-36E1-4084-BC4B-252D1149D101}">
  <dimension ref="A1:N69"/>
  <sheetViews>
    <sheetView view="pageBreakPreview" zoomScale="80" zoomScaleNormal="100" zoomScaleSheetLayoutView="80" workbookViewId="0">
      <selection activeCell="C6" sqref="C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542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46042</v>
      </c>
      <c r="B5" s="71" t="s">
        <v>4</v>
      </c>
      <c r="C5" s="24">
        <v>-39.31</v>
      </c>
      <c r="D5" s="30"/>
      <c r="E5" s="30"/>
      <c r="F5" s="30"/>
      <c r="G5" s="22"/>
    </row>
    <row r="6" spans="1:8" x14ac:dyDescent="0.3">
      <c r="A6" s="21">
        <v>46042</v>
      </c>
      <c r="B6" s="71" t="s">
        <v>21</v>
      </c>
      <c r="C6" s="24">
        <v>39.31</v>
      </c>
    </row>
    <row r="7" spans="1:8" x14ac:dyDescent="0.3">
      <c r="A7" s="21"/>
    </row>
    <row r="9" spans="1:8" x14ac:dyDescent="0.3">
      <c r="B9" s="71"/>
    </row>
    <row r="10" spans="1:8" x14ac:dyDescent="0.3">
      <c r="B10" s="71"/>
    </row>
    <row r="12" spans="1:8" x14ac:dyDescent="0.3">
      <c r="B12" s="31"/>
    </row>
    <row r="13" spans="1:8" x14ac:dyDescent="0.3">
      <c r="B13" s="71"/>
    </row>
    <row r="14" spans="1:8" x14ac:dyDescent="0.3">
      <c r="B14" s="71"/>
    </row>
    <row r="18" spans="2:7" x14ac:dyDescent="0.3">
      <c r="B18" s="71"/>
      <c r="G18" s="98"/>
    </row>
    <row r="19" spans="2:7" x14ac:dyDescent="0.3">
      <c r="G19" s="98"/>
    </row>
    <row r="20" spans="2:7" x14ac:dyDescent="0.3">
      <c r="G20" s="98"/>
    </row>
    <row r="21" spans="2:7" x14ac:dyDescent="0.3">
      <c r="B21" s="71"/>
    </row>
    <row r="22" spans="2:7" x14ac:dyDescent="0.3">
      <c r="B22" s="71"/>
    </row>
    <row r="25" spans="2:7" x14ac:dyDescent="0.3">
      <c r="B25" s="71"/>
    </row>
    <row r="26" spans="2:7" x14ac:dyDescent="0.3">
      <c r="B26" s="71"/>
    </row>
    <row r="29" spans="2:7" x14ac:dyDescent="0.3">
      <c r="B29" s="71"/>
    </row>
    <row r="30" spans="2:7" x14ac:dyDescent="0.3">
      <c r="B30" s="71"/>
    </row>
    <row r="33" spans="2:11" x14ac:dyDescent="0.3">
      <c r="B33" s="71"/>
    </row>
    <row r="34" spans="2:11" x14ac:dyDescent="0.3">
      <c r="B34" s="71"/>
    </row>
    <row r="36" spans="2:11" x14ac:dyDescent="0.3">
      <c r="B36" s="71"/>
    </row>
    <row r="37" spans="2:11" x14ac:dyDescent="0.3">
      <c r="B37" s="71"/>
    </row>
    <row r="43" spans="2:11" x14ac:dyDescent="0.3">
      <c r="B43" s="71"/>
    </row>
    <row r="44" spans="2:11" x14ac:dyDescent="0.3">
      <c r="B44" s="71"/>
    </row>
    <row r="45" spans="2:11" x14ac:dyDescent="0.3">
      <c r="K45" s="87"/>
    </row>
    <row r="46" spans="2:11" x14ac:dyDescent="0.3">
      <c r="K46" s="87"/>
    </row>
    <row r="49" spans="2:14" x14ac:dyDescent="0.3">
      <c r="B49" s="71"/>
    </row>
    <row r="50" spans="2:14" x14ac:dyDescent="0.3">
      <c r="B50" s="71"/>
    </row>
    <row r="52" spans="2:14" x14ac:dyDescent="0.3">
      <c r="N52" s="97"/>
    </row>
    <row r="53" spans="2:14" x14ac:dyDescent="0.3">
      <c r="B53" s="71"/>
      <c r="N53" s="97"/>
    </row>
    <row r="54" spans="2:14" x14ac:dyDescent="0.3">
      <c r="B54" s="71"/>
    </row>
    <row r="57" spans="2:14" x14ac:dyDescent="0.3">
      <c r="B57" s="71"/>
    </row>
    <row r="58" spans="2:14" x14ac:dyDescent="0.3">
      <c r="B58" s="71"/>
    </row>
    <row r="61" spans="2:14" x14ac:dyDescent="0.3">
      <c r="B61" s="71"/>
      <c r="M61" s="87"/>
    </row>
    <row r="62" spans="2:14" x14ac:dyDescent="0.3">
      <c r="B62" s="71"/>
    </row>
    <row r="65" spans="2:10" x14ac:dyDescent="0.3">
      <c r="B65" s="71"/>
    </row>
    <row r="66" spans="2:10" x14ac:dyDescent="0.3">
      <c r="B66" s="71"/>
    </row>
    <row r="69" spans="2:10" x14ac:dyDescent="0.3">
      <c r="J69" s="87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A0FD-3134-4B1E-94FB-D3CD7289D01F}">
  <sheetPr codeName="Hoja15"/>
  <dimension ref="A1:O96"/>
  <sheetViews>
    <sheetView view="pageBreakPreview" zoomScale="80" zoomScaleNormal="100" zoomScaleSheetLayoutView="80" workbookViewId="0">
      <selection activeCell="C93" sqref="C9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179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71.280000000000086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44.73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45819</v>
      </c>
      <c r="B5" s="32" t="s">
        <v>21</v>
      </c>
      <c r="C5" s="24">
        <f>39.2-G5</f>
        <v>35.150000000000006</v>
      </c>
      <c r="D5" s="30"/>
      <c r="E5" s="30"/>
      <c r="F5" s="30"/>
      <c r="G5" s="93">
        <v>4.05</v>
      </c>
    </row>
    <row r="6" spans="1:8" hidden="1" x14ac:dyDescent="0.3">
      <c r="A6" s="21">
        <v>45819</v>
      </c>
      <c r="B6" s="34" t="s">
        <v>21</v>
      </c>
      <c r="C6" s="24">
        <v>27.96</v>
      </c>
    </row>
    <row r="7" spans="1:8" hidden="1" x14ac:dyDescent="0.3">
      <c r="A7" s="21">
        <v>45819</v>
      </c>
      <c r="B7" s="27" t="s">
        <v>1</v>
      </c>
      <c r="C7" s="24">
        <v>19.88</v>
      </c>
    </row>
    <row r="8" spans="1:8" hidden="1" x14ac:dyDescent="0.3">
      <c r="A8" s="26">
        <v>45827</v>
      </c>
      <c r="B8" s="27" t="s">
        <v>4</v>
      </c>
      <c r="C8" s="24">
        <v>-83.2</v>
      </c>
      <c r="G8" s="94">
        <v>-4.05</v>
      </c>
    </row>
    <row r="9" spans="1:8" hidden="1" x14ac:dyDescent="0.3">
      <c r="A9" s="26">
        <v>45834</v>
      </c>
      <c r="B9" s="32" t="s">
        <v>21</v>
      </c>
      <c r="C9" s="24">
        <v>59.85</v>
      </c>
    </row>
    <row r="10" spans="1:8" hidden="1" x14ac:dyDescent="0.3">
      <c r="A10" s="26">
        <v>45834</v>
      </c>
      <c r="B10" s="34" t="s">
        <v>21</v>
      </c>
      <c r="C10" s="24">
        <v>40.68</v>
      </c>
    </row>
    <row r="11" spans="1:8" hidden="1" x14ac:dyDescent="0.3">
      <c r="A11" s="26">
        <v>45834</v>
      </c>
      <c r="B11" s="27" t="s">
        <v>1</v>
      </c>
      <c r="C11" s="24">
        <v>20.8</v>
      </c>
    </row>
    <row r="12" spans="1:8" hidden="1" x14ac:dyDescent="0.3">
      <c r="A12" s="26">
        <v>45853</v>
      </c>
      <c r="B12" s="31" t="s">
        <v>4</v>
      </c>
      <c r="C12" s="24">
        <v>-121.32</v>
      </c>
    </row>
    <row r="13" spans="1:8" hidden="1" x14ac:dyDescent="0.3">
      <c r="A13" s="26">
        <v>45854</v>
      </c>
      <c r="B13" s="32" t="s">
        <v>21</v>
      </c>
      <c r="C13" s="24">
        <f>59.55-G13</f>
        <v>51.809999999999995</v>
      </c>
      <c r="G13" s="94">
        <v>7.74</v>
      </c>
    </row>
    <row r="14" spans="1:8" hidden="1" x14ac:dyDescent="0.3">
      <c r="A14" s="26">
        <v>45854</v>
      </c>
      <c r="B14" s="34" t="s">
        <v>1</v>
      </c>
      <c r="C14" s="24">
        <v>43.28</v>
      </c>
    </row>
    <row r="15" spans="1:8" hidden="1" x14ac:dyDescent="0.3">
      <c r="A15" s="26">
        <v>45854</v>
      </c>
      <c r="B15" s="27" t="s">
        <v>1</v>
      </c>
      <c r="C15" s="24">
        <v>40.700000000000003</v>
      </c>
    </row>
    <row r="16" spans="1:8" hidden="1" x14ac:dyDescent="0.3">
      <c r="A16" s="26">
        <v>45862</v>
      </c>
      <c r="B16" s="27" t="s">
        <v>23</v>
      </c>
      <c r="G16" s="94">
        <v>-7.74</v>
      </c>
    </row>
    <row r="17" spans="1:7" hidden="1" x14ac:dyDescent="0.3">
      <c r="A17" s="26">
        <v>45866</v>
      </c>
      <c r="B17" s="27" t="s">
        <v>4</v>
      </c>
      <c r="C17" s="24">
        <v>-129.99</v>
      </c>
    </row>
    <row r="18" spans="1:7" hidden="1" x14ac:dyDescent="0.3">
      <c r="A18" s="26">
        <v>45869</v>
      </c>
      <c r="B18" s="32" t="s">
        <v>21</v>
      </c>
      <c r="C18" s="24">
        <f>52.68-G18</f>
        <v>47.24</v>
      </c>
      <c r="G18" s="98">
        <v>5.44</v>
      </c>
    </row>
    <row r="19" spans="1:7" hidden="1" x14ac:dyDescent="0.3">
      <c r="A19" s="26">
        <v>45869</v>
      </c>
      <c r="B19" s="27" t="s">
        <v>1</v>
      </c>
      <c r="C19" s="24">
        <v>36.57</v>
      </c>
      <c r="G19" s="98"/>
    </row>
    <row r="20" spans="1:7" hidden="1" x14ac:dyDescent="0.3">
      <c r="A20" s="26">
        <v>45880</v>
      </c>
      <c r="B20" s="27" t="s">
        <v>4</v>
      </c>
      <c r="C20" s="24">
        <v>-91.39</v>
      </c>
      <c r="G20" s="98">
        <v>-5.44</v>
      </c>
    </row>
    <row r="21" spans="1:7" hidden="1" x14ac:dyDescent="0.3">
      <c r="A21" s="26">
        <v>45881</v>
      </c>
      <c r="B21" s="32" t="s">
        <v>21</v>
      </c>
      <c r="C21" s="24">
        <f>67.28-G21</f>
        <v>62.14</v>
      </c>
      <c r="G21" s="94">
        <v>5.14</v>
      </c>
    </row>
    <row r="22" spans="1:7" hidden="1" x14ac:dyDescent="0.3">
      <c r="A22" s="26">
        <v>45881</v>
      </c>
      <c r="B22" s="34" t="s">
        <v>1</v>
      </c>
      <c r="C22" s="24">
        <f>86.74-G22</f>
        <v>78.849999999999994</v>
      </c>
      <c r="G22" s="94">
        <v>7.89</v>
      </c>
    </row>
    <row r="23" spans="1:7" hidden="1" x14ac:dyDescent="0.3">
      <c r="A23" s="26">
        <v>45890</v>
      </c>
      <c r="B23" s="27" t="s">
        <v>23</v>
      </c>
      <c r="G23" s="94">
        <v>-13.03</v>
      </c>
    </row>
    <row r="24" spans="1:7" hidden="1" x14ac:dyDescent="0.3">
      <c r="A24" s="26">
        <v>45894</v>
      </c>
      <c r="B24" s="27" t="s">
        <v>4</v>
      </c>
      <c r="C24" s="24">
        <v>-138.09</v>
      </c>
    </row>
    <row r="25" spans="1:7" hidden="1" x14ac:dyDescent="0.3">
      <c r="A25" s="26">
        <v>45897</v>
      </c>
      <c r="B25" s="32" t="s">
        <v>21</v>
      </c>
      <c r="C25" s="24">
        <f>77.28-G25</f>
        <v>69.290000000000006</v>
      </c>
      <c r="G25" s="94">
        <v>7.99</v>
      </c>
    </row>
    <row r="26" spans="1:7" hidden="1" x14ac:dyDescent="0.3">
      <c r="A26" s="26">
        <v>45897</v>
      </c>
      <c r="B26" s="34" t="s">
        <v>1</v>
      </c>
      <c r="C26" s="24">
        <f>37.05-G26</f>
        <v>33.229999999999997</v>
      </c>
      <c r="G26" s="94">
        <v>3.82</v>
      </c>
    </row>
    <row r="27" spans="1:7" hidden="1" x14ac:dyDescent="0.3">
      <c r="A27" s="26">
        <v>45897</v>
      </c>
      <c r="B27" s="27" t="s">
        <v>1</v>
      </c>
      <c r="C27" s="24">
        <v>63.9</v>
      </c>
    </row>
    <row r="28" spans="1:7" hidden="1" x14ac:dyDescent="0.3">
      <c r="A28" s="26">
        <v>45903</v>
      </c>
      <c r="B28" s="27" t="s">
        <v>4</v>
      </c>
      <c r="C28" s="24">
        <v>-166.42</v>
      </c>
    </row>
    <row r="29" spans="1:7" hidden="1" x14ac:dyDescent="0.3">
      <c r="A29" s="26">
        <v>45904</v>
      </c>
      <c r="B29" s="32" t="s">
        <v>21</v>
      </c>
      <c r="C29" s="24">
        <f>36.6-G29</f>
        <v>32.82</v>
      </c>
      <c r="G29" s="94">
        <v>3.78</v>
      </c>
    </row>
    <row r="30" spans="1:7" hidden="1" x14ac:dyDescent="0.3">
      <c r="A30" s="26">
        <v>45904</v>
      </c>
      <c r="B30" s="34" t="s">
        <v>1</v>
      </c>
      <c r="C30" s="24">
        <f>134.74-G30</f>
        <v>123.70000000000002</v>
      </c>
      <c r="G30" s="94">
        <v>11.04</v>
      </c>
    </row>
    <row r="31" spans="1:7" hidden="1" x14ac:dyDescent="0.3">
      <c r="A31" s="26">
        <v>45904</v>
      </c>
      <c r="B31" s="27" t="s">
        <v>1</v>
      </c>
      <c r="C31" s="24">
        <v>33.159999999999997</v>
      </c>
    </row>
    <row r="32" spans="1:7" hidden="1" x14ac:dyDescent="0.3">
      <c r="A32" s="26">
        <v>45917</v>
      </c>
      <c r="B32" s="27" t="s">
        <v>4</v>
      </c>
      <c r="C32" s="24">
        <v>-154.99</v>
      </c>
    </row>
    <row r="33" spans="1:11" hidden="1" x14ac:dyDescent="0.3">
      <c r="A33" s="26">
        <v>45918</v>
      </c>
      <c r="B33" s="32" t="s">
        <v>21</v>
      </c>
      <c r="C33" s="24">
        <f>44.25-G33</f>
        <v>39.68</v>
      </c>
      <c r="G33" s="94">
        <v>4.57</v>
      </c>
    </row>
    <row r="34" spans="1:11" hidden="1" x14ac:dyDescent="0.3">
      <c r="A34" s="26">
        <v>45918</v>
      </c>
      <c r="B34" s="34" t="s">
        <v>1</v>
      </c>
      <c r="C34" s="24">
        <f>130.82-G34</f>
        <v>118.74</v>
      </c>
      <c r="G34" s="94">
        <v>12.08</v>
      </c>
    </row>
    <row r="35" spans="1:11" hidden="1" x14ac:dyDescent="0.3">
      <c r="A35" s="26">
        <v>45918</v>
      </c>
      <c r="B35" s="27" t="s">
        <v>1</v>
      </c>
      <c r="C35" s="24">
        <v>9.9600000000000009</v>
      </c>
    </row>
    <row r="36" spans="1:11" hidden="1" x14ac:dyDescent="0.3">
      <c r="A36" s="26">
        <v>45925</v>
      </c>
      <c r="B36" s="32" t="s">
        <v>21</v>
      </c>
      <c r="C36" s="24">
        <f>46.68-G36</f>
        <v>41.86</v>
      </c>
      <c r="G36" s="94">
        <v>4.82</v>
      </c>
    </row>
    <row r="37" spans="1:11" hidden="1" x14ac:dyDescent="0.3">
      <c r="A37" s="26">
        <v>45925</v>
      </c>
      <c r="B37" s="34" t="s">
        <v>1</v>
      </c>
      <c r="C37" s="24">
        <f>115.5-G37</f>
        <v>105</v>
      </c>
      <c r="G37" s="94">
        <v>10.5</v>
      </c>
    </row>
    <row r="38" spans="1:11" hidden="1" x14ac:dyDescent="0.3">
      <c r="A38" s="26">
        <v>45925</v>
      </c>
      <c r="B38" s="27" t="s">
        <v>1</v>
      </c>
      <c r="C38" s="24">
        <v>9.9600000000000009</v>
      </c>
    </row>
    <row r="39" spans="1:11" hidden="1" x14ac:dyDescent="0.3">
      <c r="A39" s="26">
        <v>45930</v>
      </c>
      <c r="B39" s="27" t="s">
        <v>4</v>
      </c>
      <c r="C39" s="24">
        <v>-34.69</v>
      </c>
    </row>
    <row r="40" spans="1:11" hidden="1" x14ac:dyDescent="0.3">
      <c r="A40" s="26">
        <v>45930</v>
      </c>
      <c r="B40" s="27" t="s">
        <v>4</v>
      </c>
      <c r="C40" s="24">
        <v>-203.98</v>
      </c>
    </row>
    <row r="41" spans="1:11" hidden="1" x14ac:dyDescent="0.3">
      <c r="A41" s="26">
        <v>45931</v>
      </c>
      <c r="B41" s="27" t="s">
        <v>4</v>
      </c>
      <c r="C41" s="24">
        <v>-98.99</v>
      </c>
    </row>
    <row r="42" spans="1:11" hidden="1" x14ac:dyDescent="0.3">
      <c r="A42" s="26">
        <v>45932</v>
      </c>
      <c r="B42" s="27" t="s">
        <v>4</v>
      </c>
      <c r="C42" s="24">
        <v>-56.81</v>
      </c>
      <c r="G42" s="94">
        <v>-14.82</v>
      </c>
    </row>
    <row r="43" spans="1:11" hidden="1" x14ac:dyDescent="0.3">
      <c r="A43" s="26">
        <v>45932</v>
      </c>
      <c r="B43" s="32" t="s">
        <v>21</v>
      </c>
      <c r="C43" s="24">
        <f>51.9-G43</f>
        <v>46.54</v>
      </c>
      <c r="G43" s="94">
        <v>5.36</v>
      </c>
    </row>
    <row r="44" spans="1:11" hidden="1" x14ac:dyDescent="0.3">
      <c r="A44" s="26">
        <v>45932</v>
      </c>
      <c r="B44" s="34" t="s">
        <v>1</v>
      </c>
      <c r="C44" s="24">
        <f>63.58-G44</f>
        <v>57</v>
      </c>
      <c r="G44" s="94">
        <v>6.58</v>
      </c>
    </row>
    <row r="45" spans="1:11" hidden="1" x14ac:dyDescent="0.3">
      <c r="A45" s="26">
        <v>45932</v>
      </c>
      <c r="B45" s="27" t="s">
        <v>1</v>
      </c>
      <c r="C45" s="24">
        <v>9.9600000000000009</v>
      </c>
      <c r="G45" s="94">
        <v>-11.81</v>
      </c>
      <c r="K45" s="87"/>
    </row>
    <row r="46" spans="1:11" hidden="1" x14ac:dyDescent="0.3">
      <c r="A46" s="26">
        <v>45939</v>
      </c>
      <c r="B46" s="27" t="s">
        <v>23</v>
      </c>
      <c r="G46" s="94">
        <v>-15.32</v>
      </c>
      <c r="K46" s="87"/>
    </row>
    <row r="47" spans="1:11" hidden="1" x14ac:dyDescent="0.3">
      <c r="A47" s="26">
        <v>45939</v>
      </c>
      <c r="B47" s="27" t="s">
        <v>23</v>
      </c>
      <c r="G47" s="94">
        <v>-16.649999999999999</v>
      </c>
    </row>
    <row r="48" spans="1:11" hidden="1" x14ac:dyDescent="0.3">
      <c r="A48" s="26">
        <v>45940</v>
      </c>
      <c r="B48" s="27" t="s">
        <v>4</v>
      </c>
      <c r="C48" s="24">
        <v>-85.84</v>
      </c>
    </row>
    <row r="49" spans="1:14" hidden="1" x14ac:dyDescent="0.3">
      <c r="A49" s="26">
        <v>45940</v>
      </c>
      <c r="B49" s="32" t="s">
        <v>21</v>
      </c>
      <c r="C49" s="24">
        <f>56.28-G49</f>
        <v>50.46</v>
      </c>
      <c r="G49" s="94">
        <v>5.82</v>
      </c>
    </row>
    <row r="50" spans="1:14" hidden="1" x14ac:dyDescent="0.3">
      <c r="A50" s="26">
        <v>45940</v>
      </c>
      <c r="B50" s="34" t="s">
        <v>1</v>
      </c>
      <c r="C50" s="24">
        <f>29.96-G50</f>
        <v>28.39</v>
      </c>
      <c r="G50" s="94">
        <v>1.57</v>
      </c>
    </row>
    <row r="51" spans="1:14" hidden="1" x14ac:dyDescent="0.3">
      <c r="A51" s="26">
        <v>45940</v>
      </c>
      <c r="B51" s="27" t="s">
        <v>1</v>
      </c>
      <c r="C51" s="24">
        <v>4.5599999999999996</v>
      </c>
    </row>
    <row r="52" spans="1:14" hidden="1" x14ac:dyDescent="0.3">
      <c r="A52" s="26">
        <v>45945</v>
      </c>
      <c r="B52" s="27" t="s">
        <v>4</v>
      </c>
      <c r="C52" s="24">
        <v>-77.41</v>
      </c>
      <c r="N52" s="97"/>
    </row>
    <row r="53" spans="1:14" x14ac:dyDescent="0.3">
      <c r="A53" s="26">
        <v>45946</v>
      </c>
      <c r="B53" s="32" t="s">
        <v>21</v>
      </c>
      <c r="C53" s="24">
        <f>71.1-G53</f>
        <v>71.099999999999994</v>
      </c>
      <c r="N53" s="97"/>
    </row>
    <row r="54" spans="1:14" x14ac:dyDescent="0.3">
      <c r="A54" s="26">
        <v>45946</v>
      </c>
      <c r="B54" s="34" t="s">
        <v>1</v>
      </c>
      <c r="C54" s="24">
        <f>22.18-G54</f>
        <v>22.18</v>
      </c>
    </row>
    <row r="55" spans="1:14" x14ac:dyDescent="0.3">
      <c r="A55" s="26">
        <v>45946</v>
      </c>
      <c r="B55" s="27" t="s">
        <v>1</v>
      </c>
      <c r="C55" s="24">
        <v>4.5599999999999996</v>
      </c>
    </row>
    <row r="56" spans="1:14" x14ac:dyDescent="0.3">
      <c r="A56" s="26">
        <v>45953</v>
      </c>
      <c r="B56" s="27" t="s">
        <v>4</v>
      </c>
      <c r="C56" s="24">
        <v>-88.2</v>
      </c>
    </row>
    <row r="57" spans="1:14" x14ac:dyDescent="0.3">
      <c r="A57" s="26">
        <v>45953</v>
      </c>
      <c r="B57" s="32" t="s">
        <v>21</v>
      </c>
      <c r="C57" s="24">
        <f>47.5-G57</f>
        <v>42.59</v>
      </c>
      <c r="G57" s="94">
        <v>4.91</v>
      </c>
    </row>
    <row r="58" spans="1:14" x14ac:dyDescent="0.3">
      <c r="A58" s="26">
        <v>45953</v>
      </c>
      <c r="B58" s="34" t="s">
        <v>1</v>
      </c>
      <c r="C58" s="24">
        <f>125.91-G58</f>
        <v>114.41</v>
      </c>
      <c r="G58" s="94">
        <v>11.5</v>
      </c>
    </row>
    <row r="59" spans="1:14" x14ac:dyDescent="0.3">
      <c r="A59" s="26">
        <v>45953</v>
      </c>
      <c r="B59" s="27" t="s">
        <v>1</v>
      </c>
      <c r="C59" s="24">
        <v>25.87</v>
      </c>
    </row>
    <row r="60" spans="1:14" x14ac:dyDescent="0.3">
      <c r="A60" s="26">
        <v>45959</v>
      </c>
      <c r="B60" s="27" t="s">
        <v>23</v>
      </c>
      <c r="G60" s="94">
        <v>-11.94</v>
      </c>
    </row>
    <row r="61" spans="1:14" x14ac:dyDescent="0.3">
      <c r="A61" s="26">
        <v>45960</v>
      </c>
      <c r="B61" s="32" t="s">
        <v>21</v>
      </c>
      <c r="C61" s="24">
        <f>37.26-G61</f>
        <v>33.409999999999997</v>
      </c>
      <c r="G61" s="94">
        <v>3.85</v>
      </c>
      <c r="M61" s="87"/>
    </row>
    <row r="62" spans="1:14" x14ac:dyDescent="0.3">
      <c r="A62" s="26">
        <v>45960</v>
      </c>
      <c r="B62" s="34" t="s">
        <v>1</v>
      </c>
      <c r="C62" s="24">
        <f>91.98-G62</f>
        <v>83.88000000000001</v>
      </c>
      <c r="G62" s="94">
        <v>8.1</v>
      </c>
    </row>
    <row r="63" spans="1:14" x14ac:dyDescent="0.3">
      <c r="A63" s="26">
        <v>45960</v>
      </c>
      <c r="B63" s="27" t="s">
        <v>1</v>
      </c>
      <c r="C63" s="24">
        <v>27.57</v>
      </c>
    </row>
    <row r="64" spans="1:14" x14ac:dyDescent="0.3">
      <c r="A64" s="26">
        <v>45964</v>
      </c>
      <c r="B64" s="27" t="s">
        <v>4</v>
      </c>
      <c r="C64" s="24">
        <v>-181.06</v>
      </c>
      <c r="G64" s="94">
        <v>-7.39</v>
      </c>
    </row>
    <row r="65" spans="1:10" x14ac:dyDescent="0.3">
      <c r="A65" s="26">
        <v>45967</v>
      </c>
      <c r="B65" s="32" t="s">
        <v>21</v>
      </c>
      <c r="C65" s="24">
        <f>37-G65</f>
        <v>33.18</v>
      </c>
      <c r="G65" s="94">
        <v>3.82</v>
      </c>
    </row>
    <row r="66" spans="1:10" x14ac:dyDescent="0.3">
      <c r="A66" s="26">
        <v>45967</v>
      </c>
      <c r="B66" s="34" t="s">
        <v>1</v>
      </c>
      <c r="C66" s="24">
        <f>107.75-G66</f>
        <v>98.01</v>
      </c>
      <c r="G66" s="94">
        <v>9.74</v>
      </c>
    </row>
    <row r="67" spans="1:10" x14ac:dyDescent="0.3">
      <c r="A67" s="26">
        <v>45967</v>
      </c>
      <c r="B67" s="27" t="s">
        <v>1</v>
      </c>
      <c r="C67" s="24">
        <v>10.79</v>
      </c>
    </row>
    <row r="68" spans="1:10" x14ac:dyDescent="0.3">
      <c r="A68" s="26">
        <v>45978</v>
      </c>
      <c r="B68" s="27" t="s">
        <v>4</v>
      </c>
      <c r="C68" s="24">
        <v>-146.66999999999999</v>
      </c>
    </row>
    <row r="69" spans="1:10" x14ac:dyDescent="0.3">
      <c r="A69" s="26">
        <v>45980</v>
      </c>
      <c r="B69" s="27" t="s">
        <v>4</v>
      </c>
      <c r="C69" s="24">
        <v>-141.97999999999999</v>
      </c>
      <c r="J69" s="87"/>
    </row>
    <row r="70" spans="1:10" x14ac:dyDescent="0.3">
      <c r="A70" s="26">
        <v>45981</v>
      </c>
      <c r="B70" s="27" t="s">
        <v>1</v>
      </c>
      <c r="C70" s="24">
        <f>166.07-G70</f>
        <v>148.89999999999998</v>
      </c>
      <c r="G70" s="94">
        <v>17.170000000000002</v>
      </c>
    </row>
    <row r="71" spans="1:10" x14ac:dyDescent="0.3">
      <c r="A71" s="26">
        <v>45988</v>
      </c>
      <c r="B71" s="27" t="s">
        <v>23</v>
      </c>
      <c r="G71" s="94">
        <v>-11.95</v>
      </c>
    </row>
    <row r="72" spans="1:10" x14ac:dyDescent="0.3">
      <c r="A72" s="26">
        <v>45988</v>
      </c>
      <c r="B72" s="27" t="s">
        <v>23</v>
      </c>
      <c r="G72" s="94">
        <v>-13.56</v>
      </c>
    </row>
    <row r="73" spans="1:10" x14ac:dyDescent="0.3">
      <c r="A73" s="26">
        <v>45988</v>
      </c>
      <c r="B73" s="27" t="s">
        <v>1</v>
      </c>
      <c r="C73" s="24">
        <f>200.82-G73</f>
        <v>184.70999999999998</v>
      </c>
      <c r="G73" s="94">
        <v>16.11</v>
      </c>
    </row>
    <row r="74" spans="1:10" x14ac:dyDescent="0.3">
      <c r="A74" s="26">
        <v>45994</v>
      </c>
      <c r="B74" s="27" t="s">
        <v>4</v>
      </c>
      <c r="C74" s="24">
        <v>-143</v>
      </c>
    </row>
    <row r="75" spans="1:10" x14ac:dyDescent="0.3">
      <c r="A75" s="26">
        <v>45995</v>
      </c>
      <c r="B75" s="27" t="s">
        <v>4</v>
      </c>
      <c r="C75" s="24">
        <v>-196.5</v>
      </c>
    </row>
    <row r="76" spans="1:10" x14ac:dyDescent="0.3">
      <c r="A76" s="26">
        <v>45995</v>
      </c>
      <c r="B76" s="27" t="s">
        <v>1</v>
      </c>
      <c r="C76" s="24">
        <f>166.35-G76</f>
        <v>159.26</v>
      </c>
      <c r="G76" s="94">
        <v>7.09</v>
      </c>
    </row>
    <row r="77" spans="1:10" x14ac:dyDescent="0.3">
      <c r="A77" s="26">
        <v>46002</v>
      </c>
      <c r="B77" s="27" t="s">
        <v>4</v>
      </c>
      <c r="C77" s="24">
        <v>-163.01</v>
      </c>
    </row>
    <row r="78" spans="1:10" x14ac:dyDescent="0.3">
      <c r="A78" s="26">
        <v>46002</v>
      </c>
      <c r="B78" s="27" t="s">
        <v>1</v>
      </c>
      <c r="C78" s="24">
        <f>188.52-G78</f>
        <v>181.52</v>
      </c>
      <c r="G78" s="94">
        <v>7</v>
      </c>
    </row>
    <row r="79" spans="1:10" x14ac:dyDescent="0.3">
      <c r="A79" s="26">
        <v>46006</v>
      </c>
      <c r="B79" s="27" t="s">
        <v>23</v>
      </c>
      <c r="G79" s="94">
        <v>-17.170000000000002</v>
      </c>
    </row>
    <row r="80" spans="1:10" x14ac:dyDescent="0.3">
      <c r="A80" s="26">
        <v>46009</v>
      </c>
      <c r="B80" s="27" t="s">
        <v>1</v>
      </c>
      <c r="C80" s="24">
        <f>180.7-G80</f>
        <v>178.17</v>
      </c>
      <c r="G80" s="94">
        <v>2.5299999999999998</v>
      </c>
    </row>
    <row r="81" spans="1:15" x14ac:dyDescent="0.3">
      <c r="A81" s="26">
        <v>46020</v>
      </c>
      <c r="B81" s="27" t="s">
        <v>4</v>
      </c>
      <c r="C81" s="24">
        <v>-170</v>
      </c>
      <c r="G81" s="94">
        <v>-16.11</v>
      </c>
    </row>
    <row r="82" spans="1:15" x14ac:dyDescent="0.3">
      <c r="A82" s="26">
        <v>46020</v>
      </c>
      <c r="B82" s="27" t="s">
        <v>4</v>
      </c>
      <c r="C82" s="24">
        <v>-11.52</v>
      </c>
      <c r="G82" s="94">
        <v>-7.09</v>
      </c>
    </row>
    <row r="83" spans="1:15" x14ac:dyDescent="0.3">
      <c r="A83" s="26">
        <v>46020</v>
      </c>
      <c r="B83" s="27" t="s">
        <v>4</v>
      </c>
      <c r="C83" s="24">
        <v>-178.19</v>
      </c>
    </row>
    <row r="84" spans="1:15" x14ac:dyDescent="0.3">
      <c r="A84" s="26">
        <v>46021</v>
      </c>
      <c r="B84" s="27" t="s">
        <v>1</v>
      </c>
      <c r="C84" s="24">
        <f>250.8-G84</f>
        <v>229.27</v>
      </c>
      <c r="G84" s="94">
        <v>21.53</v>
      </c>
    </row>
    <row r="85" spans="1:15" x14ac:dyDescent="0.3">
      <c r="A85" s="26">
        <v>46027</v>
      </c>
      <c r="B85" s="27" t="s">
        <v>23</v>
      </c>
      <c r="G85" s="94">
        <v>-7</v>
      </c>
    </row>
    <row r="86" spans="1:15" x14ac:dyDescent="0.3">
      <c r="A86" s="26">
        <v>46037</v>
      </c>
      <c r="B86" s="27" t="s">
        <v>1</v>
      </c>
      <c r="C86" s="24">
        <f>203.74-G86</f>
        <v>182.67000000000002</v>
      </c>
      <c r="G86" s="24">
        <v>21.07</v>
      </c>
      <c r="I86" s="87"/>
    </row>
    <row r="87" spans="1:15" x14ac:dyDescent="0.3">
      <c r="A87" s="26">
        <v>46042</v>
      </c>
      <c r="B87" s="27" t="s">
        <v>4</v>
      </c>
      <c r="C87" s="24">
        <v>-229.27</v>
      </c>
    </row>
    <row r="88" spans="1:15" x14ac:dyDescent="0.3">
      <c r="A88" s="26">
        <v>46044</v>
      </c>
      <c r="B88" s="27" t="s">
        <v>23</v>
      </c>
      <c r="G88" s="94">
        <v>-16.41</v>
      </c>
      <c r="I88" s="87"/>
      <c r="N88" s="18">
        <f>755.94/298.1431</f>
        <v>2.5354938618401701</v>
      </c>
    </row>
    <row r="89" spans="1:15" x14ac:dyDescent="0.3">
      <c r="A89" s="26">
        <v>46044</v>
      </c>
      <c r="B89" s="27" t="s">
        <v>23</v>
      </c>
      <c r="G89" s="94">
        <v>-2.5299999999999998</v>
      </c>
    </row>
    <row r="90" spans="1:15" x14ac:dyDescent="0.3">
      <c r="A90" s="26">
        <v>46044</v>
      </c>
      <c r="B90" s="27" t="s">
        <v>1</v>
      </c>
      <c r="C90" s="24">
        <f>150.46-G90</f>
        <v>134.9</v>
      </c>
      <c r="G90" s="24">
        <v>15.56</v>
      </c>
    </row>
    <row r="91" spans="1:15" x14ac:dyDescent="0.3">
      <c r="A91" s="26">
        <v>46045</v>
      </c>
      <c r="B91" s="27" t="s">
        <v>4</v>
      </c>
      <c r="C91" s="24">
        <v>-182.67</v>
      </c>
      <c r="G91" s="94">
        <v>-21.53</v>
      </c>
    </row>
    <row r="92" spans="1:15" x14ac:dyDescent="0.3">
      <c r="A92" s="26">
        <v>46051</v>
      </c>
      <c r="B92" s="27" t="s">
        <v>1</v>
      </c>
      <c r="C92" s="24">
        <f>94.5-G92</f>
        <v>86.4</v>
      </c>
      <c r="G92" s="24">
        <v>8.1</v>
      </c>
    </row>
    <row r="93" spans="1:15" x14ac:dyDescent="0.3">
      <c r="A93" s="26">
        <v>46056</v>
      </c>
      <c r="B93" s="27" t="s">
        <v>4</v>
      </c>
      <c r="C93" s="24">
        <v>-150</v>
      </c>
      <c r="K93" s="18">
        <f>7359.35/339.1495</f>
        <v>21.699427538592865</v>
      </c>
    </row>
    <row r="96" spans="1:15" x14ac:dyDescent="0.3">
      <c r="O96" s="18">
        <f>1958.18/279.5629</f>
        <v>7.0044344224501893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30BD-E148-4652-9CB7-7C6ACF7A2C94}">
  <sheetPr codeName="Hoja139"/>
  <dimension ref="A1:H12"/>
  <sheetViews>
    <sheetView view="pageBreakPreview" zoomScale="80" zoomScaleNormal="100" zoomScaleSheetLayoutView="8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233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/>
      <c r="B5" s="32" t="s">
        <v>21</v>
      </c>
      <c r="D5" s="30"/>
      <c r="E5" s="30"/>
      <c r="F5" s="30"/>
      <c r="G5" s="22"/>
    </row>
    <row r="6" spans="1:8" x14ac:dyDescent="0.3">
      <c r="A6" s="21"/>
      <c r="B6" s="34" t="s">
        <v>21</v>
      </c>
    </row>
    <row r="7" spans="1:8" x14ac:dyDescent="0.3">
      <c r="A7" s="21"/>
      <c r="B7" s="46" t="s">
        <v>21</v>
      </c>
    </row>
    <row r="8" spans="1:8" x14ac:dyDescent="0.3">
      <c r="B8" s="27" t="s">
        <v>4</v>
      </c>
    </row>
    <row r="10" spans="1:8" x14ac:dyDescent="0.3">
      <c r="B10" s="31"/>
    </row>
    <row r="12" spans="1:8" x14ac:dyDescent="0.3">
      <c r="B12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4B83F-6983-475C-8171-A3CA2F6F77FE}">
  <sheetPr codeName="Hoja16"/>
  <dimension ref="A1:H14"/>
  <sheetViews>
    <sheetView view="pageBreakPreview" zoomScale="80" zoomScaleNormal="100" zoomScaleSheetLayoutView="8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>
        <v>3.64</v>
      </c>
      <c r="B1" s="17" t="s">
        <v>145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153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-2.000000000000135E-2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45888</v>
      </c>
      <c r="B5" s="31" t="s">
        <v>1</v>
      </c>
      <c r="C5" s="24">
        <v>20.8</v>
      </c>
      <c r="D5" s="30"/>
      <c r="E5" s="30"/>
      <c r="F5" s="30"/>
      <c r="G5" s="22"/>
    </row>
    <row r="6" spans="1:8" x14ac:dyDescent="0.3">
      <c r="A6" s="21">
        <v>45888</v>
      </c>
      <c r="B6" s="73" t="s">
        <v>1</v>
      </c>
      <c r="C6" s="24">
        <v>5</v>
      </c>
    </row>
    <row r="7" spans="1:8" x14ac:dyDescent="0.3">
      <c r="A7" s="26">
        <v>45902</v>
      </c>
      <c r="B7" s="27" t="s">
        <v>1</v>
      </c>
      <c r="C7" s="24">
        <v>4.5</v>
      </c>
    </row>
    <row r="8" spans="1:8" x14ac:dyDescent="0.3">
      <c r="A8" s="26">
        <v>45902</v>
      </c>
      <c r="B8" s="72" t="s">
        <v>1</v>
      </c>
      <c r="C8" s="24">
        <v>12.1</v>
      </c>
    </row>
    <row r="9" spans="1:8" x14ac:dyDescent="0.3">
      <c r="A9" s="26">
        <v>45909</v>
      </c>
      <c r="B9" s="27" t="s">
        <v>7</v>
      </c>
      <c r="C9" s="24">
        <v>-16.61</v>
      </c>
    </row>
    <row r="10" spans="1:8" x14ac:dyDescent="0.3">
      <c r="A10" s="26">
        <v>45929</v>
      </c>
      <c r="B10" s="31" t="s">
        <v>4</v>
      </c>
      <c r="C10" s="24">
        <v>-25.79</v>
      </c>
    </row>
    <row r="11" spans="1:8" x14ac:dyDescent="0.3">
      <c r="A11" s="26">
        <v>45958</v>
      </c>
      <c r="B11" s="27" t="s">
        <v>4</v>
      </c>
      <c r="C11" s="24">
        <v>-44</v>
      </c>
    </row>
    <row r="12" spans="1:8" x14ac:dyDescent="0.3">
      <c r="A12" s="26">
        <v>45958</v>
      </c>
      <c r="B12" s="31" t="s">
        <v>1</v>
      </c>
      <c r="C12" s="24">
        <v>26.7</v>
      </c>
    </row>
    <row r="13" spans="1:8" x14ac:dyDescent="0.3">
      <c r="A13" s="26">
        <v>45958</v>
      </c>
      <c r="B13" s="72" t="s">
        <v>1</v>
      </c>
      <c r="C13" s="24">
        <v>4.5999999999999996</v>
      </c>
    </row>
    <row r="14" spans="1:8" x14ac:dyDescent="0.3">
      <c r="A14" s="26">
        <v>45958</v>
      </c>
      <c r="B14" s="73" t="s">
        <v>1</v>
      </c>
      <c r="C14" s="24">
        <v>12.68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74F9-F334-4467-B089-F8BAFF1620A9}">
  <sheetPr codeName="Hoja17"/>
  <dimension ref="A1:H29"/>
  <sheetViews>
    <sheetView view="pageBreakPreview" zoomScale="80" zoomScaleNormal="100" zoomScaleSheetLayoutView="80" workbookViewId="0">
      <selection activeCell="C30" sqref="C3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53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149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1.0000000000001563E-2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45813</v>
      </c>
      <c r="B5" s="34" t="s">
        <v>21</v>
      </c>
      <c r="C5" s="24">
        <v>28.19</v>
      </c>
      <c r="D5" s="30"/>
      <c r="E5" s="30"/>
      <c r="F5" s="30"/>
      <c r="G5" s="22"/>
    </row>
    <row r="6" spans="1:8" hidden="1" x14ac:dyDescent="0.3">
      <c r="A6" s="21">
        <v>45817</v>
      </c>
      <c r="B6" s="71" t="s">
        <v>4</v>
      </c>
      <c r="C6" s="24">
        <v>-28.19</v>
      </c>
    </row>
    <row r="7" spans="1:8" hidden="1" x14ac:dyDescent="0.3">
      <c r="A7" s="26">
        <v>45818</v>
      </c>
      <c r="B7" s="32" t="s">
        <v>21</v>
      </c>
      <c r="C7" s="24">
        <v>15.85</v>
      </c>
    </row>
    <row r="8" spans="1:8" hidden="1" x14ac:dyDescent="0.3">
      <c r="A8" s="26">
        <v>45820</v>
      </c>
      <c r="B8" s="27" t="s">
        <v>4</v>
      </c>
      <c r="C8" s="24">
        <v>-15.84</v>
      </c>
    </row>
    <row r="9" spans="1:8" hidden="1" x14ac:dyDescent="0.3">
      <c r="A9" s="26">
        <v>45825</v>
      </c>
      <c r="B9" s="27" t="s">
        <v>4</v>
      </c>
      <c r="C9" s="24">
        <v>-17.8</v>
      </c>
    </row>
    <row r="10" spans="1:8" hidden="1" x14ac:dyDescent="0.3">
      <c r="A10" s="26">
        <v>45825</v>
      </c>
      <c r="B10" s="32" t="s">
        <v>21</v>
      </c>
      <c r="C10" s="24">
        <v>7.8</v>
      </c>
    </row>
    <row r="11" spans="1:8" hidden="1" x14ac:dyDescent="0.3">
      <c r="A11" s="26">
        <v>45825</v>
      </c>
      <c r="B11" s="34" t="s">
        <v>21</v>
      </c>
      <c r="C11" s="24">
        <v>10</v>
      </c>
    </row>
    <row r="12" spans="1:8" hidden="1" x14ac:dyDescent="0.3">
      <c r="A12" s="26">
        <v>45832</v>
      </c>
      <c r="B12" s="34" t="s">
        <v>21</v>
      </c>
      <c r="C12" s="24">
        <v>10</v>
      </c>
    </row>
    <row r="13" spans="1:8" hidden="1" x14ac:dyDescent="0.3">
      <c r="A13" s="26">
        <v>45833</v>
      </c>
      <c r="B13" s="27" t="s">
        <v>4</v>
      </c>
      <c r="C13" s="24">
        <v>-10</v>
      </c>
    </row>
    <row r="14" spans="1:8" hidden="1" x14ac:dyDescent="0.3">
      <c r="A14" s="26">
        <v>45839</v>
      </c>
      <c r="B14" s="27" t="s">
        <v>4</v>
      </c>
      <c r="C14" s="24">
        <v>-19.04</v>
      </c>
    </row>
    <row r="15" spans="1:8" hidden="1" x14ac:dyDescent="0.3">
      <c r="A15" s="26">
        <v>45839</v>
      </c>
      <c r="B15" s="34" t="s">
        <v>21</v>
      </c>
      <c r="C15" s="24">
        <v>19.04</v>
      </c>
    </row>
    <row r="16" spans="1:8" hidden="1" x14ac:dyDescent="0.3">
      <c r="A16" s="26">
        <v>45846</v>
      </c>
      <c r="B16" s="27" t="s">
        <v>4</v>
      </c>
      <c r="C16" s="24">
        <v>-46.65</v>
      </c>
    </row>
    <row r="17" spans="1:3" hidden="1" x14ac:dyDescent="0.3">
      <c r="A17" s="26">
        <v>45846</v>
      </c>
      <c r="B17" s="27" t="s">
        <v>1</v>
      </c>
      <c r="C17" s="24">
        <v>20.8</v>
      </c>
    </row>
    <row r="18" spans="1:3" hidden="1" x14ac:dyDescent="0.3">
      <c r="A18" s="26">
        <v>45846</v>
      </c>
      <c r="B18" s="32" t="s">
        <v>21</v>
      </c>
      <c r="C18" s="24">
        <v>15.85</v>
      </c>
    </row>
    <row r="19" spans="1:3" hidden="1" x14ac:dyDescent="0.3">
      <c r="A19" s="26">
        <v>45846</v>
      </c>
      <c r="B19" s="34" t="s">
        <v>21</v>
      </c>
      <c r="C19" s="24">
        <v>10</v>
      </c>
    </row>
    <row r="20" spans="1:3" x14ac:dyDescent="0.3">
      <c r="A20" s="26">
        <v>45979</v>
      </c>
      <c r="B20" s="27" t="s">
        <v>1</v>
      </c>
      <c r="C20" s="24">
        <v>16.38</v>
      </c>
    </row>
    <row r="21" spans="1:3" x14ac:dyDescent="0.3">
      <c r="A21" s="26">
        <v>45980</v>
      </c>
      <c r="B21" s="27" t="s">
        <v>4</v>
      </c>
      <c r="C21" s="24">
        <v>-16.38</v>
      </c>
    </row>
    <row r="22" spans="1:3" x14ac:dyDescent="0.3">
      <c r="A22" s="26">
        <v>46000</v>
      </c>
      <c r="B22" s="27" t="s">
        <v>4</v>
      </c>
      <c r="C22" s="24">
        <v>-16.38</v>
      </c>
    </row>
    <row r="23" spans="1:3" x14ac:dyDescent="0.3">
      <c r="A23" s="26">
        <v>46000</v>
      </c>
      <c r="B23" s="27" t="s">
        <v>1</v>
      </c>
      <c r="C23" s="24">
        <v>16.38</v>
      </c>
    </row>
    <row r="24" spans="1:3" x14ac:dyDescent="0.3">
      <c r="A24" s="26">
        <v>46014</v>
      </c>
      <c r="B24" s="27" t="s">
        <v>1</v>
      </c>
      <c r="C24" s="24">
        <v>16.38</v>
      </c>
    </row>
    <row r="25" spans="1:3" x14ac:dyDescent="0.3">
      <c r="A25" s="26">
        <v>46021</v>
      </c>
      <c r="B25" s="27" t="s">
        <v>4</v>
      </c>
      <c r="C25" s="24">
        <v>-16.38</v>
      </c>
    </row>
    <row r="26" spans="1:3" x14ac:dyDescent="0.3">
      <c r="A26" s="26">
        <v>46035</v>
      </c>
      <c r="B26" s="27" t="s">
        <v>4</v>
      </c>
      <c r="C26" s="24">
        <v>-17.28</v>
      </c>
    </row>
    <row r="27" spans="1:3" x14ac:dyDescent="0.3">
      <c r="A27" s="26">
        <v>46035</v>
      </c>
      <c r="B27" s="27" t="s">
        <v>1</v>
      </c>
      <c r="C27" s="24">
        <v>17.28</v>
      </c>
    </row>
    <row r="28" spans="1:3" x14ac:dyDescent="0.3">
      <c r="A28" s="26">
        <v>46056</v>
      </c>
      <c r="B28" s="27" t="s">
        <v>4</v>
      </c>
      <c r="C28" s="24">
        <v>-17.28</v>
      </c>
    </row>
    <row r="29" spans="1:3" x14ac:dyDescent="0.3">
      <c r="A29" s="26">
        <v>46056</v>
      </c>
      <c r="B29" s="27" t="s">
        <v>1</v>
      </c>
      <c r="C29" s="24">
        <v>17.28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2156C-59A1-412C-8AAB-015B5AB7D874}">
  <sheetPr codeName="Hoja18"/>
  <dimension ref="A1:H94"/>
  <sheetViews>
    <sheetView view="pageBreakPreview" topLeftCell="A57" zoomScale="80" zoomScaleNormal="100" zoomScaleSheetLayoutView="80" workbookViewId="0">
      <selection activeCell="C95" sqref="C9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73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211.19000000000005</v>
      </c>
      <c r="D3" s="20">
        <f>SUM(D$4:D$1048576)</f>
        <v>1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45814</v>
      </c>
      <c r="B5" s="32" t="s">
        <v>21</v>
      </c>
      <c r="C5" s="24">
        <v>15.85</v>
      </c>
      <c r="D5" s="30"/>
      <c r="E5" s="30"/>
      <c r="F5" s="30"/>
      <c r="G5" s="22"/>
    </row>
    <row r="6" spans="1:8" hidden="1" x14ac:dyDescent="0.3">
      <c r="A6" s="21">
        <v>45814</v>
      </c>
      <c r="B6" s="34" t="s">
        <v>21</v>
      </c>
      <c r="C6" s="24">
        <v>85.99</v>
      </c>
    </row>
    <row r="7" spans="1:8" hidden="1" x14ac:dyDescent="0.3">
      <c r="A7" s="26">
        <v>45825</v>
      </c>
      <c r="B7" s="27" t="s">
        <v>4</v>
      </c>
      <c r="C7" s="24">
        <v>-46.99</v>
      </c>
    </row>
    <row r="8" spans="1:8" hidden="1" x14ac:dyDescent="0.3">
      <c r="A8" s="26">
        <v>45841</v>
      </c>
      <c r="B8" s="27" t="s">
        <v>4</v>
      </c>
      <c r="C8" s="24">
        <v>-55.95</v>
      </c>
    </row>
    <row r="9" spans="1:8" hidden="1" x14ac:dyDescent="0.3">
      <c r="A9" s="26">
        <v>45841</v>
      </c>
      <c r="B9" s="27" t="s">
        <v>1</v>
      </c>
      <c r="C9" s="24">
        <v>41.6</v>
      </c>
    </row>
    <row r="10" spans="1:8" hidden="1" x14ac:dyDescent="0.3">
      <c r="A10" s="26">
        <v>45841</v>
      </c>
      <c r="B10" s="32" t="s">
        <v>21</v>
      </c>
      <c r="C10" s="24">
        <v>15.85</v>
      </c>
    </row>
    <row r="11" spans="1:8" hidden="1" x14ac:dyDescent="0.3">
      <c r="A11" s="26">
        <v>45847</v>
      </c>
      <c r="B11" s="27" t="s">
        <v>4</v>
      </c>
      <c r="C11" s="24">
        <v>-57.45</v>
      </c>
    </row>
    <row r="12" spans="1:8" hidden="1" x14ac:dyDescent="0.3">
      <c r="A12" s="26">
        <v>45848</v>
      </c>
      <c r="B12" s="31" t="s">
        <v>1</v>
      </c>
      <c r="C12" s="24">
        <v>62.4</v>
      </c>
    </row>
    <row r="13" spans="1:8" hidden="1" x14ac:dyDescent="0.3">
      <c r="A13" s="26">
        <v>45848</v>
      </c>
      <c r="B13" s="34" t="s">
        <v>21</v>
      </c>
      <c r="C13" s="24">
        <v>20.34</v>
      </c>
    </row>
    <row r="14" spans="1:8" hidden="1" x14ac:dyDescent="0.3">
      <c r="A14" s="26">
        <v>45855</v>
      </c>
      <c r="B14" s="27" t="s">
        <v>4</v>
      </c>
      <c r="C14" s="24">
        <v>-9.5399999999999991</v>
      </c>
    </row>
    <row r="15" spans="1:8" hidden="1" x14ac:dyDescent="0.3">
      <c r="A15" s="26">
        <v>45855</v>
      </c>
      <c r="B15" s="27" t="s">
        <v>4</v>
      </c>
      <c r="C15" s="24">
        <v>-34.24</v>
      </c>
    </row>
    <row r="16" spans="1:8" hidden="1" x14ac:dyDescent="0.3">
      <c r="A16" s="26">
        <v>45855</v>
      </c>
      <c r="B16" s="27" t="s">
        <v>4</v>
      </c>
      <c r="C16" s="24">
        <v>-38.97</v>
      </c>
    </row>
    <row r="17" spans="1:4" hidden="1" x14ac:dyDescent="0.3">
      <c r="A17" s="26">
        <v>45855</v>
      </c>
      <c r="B17" s="27" t="s">
        <v>1</v>
      </c>
      <c r="C17" s="24">
        <v>83.2</v>
      </c>
    </row>
    <row r="18" spans="1:4" hidden="1" x14ac:dyDescent="0.3">
      <c r="A18" s="26">
        <v>45861</v>
      </c>
      <c r="B18" s="27" t="s">
        <v>4</v>
      </c>
      <c r="C18" s="24">
        <v>-13.37</v>
      </c>
    </row>
    <row r="19" spans="1:4" hidden="1" x14ac:dyDescent="0.3">
      <c r="A19" s="26">
        <v>45861</v>
      </c>
      <c r="B19" s="27" t="s">
        <v>4</v>
      </c>
      <c r="C19" s="24">
        <v>-55.57</v>
      </c>
    </row>
    <row r="20" spans="1:4" hidden="1" x14ac:dyDescent="0.3">
      <c r="A20" s="26">
        <v>45862</v>
      </c>
      <c r="B20" s="27" t="s">
        <v>1</v>
      </c>
      <c r="C20" s="24">
        <v>41.6</v>
      </c>
    </row>
    <row r="21" spans="1:4" hidden="1" x14ac:dyDescent="0.3">
      <c r="A21" s="26">
        <v>45868</v>
      </c>
      <c r="B21" s="27" t="s">
        <v>4</v>
      </c>
      <c r="C21" s="24">
        <v>-41.6</v>
      </c>
    </row>
    <row r="22" spans="1:4" hidden="1" x14ac:dyDescent="0.3">
      <c r="A22" s="26">
        <v>45869</v>
      </c>
      <c r="B22" s="27" t="s">
        <v>4</v>
      </c>
      <c r="C22" s="24">
        <v>-14.21</v>
      </c>
    </row>
    <row r="23" spans="1:4" hidden="1" x14ac:dyDescent="0.3">
      <c r="A23" s="26">
        <v>45869</v>
      </c>
      <c r="B23" s="27" t="s">
        <v>1</v>
      </c>
      <c r="C23" s="24">
        <v>83.2</v>
      </c>
    </row>
    <row r="24" spans="1:4" hidden="1" x14ac:dyDescent="0.3">
      <c r="A24" s="26">
        <v>45869</v>
      </c>
      <c r="B24" s="32" t="s">
        <v>21</v>
      </c>
      <c r="C24" s="24">
        <v>15.85</v>
      </c>
    </row>
    <row r="25" spans="1:4" hidden="1" x14ac:dyDescent="0.3">
      <c r="A25" s="26">
        <v>45869</v>
      </c>
      <c r="B25" s="34" t="s">
        <v>21</v>
      </c>
      <c r="C25" s="24">
        <v>23.58</v>
      </c>
    </row>
    <row r="26" spans="1:4" hidden="1" x14ac:dyDescent="0.3">
      <c r="A26" s="26">
        <v>45873</v>
      </c>
      <c r="B26" s="27" t="s">
        <v>4</v>
      </c>
      <c r="C26" s="24">
        <v>-90.55</v>
      </c>
    </row>
    <row r="27" spans="1:4" hidden="1" x14ac:dyDescent="0.3">
      <c r="A27" s="26">
        <v>45873</v>
      </c>
      <c r="B27" s="27" t="s">
        <v>4</v>
      </c>
      <c r="C27" s="24">
        <v>-16.34</v>
      </c>
    </row>
    <row r="28" spans="1:4" hidden="1" x14ac:dyDescent="0.3">
      <c r="A28" s="26">
        <v>45876</v>
      </c>
      <c r="B28" s="27" t="s">
        <v>1</v>
      </c>
      <c r="C28" s="24">
        <v>83.2</v>
      </c>
      <c r="D28" s="25">
        <v>1</v>
      </c>
    </row>
    <row r="29" spans="1:4" hidden="1" x14ac:dyDescent="0.3">
      <c r="A29" s="26">
        <v>45890</v>
      </c>
      <c r="B29" s="27" t="s">
        <v>4</v>
      </c>
      <c r="C29" s="24">
        <v>-74.959999999999994</v>
      </c>
    </row>
    <row r="30" spans="1:4" hidden="1" x14ac:dyDescent="0.3">
      <c r="A30" s="26">
        <v>45890</v>
      </c>
      <c r="B30" s="27" t="s">
        <v>4</v>
      </c>
      <c r="C30" s="24">
        <v>-24.11</v>
      </c>
    </row>
    <row r="31" spans="1:4" hidden="1" x14ac:dyDescent="0.3">
      <c r="A31" s="26">
        <v>45890</v>
      </c>
      <c r="B31" s="27" t="s">
        <v>1</v>
      </c>
      <c r="C31" s="24">
        <v>41.6</v>
      </c>
    </row>
    <row r="32" spans="1:4" hidden="1" x14ac:dyDescent="0.3">
      <c r="A32" s="26">
        <v>45890</v>
      </c>
      <c r="B32" s="32" t="s">
        <v>21</v>
      </c>
      <c r="C32" s="24">
        <v>25.69</v>
      </c>
    </row>
    <row r="33" spans="1:3" hidden="1" x14ac:dyDescent="0.3">
      <c r="A33" s="26">
        <v>45898</v>
      </c>
      <c r="B33" s="27" t="s">
        <v>1</v>
      </c>
      <c r="C33" s="24">
        <v>62.4</v>
      </c>
    </row>
    <row r="34" spans="1:3" hidden="1" x14ac:dyDescent="0.3">
      <c r="A34" s="26">
        <v>45898</v>
      </c>
      <c r="B34" s="32" t="s">
        <v>21</v>
      </c>
      <c r="C34" s="24">
        <v>9.84</v>
      </c>
    </row>
    <row r="35" spans="1:3" hidden="1" x14ac:dyDescent="0.3">
      <c r="A35" s="26">
        <v>45898</v>
      </c>
      <c r="B35" s="34" t="s">
        <v>21</v>
      </c>
      <c r="C35" s="24">
        <v>13.4</v>
      </c>
    </row>
    <row r="36" spans="1:3" hidden="1" x14ac:dyDescent="0.3">
      <c r="A36" s="26">
        <v>45903</v>
      </c>
      <c r="B36" s="27" t="s">
        <v>4</v>
      </c>
      <c r="C36" s="24">
        <v>-23.77</v>
      </c>
    </row>
    <row r="37" spans="1:3" hidden="1" x14ac:dyDescent="0.3">
      <c r="A37" s="26">
        <v>45903</v>
      </c>
      <c r="B37" s="27" t="s">
        <v>4</v>
      </c>
      <c r="C37" s="24">
        <v>-36.130000000000003</v>
      </c>
    </row>
    <row r="38" spans="1:3" hidden="1" x14ac:dyDescent="0.3">
      <c r="A38" s="26">
        <v>45903</v>
      </c>
      <c r="B38" s="27" t="s">
        <v>4</v>
      </c>
      <c r="C38" s="24">
        <v>-7.21</v>
      </c>
    </row>
    <row r="39" spans="1:3" hidden="1" x14ac:dyDescent="0.3">
      <c r="A39" s="26">
        <v>45903</v>
      </c>
      <c r="B39" s="27" t="s">
        <v>4</v>
      </c>
      <c r="C39" s="24">
        <v>-85.64</v>
      </c>
    </row>
    <row r="40" spans="1:3" hidden="1" x14ac:dyDescent="0.3">
      <c r="A40" s="26">
        <v>45904</v>
      </c>
      <c r="B40" s="27" t="s">
        <v>1</v>
      </c>
      <c r="C40" s="24">
        <v>62.4</v>
      </c>
    </row>
    <row r="41" spans="1:3" hidden="1" x14ac:dyDescent="0.3">
      <c r="A41" s="26">
        <v>45904</v>
      </c>
      <c r="B41" s="32" t="s">
        <v>21</v>
      </c>
      <c r="C41" s="24">
        <v>15.85</v>
      </c>
    </row>
    <row r="42" spans="1:3" hidden="1" x14ac:dyDescent="0.3">
      <c r="A42" s="26">
        <v>45910</v>
      </c>
      <c r="B42" s="27" t="s">
        <v>4</v>
      </c>
      <c r="C42" s="24">
        <v>-77.58</v>
      </c>
    </row>
    <row r="43" spans="1:3" x14ac:dyDescent="0.3">
      <c r="A43" s="26">
        <v>45911</v>
      </c>
      <c r="B43" s="27" t="s">
        <v>1</v>
      </c>
      <c r="C43" s="24">
        <v>62.4</v>
      </c>
    </row>
    <row r="44" spans="1:3" x14ac:dyDescent="0.3">
      <c r="A44" s="26">
        <v>45911</v>
      </c>
      <c r="B44" s="32" t="s">
        <v>21</v>
      </c>
      <c r="C44" s="24">
        <v>9.84</v>
      </c>
    </row>
    <row r="45" spans="1:3" x14ac:dyDescent="0.3">
      <c r="A45" s="26">
        <v>45932</v>
      </c>
      <c r="B45" s="27" t="s">
        <v>4</v>
      </c>
      <c r="C45" s="24">
        <v>-73.569999999999993</v>
      </c>
    </row>
    <row r="46" spans="1:3" x14ac:dyDescent="0.3">
      <c r="A46" s="26">
        <v>45932</v>
      </c>
      <c r="B46" s="27" t="s">
        <v>1</v>
      </c>
      <c r="C46" s="24">
        <v>62.4</v>
      </c>
    </row>
    <row r="47" spans="1:3" x14ac:dyDescent="0.3">
      <c r="A47" s="26">
        <v>45932</v>
      </c>
      <c r="B47" s="32" t="s">
        <v>21</v>
      </c>
      <c r="C47" s="24">
        <v>25.69</v>
      </c>
    </row>
    <row r="48" spans="1:3" x14ac:dyDescent="0.3">
      <c r="A48" s="26">
        <v>45932</v>
      </c>
      <c r="B48" s="34" t="s">
        <v>21</v>
      </c>
      <c r="C48" s="24">
        <v>24.22</v>
      </c>
    </row>
    <row r="49" spans="1:3" x14ac:dyDescent="0.3">
      <c r="A49" s="26">
        <v>45938</v>
      </c>
      <c r="B49" s="27" t="s">
        <v>4</v>
      </c>
      <c r="C49" s="24">
        <v>-53.94</v>
      </c>
    </row>
    <row r="50" spans="1:3" x14ac:dyDescent="0.3">
      <c r="A50" s="26">
        <v>45938</v>
      </c>
      <c r="B50" s="27" t="s">
        <v>4</v>
      </c>
      <c r="C50" s="24">
        <v>-42.71</v>
      </c>
    </row>
    <row r="51" spans="1:3" x14ac:dyDescent="0.3">
      <c r="A51" s="26">
        <v>45939</v>
      </c>
      <c r="B51" s="27" t="s">
        <v>4</v>
      </c>
      <c r="C51" s="24">
        <v>-15.67</v>
      </c>
    </row>
    <row r="52" spans="1:3" x14ac:dyDescent="0.3">
      <c r="A52" s="26">
        <v>45939</v>
      </c>
      <c r="B52" s="27" t="s">
        <v>1</v>
      </c>
      <c r="C52" s="24">
        <v>69</v>
      </c>
    </row>
    <row r="53" spans="1:3" x14ac:dyDescent="0.3">
      <c r="A53" s="26">
        <v>45939</v>
      </c>
      <c r="B53" s="34" t="s">
        <v>21</v>
      </c>
      <c r="C53" s="24">
        <v>13.01</v>
      </c>
    </row>
    <row r="54" spans="1:3" x14ac:dyDescent="0.3">
      <c r="A54" s="26">
        <v>45953</v>
      </c>
      <c r="B54" s="27" t="s">
        <v>4</v>
      </c>
      <c r="C54" s="24">
        <v>-61.35</v>
      </c>
    </row>
    <row r="55" spans="1:3" x14ac:dyDescent="0.3">
      <c r="A55" s="26">
        <v>45953</v>
      </c>
      <c r="B55" s="27" t="s">
        <v>4</v>
      </c>
      <c r="C55" s="24">
        <v>-9.51</v>
      </c>
    </row>
    <row r="56" spans="1:3" x14ac:dyDescent="0.3">
      <c r="A56" s="26">
        <v>45953</v>
      </c>
      <c r="B56" s="27" t="s">
        <v>4</v>
      </c>
      <c r="C56" s="24">
        <v>-8</v>
      </c>
    </row>
    <row r="57" spans="1:3" x14ac:dyDescent="0.3">
      <c r="A57" s="26">
        <v>45953</v>
      </c>
      <c r="B57" s="27" t="s">
        <v>1</v>
      </c>
      <c r="C57" s="24">
        <v>46</v>
      </c>
    </row>
    <row r="58" spans="1:3" x14ac:dyDescent="0.3">
      <c r="A58" s="26">
        <v>45953</v>
      </c>
      <c r="B58" s="32" t="s">
        <v>21</v>
      </c>
      <c r="C58" s="24">
        <v>16.38</v>
      </c>
    </row>
    <row r="59" spans="1:3" x14ac:dyDescent="0.3">
      <c r="A59" s="26">
        <v>45954</v>
      </c>
      <c r="B59" s="27" t="s">
        <v>4</v>
      </c>
      <c r="C59" s="24">
        <v>-3.16</v>
      </c>
    </row>
    <row r="60" spans="1:3" x14ac:dyDescent="0.3">
      <c r="A60" s="26">
        <v>45960</v>
      </c>
      <c r="B60" s="27" t="s">
        <v>1</v>
      </c>
      <c r="C60" s="24">
        <v>69</v>
      </c>
    </row>
    <row r="61" spans="1:3" x14ac:dyDescent="0.3">
      <c r="A61" s="26">
        <v>45960</v>
      </c>
      <c r="B61" s="34" t="s">
        <v>21</v>
      </c>
      <c r="C61" s="24">
        <v>24.85</v>
      </c>
    </row>
    <row r="62" spans="1:3" x14ac:dyDescent="0.3">
      <c r="A62" s="26">
        <v>45967</v>
      </c>
      <c r="B62" s="27" t="s">
        <v>4</v>
      </c>
      <c r="C62" s="24">
        <v>-12.38</v>
      </c>
    </row>
    <row r="63" spans="1:3" x14ac:dyDescent="0.3">
      <c r="A63" s="26">
        <v>45967</v>
      </c>
      <c r="B63" s="27" t="s">
        <v>4</v>
      </c>
      <c r="C63" s="24">
        <v>-16.829999999999998</v>
      </c>
    </row>
    <row r="64" spans="1:3" x14ac:dyDescent="0.3">
      <c r="A64" s="26">
        <v>45967</v>
      </c>
      <c r="B64" s="27" t="s">
        <v>4</v>
      </c>
      <c r="C64" s="24">
        <v>-12.38</v>
      </c>
    </row>
    <row r="65" spans="1:3" x14ac:dyDescent="0.3">
      <c r="A65" s="26">
        <v>45967</v>
      </c>
      <c r="B65" s="27" t="s">
        <v>4</v>
      </c>
      <c r="C65" s="24">
        <v>-16.260000000000002</v>
      </c>
    </row>
    <row r="66" spans="1:3" x14ac:dyDescent="0.3">
      <c r="A66" s="26">
        <v>45967</v>
      </c>
      <c r="B66" s="27" t="s">
        <v>1</v>
      </c>
      <c r="C66" s="24">
        <v>46</v>
      </c>
    </row>
    <row r="67" spans="1:3" x14ac:dyDescent="0.3">
      <c r="A67" s="26">
        <v>45967</v>
      </c>
      <c r="B67" s="32" t="s">
        <v>21</v>
      </c>
      <c r="C67" s="24">
        <v>26.22</v>
      </c>
    </row>
    <row r="68" spans="1:3" x14ac:dyDescent="0.3">
      <c r="A68" s="26">
        <v>45971</v>
      </c>
      <c r="B68" s="27" t="s">
        <v>4</v>
      </c>
      <c r="C68" s="24">
        <v>-4.5599999999999996</v>
      </c>
    </row>
    <row r="69" spans="1:3" x14ac:dyDescent="0.3">
      <c r="A69" s="26">
        <v>45973</v>
      </c>
      <c r="B69" s="27" t="s">
        <v>4</v>
      </c>
      <c r="C69" s="24">
        <v>-20.170000000000002</v>
      </c>
    </row>
    <row r="70" spans="1:3" x14ac:dyDescent="0.3">
      <c r="A70" s="26">
        <v>45973</v>
      </c>
      <c r="B70" s="27" t="s">
        <v>4</v>
      </c>
      <c r="C70" s="24">
        <v>-5.19</v>
      </c>
    </row>
    <row r="71" spans="1:3" x14ac:dyDescent="0.3">
      <c r="A71" s="26">
        <v>45980</v>
      </c>
      <c r="B71" s="27" t="s">
        <v>4</v>
      </c>
      <c r="C71" s="24">
        <v>-53.84</v>
      </c>
    </row>
    <row r="72" spans="1:3" x14ac:dyDescent="0.3">
      <c r="A72" s="26">
        <v>45981</v>
      </c>
      <c r="B72" s="27" t="s">
        <v>4</v>
      </c>
      <c r="C72" s="24">
        <v>-14.67</v>
      </c>
    </row>
    <row r="73" spans="1:3" x14ac:dyDescent="0.3">
      <c r="A73" s="26">
        <v>45981</v>
      </c>
      <c r="B73" s="27" t="s">
        <v>4</v>
      </c>
      <c r="C73" s="24">
        <v>-12.48</v>
      </c>
    </row>
    <row r="74" spans="1:3" x14ac:dyDescent="0.3">
      <c r="A74" s="26">
        <v>45981</v>
      </c>
      <c r="B74" s="27" t="s">
        <v>1</v>
      </c>
      <c r="C74" s="24">
        <v>88.84</v>
      </c>
    </row>
    <row r="75" spans="1:3" x14ac:dyDescent="0.3">
      <c r="A75" s="26">
        <v>45988</v>
      </c>
      <c r="B75" s="27" t="s">
        <v>4</v>
      </c>
      <c r="C75" s="24">
        <v>-60.76</v>
      </c>
    </row>
    <row r="76" spans="1:3" x14ac:dyDescent="0.3">
      <c r="A76" s="26">
        <v>45988</v>
      </c>
      <c r="B76" s="27" t="s">
        <v>4</v>
      </c>
      <c r="C76" s="24">
        <v>-15.94</v>
      </c>
    </row>
    <row r="77" spans="1:3" x14ac:dyDescent="0.3">
      <c r="A77" s="26">
        <v>45995</v>
      </c>
      <c r="B77" s="27" t="s">
        <v>4</v>
      </c>
      <c r="C77" s="24">
        <v>-39.700000000000003</v>
      </c>
    </row>
    <row r="78" spans="1:3" x14ac:dyDescent="0.3">
      <c r="A78" s="26">
        <v>45995</v>
      </c>
      <c r="B78" s="27" t="s">
        <v>1</v>
      </c>
      <c r="C78" s="24">
        <v>49.22</v>
      </c>
    </row>
    <row r="79" spans="1:3" x14ac:dyDescent="0.3">
      <c r="A79" s="26">
        <v>46003</v>
      </c>
      <c r="B79" s="27" t="s">
        <v>4</v>
      </c>
      <c r="C79" s="24">
        <v>-25.94</v>
      </c>
    </row>
    <row r="80" spans="1:3" x14ac:dyDescent="0.3">
      <c r="A80" s="26">
        <v>46003</v>
      </c>
      <c r="B80" s="27" t="s">
        <v>4</v>
      </c>
      <c r="C80" s="24">
        <v>-6.24</v>
      </c>
    </row>
    <row r="81" spans="1:3" x14ac:dyDescent="0.3">
      <c r="A81" s="26">
        <v>46015</v>
      </c>
      <c r="B81" s="27" t="s">
        <v>4</v>
      </c>
      <c r="C81" s="24">
        <v>-10.62</v>
      </c>
    </row>
    <row r="82" spans="1:3" x14ac:dyDescent="0.3">
      <c r="A82" s="26">
        <v>46015</v>
      </c>
      <c r="B82" s="27" t="s">
        <v>4</v>
      </c>
      <c r="C82" s="24">
        <v>-9.61</v>
      </c>
    </row>
    <row r="83" spans="1:3" x14ac:dyDescent="0.3">
      <c r="A83" s="26">
        <v>46015</v>
      </c>
      <c r="B83" s="27" t="s">
        <v>1</v>
      </c>
      <c r="C83" s="24">
        <v>197.74</v>
      </c>
    </row>
    <row r="84" spans="1:3" x14ac:dyDescent="0.3">
      <c r="A84" s="26">
        <v>46017</v>
      </c>
      <c r="B84" s="27" t="s">
        <v>4</v>
      </c>
      <c r="C84" s="24">
        <v>-28.07</v>
      </c>
    </row>
    <row r="85" spans="1:3" x14ac:dyDescent="0.3">
      <c r="A85" s="26">
        <v>46037</v>
      </c>
      <c r="B85" s="27" t="s">
        <v>4</v>
      </c>
      <c r="C85" s="24">
        <v>-38.94</v>
      </c>
    </row>
    <row r="86" spans="1:3" x14ac:dyDescent="0.3">
      <c r="A86" s="26">
        <v>46037</v>
      </c>
      <c r="B86" s="27" t="s">
        <v>4</v>
      </c>
      <c r="C86" s="24">
        <v>-12.46</v>
      </c>
    </row>
    <row r="87" spans="1:3" x14ac:dyDescent="0.3">
      <c r="A87" s="26">
        <v>46037</v>
      </c>
      <c r="B87" s="27" t="s">
        <v>4</v>
      </c>
      <c r="C87" s="24">
        <v>-19.170000000000002</v>
      </c>
    </row>
    <row r="88" spans="1:3" x14ac:dyDescent="0.3">
      <c r="A88" s="26">
        <v>46037</v>
      </c>
      <c r="B88" s="27" t="s">
        <v>1</v>
      </c>
      <c r="C88" s="24">
        <v>159.62</v>
      </c>
    </row>
    <row r="89" spans="1:3" x14ac:dyDescent="0.3">
      <c r="A89" s="26">
        <v>46044</v>
      </c>
      <c r="B89" s="27" t="s">
        <v>4</v>
      </c>
      <c r="C89" s="24">
        <v>-10.89</v>
      </c>
    </row>
    <row r="90" spans="1:3" x14ac:dyDescent="0.3">
      <c r="A90" s="26">
        <v>46044</v>
      </c>
      <c r="B90" s="27" t="s">
        <v>4</v>
      </c>
      <c r="C90" s="24">
        <v>-42.87</v>
      </c>
    </row>
    <row r="91" spans="1:3" x14ac:dyDescent="0.3">
      <c r="A91" s="26">
        <v>46044</v>
      </c>
      <c r="B91" s="27" t="s">
        <v>4</v>
      </c>
      <c r="C91" s="24">
        <v>-20</v>
      </c>
    </row>
    <row r="92" spans="1:3" x14ac:dyDescent="0.3">
      <c r="A92" s="26">
        <v>46050</v>
      </c>
      <c r="B92" s="27" t="s">
        <v>4</v>
      </c>
      <c r="C92" s="24">
        <v>-73.150000000000006</v>
      </c>
    </row>
    <row r="93" spans="1:3" x14ac:dyDescent="0.3">
      <c r="A93" s="26">
        <v>46050</v>
      </c>
      <c r="B93" s="27" t="s">
        <v>4</v>
      </c>
      <c r="C93" s="24">
        <v>-82.99</v>
      </c>
    </row>
    <row r="94" spans="1:3" x14ac:dyDescent="0.3">
      <c r="A94" s="26">
        <v>46051</v>
      </c>
      <c r="B94" s="27" t="s">
        <v>4</v>
      </c>
      <c r="C94" s="24">
        <v>155.12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2EAEA-2B50-4BDF-A660-1522ACD50C55}">
  <sheetPr codeName="Hoja19"/>
  <dimension ref="A1:H111"/>
  <sheetViews>
    <sheetView view="pageBreakPreview" topLeftCell="A73" zoomScale="85" zoomScaleNormal="100" zoomScaleSheetLayoutView="85" workbookViewId="0">
      <selection activeCell="C112" sqref="C11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46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148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3.5527136788005009E-14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45813</v>
      </c>
      <c r="B5" s="32" t="s">
        <v>21</v>
      </c>
      <c r="C5" s="24">
        <v>7.8</v>
      </c>
      <c r="D5" s="30"/>
      <c r="E5" s="30"/>
      <c r="F5" s="30"/>
      <c r="G5" s="22"/>
    </row>
    <row r="6" spans="1:8" hidden="1" x14ac:dyDescent="0.3">
      <c r="A6" s="21">
        <v>45813</v>
      </c>
      <c r="B6" s="34" t="s">
        <v>21</v>
      </c>
      <c r="C6" s="24">
        <v>154.51</v>
      </c>
    </row>
    <row r="7" spans="1:8" hidden="1" x14ac:dyDescent="0.3">
      <c r="A7" s="26">
        <v>45818</v>
      </c>
      <c r="B7" s="32" t="s">
        <v>21</v>
      </c>
      <c r="C7" s="24">
        <v>17.54</v>
      </c>
    </row>
    <row r="8" spans="1:8" hidden="1" x14ac:dyDescent="0.3">
      <c r="A8" s="26">
        <v>45818</v>
      </c>
      <c r="B8" s="34" t="s">
        <v>21</v>
      </c>
      <c r="C8" s="24">
        <v>106.99</v>
      </c>
    </row>
    <row r="9" spans="1:8" hidden="1" x14ac:dyDescent="0.3">
      <c r="A9" s="26">
        <v>45818</v>
      </c>
      <c r="B9" s="45" t="s">
        <v>1</v>
      </c>
      <c r="C9" s="24">
        <v>13.76</v>
      </c>
    </row>
    <row r="10" spans="1:8" hidden="1" x14ac:dyDescent="0.3">
      <c r="A10" s="26">
        <v>45820</v>
      </c>
      <c r="B10" s="31" t="s">
        <v>4</v>
      </c>
      <c r="C10" s="24">
        <v>-162.32</v>
      </c>
    </row>
    <row r="11" spans="1:8" hidden="1" x14ac:dyDescent="0.3">
      <c r="A11" s="26">
        <v>45825</v>
      </c>
      <c r="B11" s="27" t="s">
        <v>4</v>
      </c>
      <c r="C11" s="24">
        <v>-139.36000000000001</v>
      </c>
    </row>
    <row r="12" spans="1:8" hidden="1" x14ac:dyDescent="0.3">
      <c r="A12" s="26">
        <v>45825</v>
      </c>
      <c r="B12" s="32" t="s">
        <v>21</v>
      </c>
      <c r="C12" s="24">
        <v>28.69</v>
      </c>
    </row>
    <row r="13" spans="1:8" hidden="1" x14ac:dyDescent="0.3">
      <c r="A13" s="26">
        <v>45825</v>
      </c>
      <c r="B13" s="34" t="s">
        <v>21</v>
      </c>
      <c r="C13" s="24">
        <v>57.48</v>
      </c>
    </row>
    <row r="14" spans="1:8" hidden="1" x14ac:dyDescent="0.3">
      <c r="A14" s="26">
        <v>45825</v>
      </c>
      <c r="B14" s="45" t="s">
        <v>1</v>
      </c>
      <c r="C14" s="24">
        <v>2.74</v>
      </c>
    </row>
    <row r="15" spans="1:8" hidden="1" x14ac:dyDescent="0.3">
      <c r="A15" s="26">
        <v>45832</v>
      </c>
      <c r="B15" s="27" t="s">
        <v>4</v>
      </c>
      <c r="C15" s="24">
        <v>-88.89</v>
      </c>
    </row>
    <row r="16" spans="1:8" hidden="1" x14ac:dyDescent="0.3">
      <c r="A16" s="26">
        <v>45832</v>
      </c>
      <c r="B16" s="32" t="s">
        <v>21</v>
      </c>
      <c r="C16" s="24">
        <v>23.65</v>
      </c>
    </row>
    <row r="17" spans="1:3" hidden="1" x14ac:dyDescent="0.3">
      <c r="A17" s="26">
        <v>45832</v>
      </c>
      <c r="B17" s="34" t="s">
        <v>21</v>
      </c>
      <c r="C17" s="24">
        <v>64.56</v>
      </c>
    </row>
    <row r="18" spans="1:3" hidden="1" x14ac:dyDescent="0.3">
      <c r="A18" s="26">
        <v>45832</v>
      </c>
      <c r="B18" s="45" t="s">
        <v>1</v>
      </c>
      <c r="C18" s="24">
        <v>16.41</v>
      </c>
    </row>
    <row r="19" spans="1:3" hidden="1" x14ac:dyDescent="0.3">
      <c r="A19" s="26">
        <v>45838</v>
      </c>
      <c r="B19" s="27" t="s">
        <v>4</v>
      </c>
      <c r="C19" s="24">
        <v>-85</v>
      </c>
    </row>
    <row r="20" spans="1:3" hidden="1" x14ac:dyDescent="0.3">
      <c r="A20" s="26">
        <v>45839</v>
      </c>
      <c r="B20" s="27" t="s">
        <v>4</v>
      </c>
      <c r="C20" s="24">
        <v>-14.62</v>
      </c>
    </row>
    <row r="21" spans="1:3" hidden="1" x14ac:dyDescent="0.3">
      <c r="A21" s="26">
        <v>45839</v>
      </c>
      <c r="B21" s="34" t="s">
        <v>21</v>
      </c>
      <c r="C21" s="24">
        <v>106.74</v>
      </c>
    </row>
    <row r="22" spans="1:3" hidden="1" x14ac:dyDescent="0.3">
      <c r="A22" s="26">
        <v>45841</v>
      </c>
      <c r="B22" s="27" t="s">
        <v>4</v>
      </c>
      <c r="C22" s="24">
        <v>-4.1500000000000004</v>
      </c>
    </row>
    <row r="23" spans="1:3" hidden="1" x14ac:dyDescent="0.3">
      <c r="A23" s="26">
        <v>45846</v>
      </c>
      <c r="B23" s="27" t="s">
        <v>4</v>
      </c>
      <c r="C23" s="24">
        <v>-53.51</v>
      </c>
    </row>
    <row r="24" spans="1:3" hidden="1" x14ac:dyDescent="0.3">
      <c r="A24" s="26">
        <v>45846</v>
      </c>
      <c r="B24" s="34" t="s">
        <v>21</v>
      </c>
      <c r="C24" s="24">
        <v>31.44</v>
      </c>
    </row>
    <row r="25" spans="1:3" hidden="1" x14ac:dyDescent="0.3">
      <c r="A25" s="26">
        <v>45847</v>
      </c>
      <c r="B25" s="27" t="s">
        <v>4</v>
      </c>
      <c r="C25" s="24">
        <v>-52.7</v>
      </c>
    </row>
    <row r="26" spans="1:3" hidden="1" x14ac:dyDescent="0.3">
      <c r="A26" s="26">
        <v>45853</v>
      </c>
      <c r="B26" s="27" t="s">
        <v>4</v>
      </c>
      <c r="C26" s="24">
        <v>-31.45</v>
      </c>
    </row>
    <row r="27" spans="1:3" hidden="1" x14ac:dyDescent="0.3">
      <c r="A27" s="26">
        <v>45853</v>
      </c>
      <c r="B27" s="32" t="s">
        <v>21</v>
      </c>
      <c r="C27" s="24">
        <v>15.85</v>
      </c>
    </row>
    <row r="28" spans="1:3" hidden="1" x14ac:dyDescent="0.3">
      <c r="A28" s="26">
        <v>45853</v>
      </c>
      <c r="B28" s="34" t="s">
        <v>21</v>
      </c>
      <c r="C28" s="24">
        <v>30</v>
      </c>
    </row>
    <row r="29" spans="1:3" hidden="1" x14ac:dyDescent="0.3">
      <c r="A29" s="26">
        <v>45856</v>
      </c>
      <c r="B29" s="27" t="s">
        <v>4</v>
      </c>
      <c r="C29" s="24">
        <v>-45.85</v>
      </c>
    </row>
    <row r="30" spans="1:3" hidden="1" x14ac:dyDescent="0.3">
      <c r="A30" s="26">
        <v>45860</v>
      </c>
      <c r="B30" s="32" t="s">
        <v>21</v>
      </c>
      <c r="C30" s="24">
        <v>20.46</v>
      </c>
    </row>
    <row r="31" spans="1:3" hidden="1" x14ac:dyDescent="0.3">
      <c r="A31" s="26">
        <v>45860</v>
      </c>
      <c r="B31" s="34" t="s">
        <v>21</v>
      </c>
      <c r="C31" s="24">
        <v>137.72</v>
      </c>
    </row>
    <row r="32" spans="1:3" hidden="1" x14ac:dyDescent="0.3">
      <c r="A32" s="26">
        <v>45860</v>
      </c>
      <c r="B32" s="45" t="s">
        <v>1</v>
      </c>
      <c r="C32" s="24">
        <v>9.6300000000000008</v>
      </c>
    </row>
    <row r="33" spans="1:3" hidden="1" x14ac:dyDescent="0.3">
      <c r="A33" s="26">
        <v>45863</v>
      </c>
      <c r="B33" s="27" t="s">
        <v>4</v>
      </c>
      <c r="C33" s="24">
        <v>-123.61</v>
      </c>
    </row>
    <row r="34" spans="1:3" hidden="1" x14ac:dyDescent="0.3">
      <c r="A34" s="26">
        <v>45863</v>
      </c>
      <c r="B34" s="27" t="s">
        <v>4</v>
      </c>
      <c r="C34" s="24">
        <v>-43.36</v>
      </c>
    </row>
    <row r="35" spans="1:3" hidden="1" x14ac:dyDescent="0.3">
      <c r="A35" s="26">
        <v>45867</v>
      </c>
      <c r="B35" s="27" t="s">
        <v>4</v>
      </c>
      <c r="C35" s="24">
        <v>-100.01</v>
      </c>
    </row>
    <row r="36" spans="1:3" hidden="1" x14ac:dyDescent="0.3">
      <c r="A36" s="26">
        <v>45867</v>
      </c>
      <c r="B36" s="27" t="s">
        <v>1</v>
      </c>
      <c r="C36" s="24">
        <v>23.8</v>
      </c>
    </row>
    <row r="37" spans="1:3" hidden="1" x14ac:dyDescent="0.3">
      <c r="A37" s="26">
        <v>45867</v>
      </c>
      <c r="B37" s="32" t="s">
        <v>21</v>
      </c>
      <c r="C37" s="24">
        <v>9.84</v>
      </c>
    </row>
    <row r="38" spans="1:3" hidden="1" x14ac:dyDescent="0.3">
      <c r="A38" s="26">
        <v>45867</v>
      </c>
      <c r="B38" s="34" t="s">
        <v>21</v>
      </c>
      <c r="C38" s="24">
        <v>132.34</v>
      </c>
    </row>
    <row r="39" spans="1:3" hidden="1" x14ac:dyDescent="0.3">
      <c r="A39" s="26">
        <v>45867</v>
      </c>
      <c r="B39" s="45" t="s">
        <v>1</v>
      </c>
      <c r="C39" s="24">
        <v>9.6300000000000008</v>
      </c>
    </row>
    <row r="40" spans="1:3" hidden="1" x14ac:dyDescent="0.3">
      <c r="A40" s="26">
        <v>45873</v>
      </c>
      <c r="B40" s="27" t="s">
        <v>4</v>
      </c>
      <c r="C40" s="24">
        <v>-75.62</v>
      </c>
    </row>
    <row r="41" spans="1:3" hidden="1" x14ac:dyDescent="0.3">
      <c r="A41" s="26">
        <v>45882</v>
      </c>
      <c r="B41" s="32" t="s">
        <v>21</v>
      </c>
      <c r="C41" s="24">
        <v>32.770000000000003</v>
      </c>
    </row>
    <row r="42" spans="1:3" hidden="1" x14ac:dyDescent="0.3">
      <c r="A42" s="26">
        <v>45882</v>
      </c>
      <c r="B42" s="34" t="s">
        <v>21</v>
      </c>
      <c r="C42" s="24">
        <v>84.6</v>
      </c>
    </row>
    <row r="43" spans="1:3" hidden="1" x14ac:dyDescent="0.3">
      <c r="A43" s="26">
        <v>45882</v>
      </c>
      <c r="B43" s="45" t="s">
        <v>1</v>
      </c>
      <c r="C43" s="24">
        <v>3.86</v>
      </c>
    </row>
    <row r="44" spans="1:3" hidden="1" x14ac:dyDescent="0.3">
      <c r="A44" s="26">
        <v>45888</v>
      </c>
      <c r="B44" s="27" t="s">
        <v>4</v>
      </c>
      <c r="C44" s="24">
        <v>-122.45</v>
      </c>
    </row>
    <row r="45" spans="1:3" hidden="1" x14ac:dyDescent="0.3">
      <c r="A45" s="26">
        <v>45889</v>
      </c>
      <c r="B45" s="34" t="s">
        <v>21</v>
      </c>
      <c r="C45" s="24">
        <v>108.3</v>
      </c>
    </row>
    <row r="46" spans="1:3" hidden="1" x14ac:dyDescent="0.3">
      <c r="A46" s="26">
        <v>45889</v>
      </c>
      <c r="B46" s="45" t="s">
        <v>1</v>
      </c>
      <c r="C46" s="24">
        <v>19.260000000000002</v>
      </c>
    </row>
    <row r="47" spans="1:3" hidden="1" x14ac:dyDescent="0.3">
      <c r="A47" s="26">
        <v>45890</v>
      </c>
      <c r="B47" s="27" t="s">
        <v>4</v>
      </c>
      <c r="C47" s="24">
        <v>-127.47</v>
      </c>
    </row>
    <row r="48" spans="1:3" hidden="1" x14ac:dyDescent="0.3">
      <c r="A48" s="26">
        <v>45891</v>
      </c>
      <c r="B48" s="45" t="s">
        <v>1</v>
      </c>
      <c r="C48" s="24">
        <v>28.46</v>
      </c>
    </row>
    <row r="49" spans="1:3" hidden="1" x14ac:dyDescent="0.3">
      <c r="A49" s="26">
        <v>45895</v>
      </c>
      <c r="B49" s="27" t="s">
        <v>4</v>
      </c>
      <c r="C49" s="24">
        <v>-104.42</v>
      </c>
    </row>
    <row r="50" spans="1:3" hidden="1" x14ac:dyDescent="0.3">
      <c r="A50" s="26">
        <v>45895</v>
      </c>
      <c r="B50" s="34" t="s">
        <v>21</v>
      </c>
      <c r="C50" s="24">
        <v>75.959999999999994</v>
      </c>
    </row>
    <row r="51" spans="1:3" hidden="1" x14ac:dyDescent="0.3">
      <c r="A51" s="26">
        <v>45902</v>
      </c>
      <c r="B51" s="32" t="s">
        <v>21</v>
      </c>
      <c r="C51" s="24">
        <v>9.84</v>
      </c>
    </row>
    <row r="52" spans="1:3" hidden="1" x14ac:dyDescent="0.3">
      <c r="A52" s="26">
        <v>45902</v>
      </c>
      <c r="B52" s="34" t="s">
        <v>21</v>
      </c>
      <c r="C52" s="24">
        <v>27.96</v>
      </c>
    </row>
    <row r="53" spans="1:3" hidden="1" x14ac:dyDescent="0.3">
      <c r="A53" s="26">
        <v>45902</v>
      </c>
      <c r="B53" s="45" t="s">
        <v>1</v>
      </c>
      <c r="C53" s="24">
        <v>36</v>
      </c>
    </row>
    <row r="54" spans="1:3" hidden="1" x14ac:dyDescent="0.3">
      <c r="A54" s="26">
        <v>45909</v>
      </c>
      <c r="B54" s="27" t="s">
        <v>4</v>
      </c>
      <c r="C54" s="24">
        <v>-73.8</v>
      </c>
    </row>
    <row r="55" spans="1:3" hidden="1" x14ac:dyDescent="0.3">
      <c r="A55" s="26">
        <v>45909</v>
      </c>
      <c r="B55" s="34" t="s">
        <v>21</v>
      </c>
      <c r="C55" s="24">
        <v>5.46</v>
      </c>
    </row>
    <row r="56" spans="1:3" hidden="1" x14ac:dyDescent="0.3">
      <c r="A56" s="26">
        <v>45911</v>
      </c>
      <c r="B56" s="27" t="s">
        <v>4</v>
      </c>
      <c r="C56" s="24">
        <v>-274.8</v>
      </c>
    </row>
    <row r="57" spans="1:3" hidden="1" x14ac:dyDescent="0.3">
      <c r="A57" s="26">
        <v>45911</v>
      </c>
      <c r="B57" s="34" t="s">
        <v>21</v>
      </c>
      <c r="C57" s="24">
        <v>274.8</v>
      </c>
    </row>
    <row r="58" spans="1:3" hidden="1" x14ac:dyDescent="0.3">
      <c r="A58" s="26">
        <v>45915</v>
      </c>
      <c r="B58" s="27" t="s">
        <v>4</v>
      </c>
      <c r="C58" s="24">
        <v>-5.47</v>
      </c>
    </row>
    <row r="59" spans="1:3" hidden="1" x14ac:dyDescent="0.3">
      <c r="A59" s="26">
        <v>45923</v>
      </c>
      <c r="B59" s="27" t="s">
        <v>1</v>
      </c>
      <c r="C59" s="24">
        <v>23.8</v>
      </c>
    </row>
    <row r="60" spans="1:3" hidden="1" x14ac:dyDescent="0.3">
      <c r="A60" s="26">
        <v>45923</v>
      </c>
      <c r="B60" s="32" t="s">
        <v>21</v>
      </c>
      <c r="C60" s="24">
        <v>25.69</v>
      </c>
    </row>
    <row r="61" spans="1:3" hidden="1" x14ac:dyDescent="0.3">
      <c r="A61" s="26">
        <v>45923</v>
      </c>
      <c r="B61" s="34" t="s">
        <v>21</v>
      </c>
      <c r="C61" s="24">
        <v>85.7</v>
      </c>
    </row>
    <row r="62" spans="1:3" hidden="1" x14ac:dyDescent="0.3">
      <c r="A62" s="26">
        <v>45923</v>
      </c>
      <c r="B62" s="45" t="s">
        <v>1</v>
      </c>
      <c r="C62" s="24">
        <v>13.84</v>
      </c>
    </row>
    <row r="63" spans="1:3" hidden="1" x14ac:dyDescent="0.3">
      <c r="A63" s="26">
        <v>45929</v>
      </c>
      <c r="B63" s="27" t="s">
        <v>4</v>
      </c>
      <c r="C63" s="24">
        <v>-35.159999999999997</v>
      </c>
    </row>
    <row r="64" spans="1:3" hidden="1" x14ac:dyDescent="0.3">
      <c r="A64" s="26">
        <v>45937</v>
      </c>
      <c r="B64" s="27" t="s">
        <v>4</v>
      </c>
      <c r="C64" s="24">
        <v>-113.86</v>
      </c>
    </row>
    <row r="65" spans="1:3" hidden="1" x14ac:dyDescent="0.3">
      <c r="A65" s="26">
        <v>45937</v>
      </c>
      <c r="B65" s="34" t="s">
        <v>21</v>
      </c>
      <c r="C65" s="24">
        <v>52.68</v>
      </c>
    </row>
    <row r="66" spans="1:3" hidden="1" x14ac:dyDescent="0.3">
      <c r="A66" s="26">
        <v>45937</v>
      </c>
      <c r="B66" s="45" t="s">
        <v>1</v>
      </c>
      <c r="C66" s="24">
        <v>27.68</v>
      </c>
    </row>
    <row r="67" spans="1:3" hidden="1" x14ac:dyDescent="0.3">
      <c r="A67" s="26">
        <v>45950</v>
      </c>
      <c r="B67" s="27" t="s">
        <v>4</v>
      </c>
      <c r="C67" s="24">
        <v>-80.36</v>
      </c>
    </row>
    <row r="68" spans="1:3" x14ac:dyDescent="0.3">
      <c r="A68" s="26">
        <v>45951</v>
      </c>
      <c r="B68" s="27" t="s">
        <v>1</v>
      </c>
      <c r="C68" s="24">
        <v>26.7</v>
      </c>
    </row>
    <row r="69" spans="1:3" x14ac:dyDescent="0.3">
      <c r="A69" s="26">
        <v>45951</v>
      </c>
      <c r="B69" s="32" t="s">
        <v>21</v>
      </c>
      <c r="C69" s="24">
        <v>16.38</v>
      </c>
    </row>
    <row r="70" spans="1:3" x14ac:dyDescent="0.3">
      <c r="A70" s="26">
        <v>45951</v>
      </c>
      <c r="B70" s="34" t="s">
        <v>21</v>
      </c>
      <c r="C70" s="24">
        <v>80.88</v>
      </c>
    </row>
    <row r="71" spans="1:3" x14ac:dyDescent="0.3">
      <c r="A71" s="26">
        <v>45953</v>
      </c>
      <c r="B71" s="34" t="s">
        <v>21</v>
      </c>
      <c r="C71" s="24">
        <v>233.88</v>
      </c>
    </row>
    <row r="72" spans="1:3" x14ac:dyDescent="0.3">
      <c r="A72" s="26">
        <v>45954</v>
      </c>
      <c r="B72" s="27" t="s">
        <v>4</v>
      </c>
      <c r="C72" s="24">
        <v>-93.28</v>
      </c>
    </row>
    <row r="73" spans="1:3" x14ac:dyDescent="0.3">
      <c r="A73" s="26">
        <v>45954</v>
      </c>
      <c r="B73" s="27" t="s">
        <v>4</v>
      </c>
      <c r="C73" s="24">
        <v>-23.32</v>
      </c>
    </row>
    <row r="74" spans="1:3" x14ac:dyDescent="0.3">
      <c r="A74" s="26">
        <v>45958</v>
      </c>
      <c r="B74" s="27" t="s">
        <v>4</v>
      </c>
      <c r="C74" s="24">
        <v>-233.88</v>
      </c>
    </row>
    <row r="75" spans="1:3" x14ac:dyDescent="0.3">
      <c r="A75" s="26">
        <v>45959</v>
      </c>
      <c r="B75" s="27" t="s">
        <v>4</v>
      </c>
      <c r="C75" s="24">
        <v>-90.96</v>
      </c>
    </row>
    <row r="76" spans="1:3" x14ac:dyDescent="0.3">
      <c r="A76" s="26">
        <v>45959</v>
      </c>
      <c r="B76" s="27" t="s">
        <v>4</v>
      </c>
      <c r="C76" s="24">
        <v>-27.42</v>
      </c>
    </row>
    <row r="77" spans="1:3" x14ac:dyDescent="0.3">
      <c r="A77" s="26">
        <v>45958</v>
      </c>
      <c r="B77" s="34" t="s">
        <v>21</v>
      </c>
      <c r="C77" s="24">
        <v>94.64</v>
      </c>
    </row>
    <row r="78" spans="1:3" x14ac:dyDescent="0.3">
      <c r="A78" s="26">
        <v>45958</v>
      </c>
      <c r="B78" s="45" t="s">
        <v>1</v>
      </c>
      <c r="C78" s="24">
        <v>17.3</v>
      </c>
    </row>
    <row r="79" spans="1:3" x14ac:dyDescent="0.3">
      <c r="A79" s="26">
        <v>45965</v>
      </c>
      <c r="B79" s="32" t="s">
        <v>21</v>
      </c>
      <c r="C79" s="24">
        <v>9.84</v>
      </c>
    </row>
    <row r="80" spans="1:3" x14ac:dyDescent="0.3">
      <c r="A80" s="26">
        <v>45965</v>
      </c>
      <c r="B80" s="34" t="s">
        <v>21</v>
      </c>
      <c r="C80" s="24">
        <v>345.9</v>
      </c>
    </row>
    <row r="81" spans="1:3" x14ac:dyDescent="0.3">
      <c r="A81" s="26">
        <v>45965</v>
      </c>
      <c r="B81" s="45" t="s">
        <v>1</v>
      </c>
      <c r="C81" s="24">
        <v>76.239999999999995</v>
      </c>
    </row>
    <row r="82" spans="1:3" x14ac:dyDescent="0.3">
      <c r="A82" s="26">
        <v>45972</v>
      </c>
      <c r="B82" s="27" t="s">
        <v>4</v>
      </c>
      <c r="C82" s="24">
        <v>-151.44999999999999</v>
      </c>
    </row>
    <row r="83" spans="1:3" x14ac:dyDescent="0.3">
      <c r="A83" s="26">
        <v>45972</v>
      </c>
      <c r="B83" s="27" t="s">
        <v>1</v>
      </c>
      <c r="C83" s="24">
        <v>48.96</v>
      </c>
    </row>
    <row r="84" spans="1:3" x14ac:dyDescent="0.3">
      <c r="A84" s="26">
        <v>45978</v>
      </c>
      <c r="B84" s="27" t="s">
        <v>4</v>
      </c>
      <c r="C84" s="24">
        <v>-84.58</v>
      </c>
    </row>
    <row r="85" spans="1:3" x14ac:dyDescent="0.3">
      <c r="A85" s="26">
        <v>45978</v>
      </c>
      <c r="B85" s="27" t="s">
        <v>4</v>
      </c>
      <c r="C85" s="24">
        <v>-50.9</v>
      </c>
    </row>
    <row r="86" spans="1:3" x14ac:dyDescent="0.3">
      <c r="A86" s="26">
        <v>45978</v>
      </c>
      <c r="B86" s="27" t="s">
        <v>4</v>
      </c>
      <c r="C86" s="24">
        <v>-189.47</v>
      </c>
    </row>
    <row r="87" spans="1:3" x14ac:dyDescent="0.3">
      <c r="A87" s="26">
        <v>45979</v>
      </c>
      <c r="B87" s="27" t="s">
        <v>1</v>
      </c>
      <c r="C87" s="24">
        <v>96.27</v>
      </c>
    </row>
    <row r="88" spans="1:3" x14ac:dyDescent="0.3">
      <c r="A88" s="26">
        <v>45986</v>
      </c>
      <c r="B88" s="27" t="s">
        <v>4</v>
      </c>
      <c r="C88" s="24">
        <v>-83.22</v>
      </c>
    </row>
    <row r="89" spans="1:3" x14ac:dyDescent="0.3">
      <c r="A89" s="26">
        <v>45986</v>
      </c>
      <c r="B89" s="27" t="s">
        <v>4</v>
      </c>
      <c r="C89" s="24">
        <v>-13.05</v>
      </c>
    </row>
    <row r="90" spans="1:3" x14ac:dyDescent="0.3">
      <c r="A90" s="26">
        <v>45986</v>
      </c>
      <c r="B90" s="27" t="s">
        <v>1</v>
      </c>
      <c r="C90" s="24">
        <v>442.04</v>
      </c>
    </row>
    <row r="91" spans="1:3" x14ac:dyDescent="0.3">
      <c r="A91" s="26">
        <v>45993</v>
      </c>
      <c r="B91" s="27" t="s">
        <v>4</v>
      </c>
      <c r="C91" s="24">
        <v>-60.66</v>
      </c>
    </row>
    <row r="92" spans="1:3" x14ac:dyDescent="0.3">
      <c r="A92" s="26">
        <v>45993</v>
      </c>
      <c r="B92" s="27" t="s">
        <v>4</v>
      </c>
      <c r="C92" s="24">
        <v>-80.87</v>
      </c>
    </row>
    <row r="93" spans="1:3" x14ac:dyDescent="0.3">
      <c r="A93" s="26">
        <v>45995</v>
      </c>
      <c r="B93" s="27" t="s">
        <v>4</v>
      </c>
      <c r="C93" s="24">
        <v>-119.1</v>
      </c>
    </row>
    <row r="94" spans="1:3" x14ac:dyDescent="0.3">
      <c r="A94" s="26">
        <v>46000</v>
      </c>
      <c r="B94" s="27" t="s">
        <v>4</v>
      </c>
      <c r="C94" s="24">
        <v>-13.76</v>
      </c>
    </row>
    <row r="95" spans="1:3" x14ac:dyDescent="0.3">
      <c r="A95" s="26">
        <v>46006</v>
      </c>
      <c r="B95" s="27" t="s">
        <v>4</v>
      </c>
      <c r="C95" s="24">
        <v>-70.17</v>
      </c>
    </row>
    <row r="96" spans="1:3" x14ac:dyDescent="0.3">
      <c r="A96" s="26">
        <v>46009</v>
      </c>
      <c r="B96" s="27" t="s">
        <v>4</v>
      </c>
      <c r="C96" s="24">
        <v>-102.94</v>
      </c>
    </row>
    <row r="97" spans="1:3" x14ac:dyDescent="0.3">
      <c r="A97" s="26">
        <v>46010</v>
      </c>
      <c r="B97" s="27" t="s">
        <v>1</v>
      </c>
      <c r="C97" s="24">
        <v>139.78</v>
      </c>
    </row>
    <row r="98" spans="1:3" x14ac:dyDescent="0.3">
      <c r="A98" s="26">
        <v>46014</v>
      </c>
      <c r="B98" s="27" t="s">
        <v>4</v>
      </c>
      <c r="C98" s="24">
        <v>-69.34</v>
      </c>
    </row>
    <row r="99" spans="1:3" x14ac:dyDescent="0.3">
      <c r="A99" s="26">
        <v>46014</v>
      </c>
      <c r="B99" s="27" t="s">
        <v>4</v>
      </c>
      <c r="C99" s="24">
        <v>-69.34</v>
      </c>
    </row>
    <row r="100" spans="1:3" x14ac:dyDescent="0.3">
      <c r="A100" s="26">
        <v>46014</v>
      </c>
      <c r="B100" s="27" t="s">
        <v>1</v>
      </c>
      <c r="C100" s="24">
        <v>134.25</v>
      </c>
    </row>
    <row r="101" spans="1:3" x14ac:dyDescent="0.3">
      <c r="A101" s="26">
        <v>46020</v>
      </c>
      <c r="B101" s="27" t="s">
        <v>4</v>
      </c>
      <c r="C101" s="24">
        <v>-67.8</v>
      </c>
    </row>
    <row r="102" spans="1:3" x14ac:dyDescent="0.3">
      <c r="A102" s="26">
        <v>46020</v>
      </c>
      <c r="B102" s="27" t="s">
        <v>4</v>
      </c>
      <c r="C102" s="24">
        <v>-67.8</v>
      </c>
    </row>
    <row r="103" spans="1:3" x14ac:dyDescent="0.3">
      <c r="A103" s="26">
        <v>46020</v>
      </c>
      <c r="B103" s="27" t="s">
        <v>4</v>
      </c>
      <c r="C103" s="24">
        <v>-4.17</v>
      </c>
    </row>
    <row r="104" spans="1:3" x14ac:dyDescent="0.3">
      <c r="A104" s="26">
        <v>46035</v>
      </c>
      <c r="B104" s="27" t="s">
        <v>1</v>
      </c>
      <c r="C104" s="24">
        <v>139.47999999999999</v>
      </c>
    </row>
    <row r="105" spans="1:3" x14ac:dyDescent="0.3">
      <c r="A105" s="26">
        <v>46042</v>
      </c>
      <c r="B105" s="27" t="s">
        <v>4</v>
      </c>
      <c r="C105" s="24">
        <v>-58.05</v>
      </c>
    </row>
    <row r="106" spans="1:3" x14ac:dyDescent="0.3">
      <c r="A106" s="26">
        <v>46042</v>
      </c>
      <c r="B106" s="27" t="s">
        <v>4</v>
      </c>
      <c r="C106" s="24">
        <v>-17.420000000000002</v>
      </c>
    </row>
    <row r="107" spans="1:3" x14ac:dyDescent="0.3">
      <c r="A107" s="26">
        <v>46042</v>
      </c>
      <c r="B107" s="27" t="s">
        <v>1</v>
      </c>
      <c r="C107" s="24">
        <v>34.9</v>
      </c>
    </row>
    <row r="108" spans="1:3" x14ac:dyDescent="0.3">
      <c r="A108" s="26">
        <v>46043</v>
      </c>
      <c r="B108" s="27" t="s">
        <v>4</v>
      </c>
      <c r="C108" s="24">
        <v>-57.59</v>
      </c>
    </row>
    <row r="109" spans="1:3" x14ac:dyDescent="0.3">
      <c r="A109" s="26">
        <v>46048</v>
      </c>
      <c r="B109" s="27" t="s">
        <v>4</v>
      </c>
      <c r="C109" s="24">
        <v>-36.9</v>
      </c>
    </row>
    <row r="110" spans="1:3" x14ac:dyDescent="0.3">
      <c r="A110" s="26">
        <v>46049</v>
      </c>
      <c r="B110" s="27" t="s">
        <v>1</v>
      </c>
      <c r="C110" s="24">
        <v>27.3</v>
      </c>
    </row>
    <row r="111" spans="1:3" x14ac:dyDescent="0.3">
      <c r="A111" s="26">
        <v>46055</v>
      </c>
      <c r="B111" s="27" t="s">
        <v>4</v>
      </c>
      <c r="C111" s="24">
        <v>-27.3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79B86-E2A1-45B5-9196-737C57DE852E}">
  <sheetPr codeName="Hoja20"/>
  <dimension ref="A1:H75"/>
  <sheetViews>
    <sheetView view="pageBreakPreview" zoomScale="80" zoomScaleNormal="100" zoomScaleSheetLayoutView="80" workbookViewId="0">
      <selection activeCell="C76" sqref="C7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47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102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-5.7000000000016371E-2</v>
      </c>
      <c r="D3" s="20">
        <f>SUM(D$4:D$1048576)</f>
        <v>1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45813</v>
      </c>
      <c r="B5" s="32" t="s">
        <v>21</v>
      </c>
      <c r="C5" s="24">
        <v>7.8</v>
      </c>
      <c r="D5" s="30"/>
      <c r="E5" s="30"/>
      <c r="F5" s="30"/>
      <c r="G5" s="22"/>
    </row>
    <row r="6" spans="1:8" hidden="1" x14ac:dyDescent="0.3">
      <c r="A6" s="21">
        <v>45813</v>
      </c>
      <c r="B6" s="34" t="s">
        <v>21</v>
      </c>
      <c r="C6" s="24">
        <v>102.63</v>
      </c>
    </row>
    <row r="7" spans="1:8" hidden="1" x14ac:dyDescent="0.3">
      <c r="A7" s="26">
        <v>45817</v>
      </c>
      <c r="B7" s="27" t="s">
        <v>4</v>
      </c>
      <c r="C7" s="24">
        <v>-83.8</v>
      </c>
    </row>
    <row r="8" spans="1:8" hidden="1" x14ac:dyDescent="0.3">
      <c r="A8" s="26">
        <v>45818</v>
      </c>
      <c r="B8" s="27" t="s">
        <v>1</v>
      </c>
      <c r="C8" s="24">
        <v>20.8</v>
      </c>
    </row>
    <row r="9" spans="1:8" hidden="1" x14ac:dyDescent="0.3">
      <c r="A9" s="26">
        <v>45818</v>
      </c>
      <c r="B9" s="34" t="s">
        <v>21</v>
      </c>
      <c r="C9" s="24">
        <v>53.45</v>
      </c>
    </row>
    <row r="10" spans="1:8" hidden="1" x14ac:dyDescent="0.3">
      <c r="A10" s="26">
        <v>45820</v>
      </c>
      <c r="B10" s="31" t="s">
        <v>4</v>
      </c>
      <c r="C10" s="24">
        <v>-19.93</v>
      </c>
    </row>
    <row r="11" spans="1:8" hidden="1" x14ac:dyDescent="0.3">
      <c r="A11" s="26">
        <v>45826</v>
      </c>
      <c r="B11" s="27" t="s">
        <v>4</v>
      </c>
      <c r="C11" s="24">
        <v>-19.45</v>
      </c>
    </row>
    <row r="12" spans="1:8" hidden="1" x14ac:dyDescent="0.3">
      <c r="A12" s="26">
        <v>45827</v>
      </c>
      <c r="B12" s="31" t="s">
        <v>4</v>
      </c>
      <c r="C12" s="24">
        <v>-19.28</v>
      </c>
    </row>
    <row r="13" spans="1:8" hidden="1" x14ac:dyDescent="0.3">
      <c r="A13" s="26">
        <v>45835</v>
      </c>
      <c r="B13" s="27" t="s">
        <v>4</v>
      </c>
      <c r="C13" s="24">
        <v>-18.72</v>
      </c>
    </row>
    <row r="14" spans="1:8" hidden="1" x14ac:dyDescent="0.3">
      <c r="A14" s="26">
        <v>45835</v>
      </c>
      <c r="B14" s="27" t="s">
        <v>4</v>
      </c>
      <c r="C14" s="24">
        <v>-18.72</v>
      </c>
    </row>
    <row r="15" spans="1:8" hidden="1" x14ac:dyDescent="0.3">
      <c r="A15" s="26">
        <v>45838</v>
      </c>
      <c r="B15" s="27" t="s">
        <v>4</v>
      </c>
      <c r="C15" s="24">
        <v>-7.13</v>
      </c>
    </row>
    <row r="16" spans="1:8" hidden="1" x14ac:dyDescent="0.3">
      <c r="A16" s="26">
        <v>45839</v>
      </c>
      <c r="B16" s="32" t="s">
        <v>21</v>
      </c>
      <c r="C16" s="24">
        <v>33.19</v>
      </c>
    </row>
    <row r="17" spans="1:3" hidden="1" x14ac:dyDescent="0.3">
      <c r="A17" s="26">
        <v>45839</v>
      </c>
      <c r="B17" s="34" t="s">
        <v>21</v>
      </c>
      <c r="C17" s="24">
        <v>189.53</v>
      </c>
    </row>
    <row r="18" spans="1:3" hidden="1" x14ac:dyDescent="0.3">
      <c r="A18" s="26">
        <v>45846</v>
      </c>
      <c r="B18" s="27" t="s">
        <v>4</v>
      </c>
      <c r="C18" s="24">
        <v>-26.59</v>
      </c>
    </row>
    <row r="19" spans="1:3" hidden="1" x14ac:dyDescent="0.3">
      <c r="A19" s="26">
        <v>45849</v>
      </c>
      <c r="B19" s="27" t="s">
        <v>4</v>
      </c>
      <c r="C19" s="24">
        <v>-26.01</v>
      </c>
    </row>
    <row r="20" spans="1:3" hidden="1" x14ac:dyDescent="0.3">
      <c r="A20" s="26">
        <v>45852</v>
      </c>
      <c r="B20" s="27" t="s">
        <v>4</v>
      </c>
      <c r="C20" s="24">
        <v>-17.34</v>
      </c>
    </row>
    <row r="21" spans="1:3" hidden="1" x14ac:dyDescent="0.3">
      <c r="A21" s="26">
        <v>45852</v>
      </c>
      <c r="B21" s="27" t="s">
        <v>4</v>
      </c>
      <c r="C21" s="24">
        <v>-17.34</v>
      </c>
    </row>
    <row r="22" spans="1:3" hidden="1" x14ac:dyDescent="0.3">
      <c r="A22" s="26">
        <v>45860</v>
      </c>
      <c r="B22" s="27" t="s">
        <v>4</v>
      </c>
      <c r="C22" s="24">
        <v>-25.07</v>
      </c>
    </row>
    <row r="23" spans="1:3" hidden="1" x14ac:dyDescent="0.3">
      <c r="A23" s="26">
        <v>45862</v>
      </c>
      <c r="B23" s="27" t="s">
        <v>4</v>
      </c>
      <c r="C23" s="24">
        <v>-16.48</v>
      </c>
    </row>
    <row r="24" spans="1:3" hidden="1" x14ac:dyDescent="0.3">
      <c r="A24" s="26">
        <v>45866</v>
      </c>
      <c r="B24" s="27" t="s">
        <v>4</v>
      </c>
      <c r="C24" s="24">
        <v>-93.62</v>
      </c>
    </row>
    <row r="25" spans="1:3" hidden="1" x14ac:dyDescent="0.3">
      <c r="A25" s="26">
        <v>45867</v>
      </c>
      <c r="B25" s="32" t="s">
        <v>21</v>
      </c>
      <c r="C25" s="24">
        <v>9.84</v>
      </c>
    </row>
    <row r="26" spans="1:3" hidden="1" x14ac:dyDescent="0.3">
      <c r="A26" s="26">
        <v>45867</v>
      </c>
      <c r="B26" s="34" t="s">
        <v>21</v>
      </c>
      <c r="C26" s="24">
        <v>72.17</v>
      </c>
    </row>
    <row r="27" spans="1:3" hidden="1" x14ac:dyDescent="0.3">
      <c r="A27" s="26">
        <v>45873</v>
      </c>
      <c r="B27" s="27" t="s">
        <v>4</v>
      </c>
      <c r="C27" s="24">
        <v>-15.84</v>
      </c>
    </row>
    <row r="28" spans="1:3" hidden="1" x14ac:dyDescent="0.3">
      <c r="A28" s="26">
        <v>45877</v>
      </c>
      <c r="B28" s="27" t="s">
        <v>4</v>
      </c>
      <c r="C28" s="24">
        <v>-15.38</v>
      </c>
    </row>
    <row r="29" spans="1:3" hidden="1" x14ac:dyDescent="0.3">
      <c r="A29" s="26">
        <v>45880</v>
      </c>
      <c r="B29" s="27" t="s">
        <v>4</v>
      </c>
      <c r="C29" s="24">
        <v>-0.16</v>
      </c>
    </row>
    <row r="30" spans="1:3" hidden="1" x14ac:dyDescent="0.3">
      <c r="A30" s="26">
        <v>45880</v>
      </c>
      <c r="B30" s="27" t="s">
        <v>4</v>
      </c>
      <c r="C30" s="24">
        <v>-12.96</v>
      </c>
    </row>
    <row r="31" spans="1:3" hidden="1" x14ac:dyDescent="0.3">
      <c r="A31" s="26">
        <v>45880</v>
      </c>
      <c r="B31" s="27" t="s">
        <v>4</v>
      </c>
      <c r="C31" s="24">
        <v>-19.07</v>
      </c>
    </row>
    <row r="32" spans="1:3" hidden="1" x14ac:dyDescent="0.3">
      <c r="A32" s="26">
        <v>45881</v>
      </c>
      <c r="B32" s="27" t="s">
        <v>4</v>
      </c>
      <c r="C32" s="24">
        <v>-15.25</v>
      </c>
    </row>
    <row r="33" spans="1:4" hidden="1" x14ac:dyDescent="0.3">
      <c r="A33" s="26">
        <v>45881</v>
      </c>
      <c r="B33" s="27" t="s">
        <v>7</v>
      </c>
      <c r="C33" s="24">
        <v>-1.29</v>
      </c>
    </row>
    <row r="34" spans="1:4" hidden="1" x14ac:dyDescent="0.3">
      <c r="A34" s="26">
        <v>45881</v>
      </c>
      <c r="B34" s="32" t="s">
        <v>21</v>
      </c>
      <c r="C34" s="24">
        <v>15.85</v>
      </c>
      <c r="D34" s="25">
        <v>1</v>
      </c>
    </row>
    <row r="35" spans="1:4" hidden="1" x14ac:dyDescent="0.3">
      <c r="A35" s="26">
        <v>45881</v>
      </c>
      <c r="B35" s="34" t="s">
        <v>21</v>
      </c>
      <c r="C35" s="24">
        <v>77.45</v>
      </c>
    </row>
    <row r="36" spans="1:4" hidden="1" x14ac:dyDescent="0.3">
      <c r="A36" s="26">
        <v>45890</v>
      </c>
      <c r="B36" s="27" t="s">
        <v>4</v>
      </c>
      <c r="C36" s="24">
        <v>-17.93</v>
      </c>
    </row>
    <row r="37" spans="1:4" hidden="1" x14ac:dyDescent="0.3">
      <c r="A37" s="26">
        <v>45891</v>
      </c>
      <c r="B37" s="27" t="s">
        <v>4</v>
      </c>
      <c r="C37" s="24">
        <v>-19.53</v>
      </c>
    </row>
    <row r="38" spans="1:4" hidden="1" x14ac:dyDescent="0.3">
      <c r="A38" s="26">
        <v>45895</v>
      </c>
      <c r="B38" s="27" t="s">
        <v>4</v>
      </c>
      <c r="C38" s="24">
        <v>-55.82</v>
      </c>
    </row>
    <row r="39" spans="1:4" hidden="1" x14ac:dyDescent="0.3">
      <c r="A39" s="26">
        <v>45895</v>
      </c>
      <c r="B39" s="32" t="s">
        <v>21</v>
      </c>
      <c r="C39" s="24">
        <v>19.46</v>
      </c>
    </row>
    <row r="40" spans="1:4" hidden="1" x14ac:dyDescent="0.3">
      <c r="A40" s="26">
        <v>45895</v>
      </c>
      <c r="B40" s="34" t="s">
        <v>21</v>
      </c>
      <c r="C40" s="24">
        <v>57.48</v>
      </c>
    </row>
    <row r="41" spans="1:4" hidden="1" x14ac:dyDescent="0.3">
      <c r="A41" s="26">
        <v>45895</v>
      </c>
      <c r="B41" s="46" t="s">
        <v>21</v>
      </c>
      <c r="C41" s="24">
        <v>10.46</v>
      </c>
    </row>
    <row r="42" spans="1:4" hidden="1" x14ac:dyDescent="0.3">
      <c r="A42" s="26">
        <v>45909</v>
      </c>
      <c r="B42" s="27" t="s">
        <v>4</v>
      </c>
      <c r="C42" s="24">
        <v>-19.36</v>
      </c>
    </row>
    <row r="43" spans="1:4" hidden="1" x14ac:dyDescent="0.3">
      <c r="A43" s="26">
        <v>45911</v>
      </c>
      <c r="B43" s="27" t="s">
        <v>4</v>
      </c>
      <c r="C43" s="24">
        <v>-30.31</v>
      </c>
    </row>
    <row r="44" spans="1:4" hidden="1" x14ac:dyDescent="0.3">
      <c r="A44" s="26">
        <v>45916</v>
      </c>
      <c r="B44" s="27" t="s">
        <v>4</v>
      </c>
      <c r="C44" s="24">
        <v>-21.81</v>
      </c>
    </row>
    <row r="45" spans="1:4" hidden="1" x14ac:dyDescent="0.3">
      <c r="A45" s="26">
        <v>45916</v>
      </c>
      <c r="B45" s="27" t="s">
        <v>4</v>
      </c>
      <c r="C45" s="24">
        <v>-23.83</v>
      </c>
    </row>
    <row r="46" spans="1:4" hidden="1" x14ac:dyDescent="0.3">
      <c r="A46" s="26">
        <v>45916</v>
      </c>
      <c r="B46" s="32" t="s">
        <v>21</v>
      </c>
      <c r="C46" s="24">
        <v>33.19</v>
      </c>
    </row>
    <row r="47" spans="1:4" hidden="1" x14ac:dyDescent="0.3">
      <c r="A47" s="26">
        <v>45916</v>
      </c>
      <c r="B47" s="34" t="s">
        <v>21</v>
      </c>
      <c r="C47" s="24">
        <v>69.12</v>
      </c>
    </row>
    <row r="48" spans="1:4" hidden="1" x14ac:dyDescent="0.3">
      <c r="A48" s="26">
        <v>45925</v>
      </c>
      <c r="B48" s="27" t="s">
        <v>4</v>
      </c>
      <c r="C48" s="24">
        <v>-16.88</v>
      </c>
    </row>
    <row r="49" spans="1:3" hidden="1" x14ac:dyDescent="0.3">
      <c r="A49" s="26">
        <v>45929</v>
      </c>
      <c r="B49" s="27" t="s">
        <v>4</v>
      </c>
      <c r="C49" s="24">
        <v>-17.079999999999998</v>
      </c>
    </row>
    <row r="50" spans="1:3" hidden="1" x14ac:dyDescent="0.3">
      <c r="A50" s="26">
        <v>45930</v>
      </c>
      <c r="B50" s="27" t="s">
        <v>4</v>
      </c>
      <c r="C50" s="24">
        <v>-60.45</v>
      </c>
    </row>
    <row r="51" spans="1:3" hidden="1" x14ac:dyDescent="0.3">
      <c r="A51" s="26">
        <v>45930</v>
      </c>
      <c r="B51" s="34" t="s">
        <v>21</v>
      </c>
      <c r="C51" s="24">
        <v>89.56</v>
      </c>
    </row>
    <row r="52" spans="1:3" hidden="1" x14ac:dyDescent="0.3">
      <c r="A52" s="26">
        <v>45939</v>
      </c>
      <c r="B52" s="27" t="s">
        <v>4</v>
      </c>
      <c r="C52" s="24">
        <v>-10.45</v>
      </c>
    </row>
    <row r="53" spans="1:3" hidden="1" x14ac:dyDescent="0.3">
      <c r="A53" s="26">
        <v>45947</v>
      </c>
      <c r="B53" s="27" t="s">
        <v>4</v>
      </c>
      <c r="C53" s="24">
        <v>-19.63</v>
      </c>
    </row>
    <row r="54" spans="1:3" hidden="1" x14ac:dyDescent="0.3">
      <c r="A54" s="26">
        <v>45950</v>
      </c>
      <c r="B54" s="27" t="s">
        <v>4</v>
      </c>
      <c r="C54" s="24">
        <v>-19.45</v>
      </c>
    </row>
    <row r="55" spans="1:3" hidden="1" x14ac:dyDescent="0.3">
      <c r="A55" s="26">
        <v>45951</v>
      </c>
      <c r="B55" s="27" t="s">
        <v>4</v>
      </c>
      <c r="C55" s="24">
        <v>-14.43</v>
      </c>
    </row>
    <row r="56" spans="1:3" hidden="1" x14ac:dyDescent="0.3">
      <c r="A56" s="26">
        <v>45958</v>
      </c>
      <c r="B56" s="27" t="s">
        <v>7</v>
      </c>
      <c r="C56" s="24">
        <v>-26</v>
      </c>
    </row>
    <row r="57" spans="1:3" hidden="1" x14ac:dyDescent="0.3">
      <c r="A57" s="26">
        <v>45958</v>
      </c>
      <c r="B57" s="34" t="s">
        <v>21</v>
      </c>
      <c r="C57" s="24">
        <v>30.12</v>
      </c>
    </row>
    <row r="58" spans="1:3" hidden="1" x14ac:dyDescent="0.3">
      <c r="A58" s="26">
        <v>45973</v>
      </c>
      <c r="B58" s="27" t="s">
        <v>4</v>
      </c>
      <c r="C58" s="24">
        <v>-17.16</v>
      </c>
    </row>
    <row r="59" spans="1:3" hidden="1" x14ac:dyDescent="0.3">
      <c r="A59" s="26">
        <v>45975</v>
      </c>
      <c r="B59" s="27" t="s">
        <v>4</v>
      </c>
      <c r="C59" s="24">
        <v>-8.52</v>
      </c>
    </row>
    <row r="60" spans="1:3" hidden="1" x14ac:dyDescent="0.3">
      <c r="A60" s="26">
        <v>45979</v>
      </c>
      <c r="B60" s="27" t="s">
        <v>4</v>
      </c>
      <c r="C60" s="24">
        <v>-4.45</v>
      </c>
    </row>
    <row r="61" spans="1:3" x14ac:dyDescent="0.3">
      <c r="A61" s="26">
        <v>45979</v>
      </c>
      <c r="B61" s="27" t="s">
        <v>1</v>
      </c>
      <c r="C61" s="24">
        <v>89.08</v>
      </c>
    </row>
    <row r="62" spans="1:3" x14ac:dyDescent="0.3">
      <c r="A62" s="26">
        <v>45987</v>
      </c>
      <c r="B62" s="27" t="s">
        <v>4</v>
      </c>
      <c r="C62" s="24">
        <v>-20.12</v>
      </c>
    </row>
    <row r="63" spans="1:3" x14ac:dyDescent="0.3">
      <c r="A63" s="26">
        <v>45989</v>
      </c>
      <c r="B63" s="27" t="s">
        <v>4</v>
      </c>
      <c r="C63" s="24">
        <v>-10.18</v>
      </c>
    </row>
    <row r="64" spans="1:3" x14ac:dyDescent="0.3">
      <c r="A64" s="26">
        <v>45992</v>
      </c>
      <c r="B64" s="27" t="s">
        <v>4</v>
      </c>
      <c r="C64" s="24">
        <v>-32.35</v>
      </c>
    </row>
    <row r="65" spans="1:3" x14ac:dyDescent="0.3">
      <c r="A65" s="26">
        <v>45995</v>
      </c>
      <c r="B65" s="27" t="s">
        <v>4</v>
      </c>
      <c r="C65" s="24">
        <v>-11.51</v>
      </c>
    </row>
    <row r="66" spans="1:3" x14ac:dyDescent="0.3">
      <c r="A66" s="26">
        <v>46000</v>
      </c>
      <c r="B66" s="27" t="s">
        <v>7</v>
      </c>
      <c r="C66" s="24">
        <v>-17.850000000000001</v>
      </c>
    </row>
    <row r="67" spans="1:3" x14ac:dyDescent="0.3">
      <c r="A67" s="26">
        <v>46000</v>
      </c>
      <c r="B67" s="27" t="s">
        <v>1</v>
      </c>
      <c r="C67" s="24">
        <v>50.48</v>
      </c>
    </row>
    <row r="68" spans="1:3" x14ac:dyDescent="0.3">
      <c r="A68" s="26">
        <v>46009</v>
      </c>
      <c r="B68" s="27" t="s">
        <v>4</v>
      </c>
      <c r="C68" s="24">
        <v>-11.97</v>
      </c>
    </row>
    <row r="69" spans="1:3" x14ac:dyDescent="0.3">
      <c r="A69" s="26">
        <v>46010</v>
      </c>
      <c r="B69" s="27" t="s">
        <v>4</v>
      </c>
      <c r="C69" s="24">
        <v>-10.62</v>
      </c>
    </row>
    <row r="70" spans="1:3" x14ac:dyDescent="0.3">
      <c r="A70" s="26">
        <v>46010</v>
      </c>
      <c r="B70" s="27" t="s">
        <v>4</v>
      </c>
      <c r="C70" s="24">
        <v>-7.08</v>
      </c>
    </row>
    <row r="71" spans="1:3" x14ac:dyDescent="0.3">
      <c r="A71" s="26">
        <v>46010</v>
      </c>
      <c r="B71" s="27" t="s">
        <v>7</v>
      </c>
      <c r="C71" s="24">
        <v>-35.71</v>
      </c>
    </row>
    <row r="72" spans="1:3" x14ac:dyDescent="0.3">
      <c r="A72" s="26">
        <v>46010</v>
      </c>
      <c r="B72" s="27" t="s">
        <v>1</v>
      </c>
      <c r="C72" s="24">
        <v>87.132999999999996</v>
      </c>
    </row>
    <row r="73" spans="1:3" x14ac:dyDescent="0.3">
      <c r="A73" s="26">
        <v>46012</v>
      </c>
      <c r="B73" s="27" t="s">
        <v>4</v>
      </c>
      <c r="C73" s="24">
        <v>-35.04</v>
      </c>
    </row>
    <row r="74" spans="1:3" x14ac:dyDescent="0.3">
      <c r="A74" s="26">
        <v>46014</v>
      </c>
      <c r="B74" s="27" t="s">
        <v>4</v>
      </c>
      <c r="C74" s="24">
        <v>-10.4</v>
      </c>
    </row>
    <row r="75" spans="1:3" x14ac:dyDescent="0.3">
      <c r="A75" s="26">
        <v>46043</v>
      </c>
      <c r="B75" s="27" t="s">
        <v>4</v>
      </c>
      <c r="C75" s="24">
        <v>-23.5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EA524-DDFF-40B2-AD47-FF953DD5BAF9}">
  <sheetPr codeName="Hoja21"/>
  <dimension ref="A1:H124"/>
  <sheetViews>
    <sheetView view="pageBreakPreview" zoomScale="85" zoomScaleNormal="100" zoomScaleSheetLayoutView="85" workbookViewId="0">
      <selection activeCell="C125" sqref="C12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187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240.94300000000004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45819</v>
      </c>
      <c r="B5" s="32" t="s">
        <v>21</v>
      </c>
      <c r="C5" s="24">
        <v>9.84</v>
      </c>
      <c r="D5" s="30"/>
      <c r="E5" s="30"/>
      <c r="F5" s="30"/>
      <c r="G5" s="22"/>
    </row>
    <row r="6" spans="1:8" hidden="1" x14ac:dyDescent="0.3">
      <c r="A6" s="21">
        <v>45819</v>
      </c>
      <c r="B6" s="34" t="s">
        <v>21</v>
      </c>
      <c r="C6" s="24">
        <v>53.31</v>
      </c>
    </row>
    <row r="7" spans="1:8" hidden="1" x14ac:dyDescent="0.3">
      <c r="A7" s="21">
        <v>45831</v>
      </c>
      <c r="B7" s="27" t="s">
        <v>4</v>
      </c>
      <c r="C7" s="24">
        <v>-63.21</v>
      </c>
    </row>
    <row r="8" spans="1:8" hidden="1" x14ac:dyDescent="0.3">
      <c r="A8" s="26">
        <v>45834</v>
      </c>
      <c r="B8" s="27" t="s">
        <v>4</v>
      </c>
      <c r="C8" s="24">
        <v>-65.7</v>
      </c>
    </row>
    <row r="9" spans="1:8" hidden="1" x14ac:dyDescent="0.3">
      <c r="A9" s="26">
        <v>45833</v>
      </c>
      <c r="B9" s="27" t="s">
        <v>1</v>
      </c>
      <c r="C9" s="24">
        <v>36.799999999999997</v>
      </c>
    </row>
    <row r="10" spans="1:8" hidden="1" x14ac:dyDescent="0.3">
      <c r="A10" s="26">
        <v>45833</v>
      </c>
      <c r="B10" s="32" t="s">
        <v>21</v>
      </c>
      <c r="C10" s="24">
        <v>25.69</v>
      </c>
    </row>
    <row r="11" spans="1:8" hidden="1" x14ac:dyDescent="0.3">
      <c r="A11" s="26">
        <v>45833</v>
      </c>
      <c r="B11" s="34" t="s">
        <v>21</v>
      </c>
      <c r="C11" s="24">
        <v>3.21</v>
      </c>
    </row>
    <row r="12" spans="1:8" hidden="1" x14ac:dyDescent="0.3">
      <c r="A12" s="26">
        <v>45840</v>
      </c>
      <c r="B12" s="34" t="s">
        <v>21</v>
      </c>
      <c r="C12" s="24">
        <v>53.94</v>
      </c>
    </row>
    <row r="13" spans="1:8" hidden="1" x14ac:dyDescent="0.3">
      <c r="A13" s="26">
        <v>45840</v>
      </c>
      <c r="B13" s="27" t="s">
        <v>1</v>
      </c>
      <c r="C13" s="24">
        <v>18.399999999999999</v>
      </c>
    </row>
    <row r="14" spans="1:8" hidden="1" x14ac:dyDescent="0.3">
      <c r="A14" s="26">
        <v>45848</v>
      </c>
      <c r="B14" s="32" t="s">
        <v>21</v>
      </c>
      <c r="C14" s="24">
        <v>7.5</v>
      </c>
    </row>
    <row r="15" spans="1:8" hidden="1" x14ac:dyDescent="0.3">
      <c r="A15" s="26">
        <v>45848</v>
      </c>
      <c r="B15" s="34" t="s">
        <v>21</v>
      </c>
      <c r="C15" s="24">
        <v>23.49</v>
      </c>
    </row>
    <row r="16" spans="1:8" hidden="1" x14ac:dyDescent="0.3">
      <c r="A16" s="26">
        <v>45848</v>
      </c>
      <c r="B16" s="46" t="s">
        <v>21</v>
      </c>
      <c r="C16" s="24">
        <v>16.440000000000001</v>
      </c>
    </row>
    <row r="17" spans="1:3" hidden="1" x14ac:dyDescent="0.3">
      <c r="A17" s="26">
        <v>45848</v>
      </c>
      <c r="B17" s="27" t="s">
        <v>1</v>
      </c>
      <c r="C17" s="24">
        <v>57.6</v>
      </c>
    </row>
    <row r="18" spans="1:3" hidden="1" x14ac:dyDescent="0.3">
      <c r="A18" s="26">
        <v>45849</v>
      </c>
      <c r="B18" s="27" t="s">
        <v>7</v>
      </c>
      <c r="C18" s="24">
        <v>-72.28</v>
      </c>
    </row>
    <row r="19" spans="1:3" hidden="1" x14ac:dyDescent="0.3">
      <c r="A19" s="26">
        <v>45854</v>
      </c>
      <c r="B19" s="27" t="s">
        <v>4</v>
      </c>
      <c r="C19" s="24">
        <v>-53.03</v>
      </c>
    </row>
    <row r="20" spans="1:3" hidden="1" x14ac:dyDescent="0.3">
      <c r="A20" s="26">
        <v>45854</v>
      </c>
      <c r="B20" s="32" t="s">
        <v>21</v>
      </c>
      <c r="C20" s="24">
        <v>7.5</v>
      </c>
    </row>
    <row r="21" spans="1:3" hidden="1" x14ac:dyDescent="0.3">
      <c r="A21" s="26">
        <v>45854</v>
      </c>
      <c r="B21" s="34" t="s">
        <v>21</v>
      </c>
      <c r="C21" s="24">
        <v>54.57</v>
      </c>
    </row>
    <row r="22" spans="1:3" hidden="1" x14ac:dyDescent="0.3">
      <c r="A22" s="26">
        <v>45854</v>
      </c>
      <c r="B22" s="27" t="s">
        <v>1</v>
      </c>
      <c r="C22" s="24">
        <v>55.2</v>
      </c>
    </row>
    <row r="23" spans="1:3" hidden="1" x14ac:dyDescent="0.3">
      <c r="A23" s="26">
        <v>45861</v>
      </c>
      <c r="B23" s="27" t="s">
        <v>7</v>
      </c>
      <c r="C23" s="24">
        <v>-117.26</v>
      </c>
    </row>
    <row r="24" spans="1:3" hidden="1" x14ac:dyDescent="0.3">
      <c r="A24" s="26">
        <v>45861</v>
      </c>
      <c r="B24" s="32" t="s">
        <v>21</v>
      </c>
      <c r="C24" s="24">
        <v>15.85</v>
      </c>
    </row>
    <row r="25" spans="1:3" hidden="1" x14ac:dyDescent="0.3">
      <c r="A25" s="26">
        <v>45861</v>
      </c>
      <c r="B25" s="34" t="s">
        <v>21</v>
      </c>
      <c r="C25" s="24">
        <v>42.51</v>
      </c>
    </row>
    <row r="26" spans="1:3" hidden="1" x14ac:dyDescent="0.3">
      <c r="A26" s="26">
        <v>45861</v>
      </c>
      <c r="B26" s="27" t="s">
        <v>1</v>
      </c>
      <c r="C26" s="24">
        <v>36.799999999999997</v>
      </c>
    </row>
    <row r="27" spans="1:3" hidden="1" x14ac:dyDescent="0.3">
      <c r="A27" s="26">
        <v>45866</v>
      </c>
      <c r="B27" s="27" t="s">
        <v>4</v>
      </c>
      <c r="C27" s="24">
        <v>-52.25</v>
      </c>
    </row>
    <row r="28" spans="1:3" hidden="1" x14ac:dyDescent="0.3">
      <c r="A28" s="26">
        <v>45869</v>
      </c>
      <c r="B28" s="32" t="s">
        <v>21</v>
      </c>
      <c r="C28" s="24">
        <v>17.34</v>
      </c>
    </row>
    <row r="29" spans="1:3" hidden="1" x14ac:dyDescent="0.3">
      <c r="A29" s="26">
        <v>45869</v>
      </c>
      <c r="B29" s="34" t="s">
        <v>21</v>
      </c>
      <c r="C29" s="24">
        <v>97.47</v>
      </c>
    </row>
    <row r="30" spans="1:3" hidden="1" x14ac:dyDescent="0.3">
      <c r="A30" s="26">
        <v>45869</v>
      </c>
      <c r="B30" s="27" t="s">
        <v>1</v>
      </c>
      <c r="C30" s="24">
        <v>36</v>
      </c>
    </row>
    <row r="31" spans="1:3" hidden="1" x14ac:dyDescent="0.3">
      <c r="A31" s="26">
        <v>45876</v>
      </c>
      <c r="B31" s="27" t="s">
        <v>7</v>
      </c>
      <c r="C31" s="24">
        <v>-151.62</v>
      </c>
    </row>
    <row r="32" spans="1:3" hidden="1" x14ac:dyDescent="0.3">
      <c r="A32" s="26">
        <v>45876</v>
      </c>
      <c r="B32" s="32" t="s">
        <v>21</v>
      </c>
      <c r="C32" s="24">
        <v>4.5</v>
      </c>
    </row>
    <row r="33" spans="1:3" hidden="1" x14ac:dyDescent="0.3">
      <c r="A33" s="26">
        <v>45876</v>
      </c>
      <c r="B33" s="34" t="s">
        <v>21</v>
      </c>
      <c r="C33" s="24">
        <v>32.75</v>
      </c>
    </row>
    <row r="34" spans="1:3" hidden="1" x14ac:dyDescent="0.3">
      <c r="A34" s="26">
        <v>45876</v>
      </c>
      <c r="B34" s="27" t="s">
        <v>1</v>
      </c>
      <c r="C34" s="24">
        <v>18.399999999999999</v>
      </c>
    </row>
    <row r="35" spans="1:3" hidden="1" x14ac:dyDescent="0.3">
      <c r="A35" s="26">
        <v>45881</v>
      </c>
      <c r="B35" s="27" t="s">
        <v>4</v>
      </c>
      <c r="C35" s="24">
        <v>-94.11</v>
      </c>
    </row>
    <row r="36" spans="1:3" hidden="1" x14ac:dyDescent="0.3">
      <c r="A36" s="26">
        <v>45883</v>
      </c>
      <c r="B36" s="27" t="s">
        <v>7</v>
      </c>
      <c r="C36" s="24">
        <v>-55.64</v>
      </c>
    </row>
    <row r="37" spans="1:3" hidden="1" x14ac:dyDescent="0.3">
      <c r="A37" s="26">
        <v>45883</v>
      </c>
      <c r="B37" s="32" t="s">
        <v>21</v>
      </c>
      <c r="C37" s="24">
        <v>24.85</v>
      </c>
    </row>
    <row r="38" spans="1:3" hidden="1" x14ac:dyDescent="0.3">
      <c r="A38" s="26">
        <v>45883</v>
      </c>
      <c r="B38" s="34" t="s">
        <v>21</v>
      </c>
      <c r="C38" s="24">
        <v>89.22</v>
      </c>
    </row>
    <row r="39" spans="1:3" hidden="1" x14ac:dyDescent="0.3">
      <c r="A39" s="26">
        <v>45883</v>
      </c>
      <c r="B39" s="27" t="s">
        <v>1</v>
      </c>
      <c r="C39" s="24">
        <v>36.799999999999997</v>
      </c>
    </row>
    <row r="40" spans="1:3" hidden="1" x14ac:dyDescent="0.3">
      <c r="A40" s="26">
        <v>45890</v>
      </c>
      <c r="B40" s="27" t="s">
        <v>7</v>
      </c>
      <c r="C40" s="24">
        <v>-150.88</v>
      </c>
    </row>
    <row r="41" spans="1:3" hidden="1" x14ac:dyDescent="0.3">
      <c r="A41" s="26">
        <v>45890</v>
      </c>
      <c r="B41" s="27" t="s">
        <v>1</v>
      </c>
      <c r="C41" s="24">
        <v>18.399999999999999</v>
      </c>
    </row>
    <row r="42" spans="1:3" hidden="1" x14ac:dyDescent="0.3">
      <c r="A42" s="26">
        <v>45890</v>
      </c>
      <c r="B42" s="46" t="s">
        <v>21</v>
      </c>
      <c r="C42" s="24">
        <v>9.6300000000000008</v>
      </c>
    </row>
    <row r="43" spans="1:3" hidden="1" x14ac:dyDescent="0.3">
      <c r="A43" s="26">
        <v>45890</v>
      </c>
      <c r="B43" s="34" t="s">
        <v>21</v>
      </c>
      <c r="C43" s="24">
        <v>79.63</v>
      </c>
    </row>
    <row r="44" spans="1:3" hidden="1" x14ac:dyDescent="0.3">
      <c r="A44" s="26">
        <v>45890</v>
      </c>
      <c r="B44" s="32" t="s">
        <v>21</v>
      </c>
      <c r="C44" s="24">
        <v>9</v>
      </c>
    </row>
    <row r="45" spans="1:3" hidden="1" x14ac:dyDescent="0.3">
      <c r="A45" s="26">
        <v>45897</v>
      </c>
      <c r="B45" s="27" t="s">
        <v>7</v>
      </c>
      <c r="C45" s="24">
        <v>-116.68</v>
      </c>
    </row>
    <row r="46" spans="1:3" hidden="1" x14ac:dyDescent="0.3">
      <c r="A46" s="26">
        <v>45897</v>
      </c>
      <c r="B46" s="32" t="s">
        <v>21</v>
      </c>
      <c r="C46" s="24">
        <v>12.3</v>
      </c>
    </row>
    <row r="47" spans="1:3" hidden="1" x14ac:dyDescent="0.3">
      <c r="A47" s="26">
        <v>45897</v>
      </c>
      <c r="B47" s="34" t="s">
        <v>21</v>
      </c>
      <c r="C47" s="24">
        <v>72.42</v>
      </c>
    </row>
    <row r="48" spans="1:3" hidden="1" x14ac:dyDescent="0.3">
      <c r="A48" s="26">
        <v>45897</v>
      </c>
      <c r="B48" s="27" t="s">
        <v>1</v>
      </c>
      <c r="C48" s="24">
        <v>18.399999999999999</v>
      </c>
    </row>
    <row r="49" spans="1:3" hidden="1" x14ac:dyDescent="0.3">
      <c r="A49" s="26">
        <v>45904</v>
      </c>
      <c r="B49" s="27" t="s">
        <v>7</v>
      </c>
      <c r="C49" s="24">
        <v>-103.22</v>
      </c>
    </row>
    <row r="50" spans="1:3" hidden="1" x14ac:dyDescent="0.3">
      <c r="A50" s="26">
        <v>45904</v>
      </c>
      <c r="B50" s="32" t="s">
        <v>21</v>
      </c>
      <c r="C50" s="24">
        <v>37.69</v>
      </c>
    </row>
    <row r="51" spans="1:3" hidden="1" x14ac:dyDescent="0.3">
      <c r="A51" s="26">
        <v>45904</v>
      </c>
      <c r="B51" s="34" t="s">
        <v>21</v>
      </c>
      <c r="C51" s="24">
        <v>93.76</v>
      </c>
    </row>
    <row r="52" spans="1:3" hidden="1" x14ac:dyDescent="0.3">
      <c r="A52" s="26">
        <v>45904</v>
      </c>
      <c r="B52" s="27" t="s">
        <v>1</v>
      </c>
      <c r="C52" s="24">
        <v>18.399999999999999</v>
      </c>
    </row>
    <row r="53" spans="1:3" hidden="1" x14ac:dyDescent="0.3">
      <c r="A53" s="26">
        <v>45911</v>
      </c>
      <c r="B53" s="27" t="s">
        <v>7</v>
      </c>
      <c r="C53" s="24">
        <v>-149.88</v>
      </c>
    </row>
    <row r="54" spans="1:3" hidden="1" x14ac:dyDescent="0.3">
      <c r="A54" s="26">
        <v>45911</v>
      </c>
      <c r="B54" s="32" t="s">
        <v>21</v>
      </c>
      <c r="C54" s="24">
        <v>9</v>
      </c>
    </row>
    <row r="55" spans="1:3" hidden="1" x14ac:dyDescent="0.3">
      <c r="A55" s="26">
        <v>45911</v>
      </c>
      <c r="B55" s="34" t="s">
        <v>21</v>
      </c>
      <c r="C55" s="24">
        <v>44.85</v>
      </c>
    </row>
    <row r="56" spans="1:3" hidden="1" x14ac:dyDescent="0.3">
      <c r="A56" s="26">
        <v>45911</v>
      </c>
      <c r="B56" s="46" t="s">
        <v>21</v>
      </c>
      <c r="C56" s="24">
        <v>6.92</v>
      </c>
    </row>
    <row r="57" spans="1:3" hidden="1" x14ac:dyDescent="0.3">
      <c r="A57" s="26">
        <v>45911</v>
      </c>
      <c r="B57" s="27" t="s">
        <v>1</v>
      </c>
      <c r="C57" s="24">
        <v>36.799999999999997</v>
      </c>
    </row>
    <row r="58" spans="1:3" hidden="1" x14ac:dyDescent="0.3">
      <c r="A58" s="26">
        <v>45918</v>
      </c>
      <c r="B58" s="27" t="s">
        <v>4</v>
      </c>
      <c r="C58" s="24">
        <v>-97.57</v>
      </c>
    </row>
    <row r="59" spans="1:3" hidden="1" x14ac:dyDescent="0.3">
      <c r="A59" s="26">
        <v>45918</v>
      </c>
      <c r="B59" s="32" t="s">
        <v>21</v>
      </c>
      <c r="C59" s="24">
        <v>20.350000000000001</v>
      </c>
    </row>
    <row r="60" spans="1:3" hidden="1" x14ac:dyDescent="0.3">
      <c r="A60" s="26">
        <v>45918</v>
      </c>
      <c r="B60" s="34" t="s">
        <v>21</v>
      </c>
      <c r="C60" s="24">
        <v>98.34</v>
      </c>
    </row>
    <row r="61" spans="1:3" hidden="1" x14ac:dyDescent="0.3">
      <c r="A61" s="26">
        <v>45918</v>
      </c>
      <c r="B61" s="46" t="s">
        <v>21</v>
      </c>
      <c r="C61" s="24">
        <v>36.799999999999997</v>
      </c>
    </row>
    <row r="62" spans="1:3" hidden="1" x14ac:dyDescent="0.3">
      <c r="A62" s="26">
        <v>45925</v>
      </c>
      <c r="B62" s="27" t="s">
        <v>4</v>
      </c>
      <c r="C62" s="24">
        <v>-155.49</v>
      </c>
    </row>
    <row r="63" spans="1:3" hidden="1" x14ac:dyDescent="0.3">
      <c r="A63" s="26">
        <v>45925</v>
      </c>
      <c r="B63" s="32" t="s">
        <v>21</v>
      </c>
      <c r="C63" s="24">
        <v>24.64</v>
      </c>
    </row>
    <row r="64" spans="1:3" hidden="1" x14ac:dyDescent="0.3">
      <c r="A64" s="26">
        <v>45925</v>
      </c>
      <c r="B64" s="34" t="s">
        <v>21</v>
      </c>
      <c r="C64" s="24">
        <v>101.13</v>
      </c>
    </row>
    <row r="65" spans="1:3" hidden="1" x14ac:dyDescent="0.3">
      <c r="A65" s="26">
        <v>45925</v>
      </c>
      <c r="B65" s="46" t="s">
        <v>21</v>
      </c>
      <c r="C65" s="24">
        <v>10.46</v>
      </c>
    </row>
    <row r="66" spans="1:3" hidden="1" x14ac:dyDescent="0.3">
      <c r="A66" s="26">
        <v>45925</v>
      </c>
      <c r="B66" s="27" t="s">
        <v>1</v>
      </c>
      <c r="C66" s="24">
        <v>36.799999999999997</v>
      </c>
    </row>
    <row r="67" spans="1:3" hidden="1" x14ac:dyDescent="0.3">
      <c r="A67" s="26">
        <v>45932</v>
      </c>
      <c r="B67" s="32" t="s">
        <v>21</v>
      </c>
      <c r="C67" s="24">
        <v>23.35</v>
      </c>
    </row>
    <row r="68" spans="1:3" hidden="1" x14ac:dyDescent="0.3">
      <c r="A68" s="26">
        <v>45932</v>
      </c>
      <c r="B68" s="34" t="s">
        <v>21</v>
      </c>
      <c r="C68" s="24">
        <v>47.51</v>
      </c>
    </row>
    <row r="69" spans="1:3" hidden="1" x14ac:dyDescent="0.3">
      <c r="A69" s="26">
        <v>45932</v>
      </c>
      <c r="B69" s="27" t="s">
        <v>1</v>
      </c>
      <c r="C69" s="24">
        <v>36.799999999999997</v>
      </c>
    </row>
    <row r="70" spans="1:3" hidden="1" x14ac:dyDescent="0.3">
      <c r="A70" s="26">
        <v>45938</v>
      </c>
      <c r="B70" s="27" t="s">
        <v>7</v>
      </c>
      <c r="C70" s="24">
        <v>-79.88</v>
      </c>
    </row>
    <row r="71" spans="1:3" hidden="1" x14ac:dyDescent="0.3">
      <c r="A71" s="26">
        <v>45939</v>
      </c>
      <c r="B71" s="27" t="s">
        <v>4</v>
      </c>
      <c r="C71" s="24">
        <v>-52.26</v>
      </c>
    </row>
    <row r="72" spans="1:3" hidden="1" x14ac:dyDescent="0.3">
      <c r="A72" s="26">
        <v>45939</v>
      </c>
      <c r="B72" s="27" t="s">
        <v>4</v>
      </c>
      <c r="C72" s="24">
        <v>-40.74</v>
      </c>
    </row>
    <row r="73" spans="1:3" hidden="1" x14ac:dyDescent="0.3">
      <c r="A73" s="26">
        <v>45939</v>
      </c>
      <c r="B73" s="27" t="s">
        <v>7</v>
      </c>
      <c r="C73" s="24">
        <v>-107.65</v>
      </c>
    </row>
    <row r="74" spans="1:3" hidden="1" x14ac:dyDescent="0.3">
      <c r="A74" s="26">
        <v>45939</v>
      </c>
      <c r="B74" s="32" t="s">
        <v>21</v>
      </c>
      <c r="C74" s="24">
        <v>13.5</v>
      </c>
    </row>
    <row r="75" spans="1:3" hidden="1" x14ac:dyDescent="0.3">
      <c r="A75" s="26">
        <v>45939</v>
      </c>
      <c r="B75" s="34" t="s">
        <v>21</v>
      </c>
      <c r="C75" s="24">
        <v>91.55</v>
      </c>
    </row>
    <row r="76" spans="1:3" hidden="1" x14ac:dyDescent="0.3">
      <c r="A76" s="26">
        <v>45939</v>
      </c>
      <c r="B76" s="27" t="s">
        <v>1</v>
      </c>
      <c r="C76" s="24">
        <v>61.59</v>
      </c>
    </row>
    <row r="77" spans="1:3" hidden="1" x14ac:dyDescent="0.3">
      <c r="A77" s="26">
        <v>45946</v>
      </c>
      <c r="B77" s="32" t="s">
        <v>21</v>
      </c>
      <c r="C77" s="24">
        <v>35.22</v>
      </c>
    </row>
    <row r="78" spans="1:3" hidden="1" x14ac:dyDescent="0.3">
      <c r="A78" s="26">
        <v>45946</v>
      </c>
      <c r="B78" s="34" t="s">
        <v>21</v>
      </c>
      <c r="C78" s="24">
        <v>118.82</v>
      </c>
    </row>
    <row r="79" spans="1:3" hidden="1" x14ac:dyDescent="0.3">
      <c r="A79" s="26">
        <v>45947</v>
      </c>
      <c r="B79" s="27" t="s">
        <v>4</v>
      </c>
      <c r="C79" s="24">
        <v>-167.01</v>
      </c>
    </row>
    <row r="80" spans="1:3" hidden="1" x14ac:dyDescent="0.3">
      <c r="A80" s="26">
        <v>45953</v>
      </c>
      <c r="B80" s="27" t="s">
        <v>4</v>
      </c>
      <c r="C80" s="24">
        <v>-70.97</v>
      </c>
    </row>
    <row r="81" spans="1:3" hidden="1" x14ac:dyDescent="0.3">
      <c r="A81" s="26">
        <v>45954</v>
      </c>
      <c r="B81" s="27" t="s">
        <v>7</v>
      </c>
      <c r="C81" s="24">
        <v>-82.71</v>
      </c>
    </row>
    <row r="82" spans="1:3" hidden="1" x14ac:dyDescent="0.3">
      <c r="A82" s="26">
        <v>45953</v>
      </c>
      <c r="B82" s="32" t="s">
        <v>21</v>
      </c>
      <c r="C82" s="24">
        <v>9</v>
      </c>
    </row>
    <row r="83" spans="1:3" hidden="1" x14ac:dyDescent="0.3">
      <c r="A83" s="26">
        <v>45953</v>
      </c>
      <c r="B83" s="34" t="s">
        <v>21</v>
      </c>
      <c r="C83" s="24">
        <v>103.65</v>
      </c>
    </row>
    <row r="84" spans="1:3" hidden="1" x14ac:dyDescent="0.3">
      <c r="A84" s="26">
        <v>45953</v>
      </c>
      <c r="B84" s="46" t="s">
        <v>21</v>
      </c>
      <c r="C84" s="24">
        <v>10.38</v>
      </c>
    </row>
    <row r="85" spans="1:3" hidden="1" x14ac:dyDescent="0.3">
      <c r="A85" s="26">
        <v>45953</v>
      </c>
      <c r="B85" s="27" t="s">
        <v>1</v>
      </c>
      <c r="C85" s="24">
        <v>20.53</v>
      </c>
    </row>
    <row r="86" spans="1:3" hidden="1" x14ac:dyDescent="0.3">
      <c r="A86" s="26">
        <v>45960</v>
      </c>
      <c r="B86" s="32" t="s">
        <v>21</v>
      </c>
      <c r="C86" s="24">
        <v>22.14</v>
      </c>
    </row>
    <row r="87" spans="1:3" hidden="1" x14ac:dyDescent="0.3">
      <c r="A87" s="26">
        <v>45960</v>
      </c>
      <c r="B87" s="34" t="s">
        <v>21</v>
      </c>
      <c r="C87" s="24">
        <v>54.69</v>
      </c>
    </row>
    <row r="88" spans="1:3" hidden="1" x14ac:dyDescent="0.3">
      <c r="A88" s="26">
        <v>45960</v>
      </c>
      <c r="B88" s="46" t="s">
        <v>21</v>
      </c>
      <c r="C88" s="24">
        <v>5.31</v>
      </c>
    </row>
    <row r="89" spans="1:3" hidden="1" x14ac:dyDescent="0.3">
      <c r="A89" s="26">
        <v>45960</v>
      </c>
      <c r="B89" s="27" t="s">
        <v>1</v>
      </c>
      <c r="C89" s="24">
        <v>20.53</v>
      </c>
    </row>
    <row r="90" spans="1:3" hidden="1" x14ac:dyDescent="0.3">
      <c r="A90" s="26">
        <v>45967</v>
      </c>
      <c r="B90" s="32" t="s">
        <v>21</v>
      </c>
      <c r="C90" s="24">
        <v>20.88</v>
      </c>
    </row>
    <row r="91" spans="1:3" hidden="1" x14ac:dyDescent="0.3">
      <c r="A91" s="26">
        <v>45967</v>
      </c>
      <c r="B91" s="34" t="s">
        <v>21</v>
      </c>
      <c r="C91" s="24">
        <v>118.98</v>
      </c>
    </row>
    <row r="92" spans="1:3" hidden="1" x14ac:dyDescent="0.3">
      <c r="A92" s="26">
        <v>45967</v>
      </c>
      <c r="B92" s="27" t="s">
        <v>1</v>
      </c>
      <c r="C92" s="24">
        <v>20.53</v>
      </c>
    </row>
    <row r="93" spans="1:3" hidden="1" x14ac:dyDescent="0.3">
      <c r="A93" s="26">
        <v>45968</v>
      </c>
      <c r="B93" s="27" t="s">
        <v>7</v>
      </c>
      <c r="C93" s="24">
        <v>-102.68</v>
      </c>
    </row>
    <row r="94" spans="1:3" hidden="1" x14ac:dyDescent="0.3">
      <c r="A94" s="26">
        <v>45974</v>
      </c>
      <c r="B94" s="27" t="s">
        <v>7</v>
      </c>
      <c r="C94" s="24">
        <v>-160.38999999999999</v>
      </c>
    </row>
    <row r="95" spans="1:3" hidden="1" x14ac:dyDescent="0.3">
      <c r="A95" s="26">
        <v>45974</v>
      </c>
      <c r="B95" s="27" t="s">
        <v>1</v>
      </c>
      <c r="C95" s="24">
        <v>137.12</v>
      </c>
    </row>
    <row r="96" spans="1:3" hidden="1" x14ac:dyDescent="0.3">
      <c r="A96" s="26">
        <v>45979</v>
      </c>
      <c r="B96" s="27" t="s">
        <v>4</v>
      </c>
      <c r="C96" s="24">
        <v>-143.56</v>
      </c>
    </row>
    <row r="97" spans="1:3" hidden="1" x14ac:dyDescent="0.3">
      <c r="A97" s="26">
        <v>45980</v>
      </c>
      <c r="B97" s="27" t="s">
        <v>4</v>
      </c>
      <c r="C97" s="24">
        <v>-133.16</v>
      </c>
    </row>
    <row r="98" spans="1:3" hidden="1" x14ac:dyDescent="0.3">
      <c r="A98" s="26">
        <v>45981</v>
      </c>
      <c r="B98" s="27" t="s">
        <v>7</v>
      </c>
      <c r="C98" s="24">
        <v>-3.93</v>
      </c>
    </row>
    <row r="99" spans="1:3" x14ac:dyDescent="0.3">
      <c r="A99" s="26">
        <v>45981</v>
      </c>
      <c r="B99" s="27" t="s">
        <v>1</v>
      </c>
      <c r="C99" s="24">
        <v>151.78299999999999</v>
      </c>
    </row>
    <row r="100" spans="1:3" x14ac:dyDescent="0.3">
      <c r="A100" s="26">
        <v>45988</v>
      </c>
      <c r="B100" s="27" t="s">
        <v>1</v>
      </c>
      <c r="C100" s="24">
        <v>110.35</v>
      </c>
    </row>
    <row r="101" spans="1:3" x14ac:dyDescent="0.3">
      <c r="A101" s="26">
        <v>45995</v>
      </c>
      <c r="B101" s="27" t="s">
        <v>4</v>
      </c>
      <c r="C101" s="24">
        <v>-110.35</v>
      </c>
    </row>
    <row r="102" spans="1:3" x14ac:dyDescent="0.3">
      <c r="A102" s="26">
        <v>45995</v>
      </c>
      <c r="B102" s="27" t="s">
        <v>7</v>
      </c>
      <c r="C102" s="24">
        <v>-62.5</v>
      </c>
    </row>
    <row r="103" spans="1:3" x14ac:dyDescent="0.3">
      <c r="A103" s="26">
        <v>45995</v>
      </c>
      <c r="B103" s="27" t="s">
        <v>1</v>
      </c>
      <c r="C103" s="24">
        <v>149.76</v>
      </c>
    </row>
    <row r="104" spans="1:3" x14ac:dyDescent="0.3">
      <c r="A104" s="26">
        <v>46000</v>
      </c>
      <c r="B104" s="27" t="s">
        <v>4</v>
      </c>
      <c r="C104" s="24">
        <v>-72.790000000000006</v>
      </c>
    </row>
    <row r="105" spans="1:3" x14ac:dyDescent="0.3">
      <c r="A105" s="26">
        <v>46002</v>
      </c>
      <c r="B105" s="27" t="s">
        <v>1</v>
      </c>
      <c r="C105" s="24">
        <v>183.99</v>
      </c>
    </row>
    <row r="106" spans="1:3" x14ac:dyDescent="0.3">
      <c r="A106" s="26">
        <v>46004</v>
      </c>
      <c r="B106" s="27" t="s">
        <v>4</v>
      </c>
      <c r="C106" s="24">
        <v>-75</v>
      </c>
    </row>
    <row r="107" spans="1:3" x14ac:dyDescent="0.3">
      <c r="A107" s="26">
        <v>46007</v>
      </c>
      <c r="B107" s="27" t="s">
        <v>4</v>
      </c>
      <c r="C107" s="24">
        <v>-16.510000000000002</v>
      </c>
    </row>
    <row r="108" spans="1:3" x14ac:dyDescent="0.3">
      <c r="A108" s="26">
        <v>46009</v>
      </c>
      <c r="B108" s="27" t="s">
        <v>4</v>
      </c>
      <c r="C108" s="24">
        <v>-149.76</v>
      </c>
    </row>
    <row r="109" spans="1:3" x14ac:dyDescent="0.3">
      <c r="A109" s="26">
        <v>46009</v>
      </c>
      <c r="B109" s="27" t="s">
        <v>1</v>
      </c>
      <c r="C109" s="24">
        <v>215.97</v>
      </c>
    </row>
    <row r="110" spans="1:3" x14ac:dyDescent="0.3">
      <c r="A110" s="26">
        <v>46017</v>
      </c>
      <c r="B110" s="27" t="s">
        <v>4</v>
      </c>
      <c r="C110" s="24">
        <v>-124.96</v>
      </c>
    </row>
    <row r="111" spans="1:3" x14ac:dyDescent="0.3">
      <c r="A111" s="26">
        <v>46020</v>
      </c>
      <c r="B111" s="27" t="s">
        <v>4</v>
      </c>
      <c r="C111" s="24">
        <v>-99.91</v>
      </c>
    </row>
    <row r="112" spans="1:3" x14ac:dyDescent="0.3">
      <c r="A112" s="26">
        <v>46021</v>
      </c>
      <c r="B112" s="27" t="s">
        <v>1</v>
      </c>
      <c r="C112" s="24">
        <v>115.95</v>
      </c>
    </row>
    <row r="113" spans="1:3" x14ac:dyDescent="0.3">
      <c r="A113" s="26">
        <v>46027</v>
      </c>
      <c r="B113" s="27" t="s">
        <v>4</v>
      </c>
      <c r="C113" s="24">
        <v>-90</v>
      </c>
    </row>
    <row r="114" spans="1:3" x14ac:dyDescent="0.3">
      <c r="A114" s="26">
        <v>46030</v>
      </c>
      <c r="B114" s="27" t="s">
        <v>4</v>
      </c>
      <c r="C114" s="24">
        <v>-15.95</v>
      </c>
    </row>
    <row r="115" spans="1:3" x14ac:dyDescent="0.3">
      <c r="A115" s="26">
        <v>46030</v>
      </c>
      <c r="B115" s="27" t="s">
        <v>1</v>
      </c>
      <c r="C115" s="24">
        <v>115.12</v>
      </c>
    </row>
    <row r="116" spans="1:3" x14ac:dyDescent="0.3">
      <c r="A116" s="26">
        <v>46035</v>
      </c>
      <c r="B116" s="27" t="s">
        <v>4</v>
      </c>
      <c r="C116" s="24">
        <v>-51.46</v>
      </c>
    </row>
    <row r="117" spans="1:3" x14ac:dyDescent="0.3">
      <c r="A117" s="26">
        <v>46037</v>
      </c>
      <c r="B117" s="27" t="s">
        <v>1</v>
      </c>
      <c r="C117" s="24">
        <v>113</v>
      </c>
    </row>
    <row r="118" spans="1:3" x14ac:dyDescent="0.3">
      <c r="A118" s="26">
        <v>46037</v>
      </c>
      <c r="B118" s="27" t="s">
        <v>7</v>
      </c>
      <c r="C118" s="24">
        <v>-115.12</v>
      </c>
    </row>
    <row r="119" spans="1:3" x14ac:dyDescent="0.3">
      <c r="A119" s="26">
        <v>46042</v>
      </c>
      <c r="B119" s="27" t="s">
        <v>4</v>
      </c>
      <c r="C119" s="24">
        <v>-58.63</v>
      </c>
    </row>
    <row r="120" spans="1:3" x14ac:dyDescent="0.3">
      <c r="A120" s="26">
        <v>46042</v>
      </c>
      <c r="B120" s="27" t="s">
        <v>4</v>
      </c>
      <c r="C120" s="24">
        <v>-113</v>
      </c>
    </row>
    <row r="121" spans="1:3" x14ac:dyDescent="0.3">
      <c r="A121" s="26">
        <v>46045</v>
      </c>
      <c r="B121" s="27" t="s">
        <v>1</v>
      </c>
      <c r="C121" s="24">
        <v>251.75</v>
      </c>
    </row>
    <row r="122" spans="1:3" x14ac:dyDescent="0.3">
      <c r="A122" s="26">
        <v>46051</v>
      </c>
      <c r="B122" s="27" t="s">
        <v>4</v>
      </c>
      <c r="C122" s="24">
        <v>-100</v>
      </c>
    </row>
    <row r="123" spans="1:3" x14ac:dyDescent="0.3">
      <c r="A123" s="26">
        <v>46051</v>
      </c>
      <c r="B123" s="27" t="s">
        <v>4</v>
      </c>
      <c r="C123" s="24">
        <v>-100</v>
      </c>
    </row>
    <row r="124" spans="1:3" x14ac:dyDescent="0.3">
      <c r="A124" s="26">
        <v>46051</v>
      </c>
      <c r="B124" s="27" t="s">
        <v>1</v>
      </c>
      <c r="C124" s="24">
        <v>189.19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23BB6-6362-4FCE-877F-C4A4CECF7FC2}">
  <dimension ref="A1:H86"/>
  <sheetViews>
    <sheetView view="pageBreakPreview" zoomScale="80" zoomScaleNormal="100" zoomScaleSheetLayoutView="8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353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45848</v>
      </c>
      <c r="B5" s="27" t="s">
        <v>21</v>
      </c>
      <c r="C5" s="24">
        <v>58.69</v>
      </c>
      <c r="D5" s="30"/>
      <c r="E5" s="30"/>
      <c r="F5" s="30"/>
      <c r="G5" s="22"/>
    </row>
    <row r="6" spans="1:8" x14ac:dyDescent="0.3">
      <c r="A6" s="21">
        <v>45855</v>
      </c>
      <c r="B6" s="27" t="s">
        <v>4</v>
      </c>
      <c r="C6" s="24">
        <v>-58.69</v>
      </c>
    </row>
    <row r="7" spans="1:8" x14ac:dyDescent="0.3">
      <c r="A7" s="21"/>
      <c r="B7" s="46"/>
    </row>
    <row r="9" spans="1:8" x14ac:dyDescent="0.3">
      <c r="B9" s="32"/>
    </row>
    <row r="10" spans="1:8" x14ac:dyDescent="0.3">
      <c r="B10" s="34"/>
    </row>
    <row r="12" spans="1:8" x14ac:dyDescent="0.3">
      <c r="B12" s="32"/>
    </row>
    <row r="13" spans="1:8" x14ac:dyDescent="0.3">
      <c r="B13" s="34"/>
    </row>
    <row r="17" spans="2:2" x14ac:dyDescent="0.3">
      <c r="B17" s="32"/>
    </row>
    <row r="18" spans="2:2" x14ac:dyDescent="0.3">
      <c r="B18" s="34"/>
    </row>
    <row r="19" spans="2:2" x14ac:dyDescent="0.3">
      <c r="B19" s="46"/>
    </row>
    <row r="20" spans="2:2" x14ac:dyDescent="0.3">
      <c r="B20" s="32"/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A2FDE-1D4C-43F3-830E-AD8626A42614}">
  <dimension ref="A1:H44"/>
  <sheetViews>
    <sheetView view="pageBreakPreview" zoomScale="80" zoomScaleNormal="100" zoomScaleSheetLayoutView="80" workbookViewId="0">
      <selection activeCell="C45" sqref="C4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393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96.430000000000064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45869</v>
      </c>
      <c r="B5" s="27" t="s">
        <v>21</v>
      </c>
      <c r="C5" s="24">
        <v>20.8</v>
      </c>
      <c r="D5" s="30"/>
      <c r="E5" s="30"/>
      <c r="F5" s="30"/>
      <c r="G5" s="22"/>
    </row>
    <row r="6" spans="1:8" hidden="1" x14ac:dyDescent="0.3">
      <c r="A6" s="21">
        <v>45869</v>
      </c>
      <c r="B6" s="32" t="s">
        <v>1</v>
      </c>
      <c r="C6" s="24">
        <v>9.1999999999999993</v>
      </c>
    </row>
    <row r="7" spans="1:8" hidden="1" x14ac:dyDescent="0.3">
      <c r="A7" s="21">
        <v>45883</v>
      </c>
      <c r="B7" s="27" t="s">
        <v>7</v>
      </c>
      <c r="C7" s="24">
        <v>-30</v>
      </c>
    </row>
    <row r="8" spans="1:8" hidden="1" x14ac:dyDescent="0.3">
      <c r="A8" s="26">
        <v>45898</v>
      </c>
      <c r="B8" s="32" t="s">
        <v>1</v>
      </c>
      <c r="C8" s="24">
        <v>42.39</v>
      </c>
    </row>
    <row r="9" spans="1:8" hidden="1" x14ac:dyDescent="0.3">
      <c r="A9" s="26">
        <v>45904</v>
      </c>
      <c r="B9" s="27" t="s">
        <v>7</v>
      </c>
      <c r="C9" s="24">
        <v>-42.41</v>
      </c>
    </row>
    <row r="10" spans="1:8" hidden="1" x14ac:dyDescent="0.3">
      <c r="A10" s="26">
        <v>45904</v>
      </c>
      <c r="B10" s="32" t="s">
        <v>1</v>
      </c>
      <c r="C10" s="24">
        <v>32.549999999999997</v>
      </c>
    </row>
    <row r="11" spans="1:8" hidden="1" x14ac:dyDescent="0.3">
      <c r="A11" s="26">
        <v>45911</v>
      </c>
      <c r="B11" s="27" t="s">
        <v>7</v>
      </c>
      <c r="C11" s="24">
        <v>-32.58</v>
      </c>
    </row>
    <row r="12" spans="1:8" hidden="1" x14ac:dyDescent="0.3">
      <c r="A12" s="26">
        <v>45911</v>
      </c>
      <c r="B12" s="32" t="s">
        <v>1</v>
      </c>
      <c r="C12" s="24">
        <v>24.2</v>
      </c>
    </row>
    <row r="13" spans="1:8" hidden="1" x14ac:dyDescent="0.3">
      <c r="A13" s="26">
        <v>45920</v>
      </c>
      <c r="B13" s="27" t="s">
        <v>7</v>
      </c>
      <c r="C13" s="24">
        <v>-24.22</v>
      </c>
    </row>
    <row r="14" spans="1:8" hidden="1" x14ac:dyDescent="0.3">
      <c r="A14" s="26">
        <v>45925</v>
      </c>
      <c r="B14" s="32" t="s">
        <v>1</v>
      </c>
      <c r="C14" s="24">
        <v>58.03</v>
      </c>
    </row>
    <row r="15" spans="1:8" hidden="1" x14ac:dyDescent="0.3">
      <c r="A15" s="26">
        <v>45932</v>
      </c>
      <c r="B15" s="27" t="s">
        <v>7</v>
      </c>
      <c r="C15" s="24">
        <v>-57.96</v>
      </c>
    </row>
    <row r="16" spans="1:8" hidden="1" x14ac:dyDescent="0.3">
      <c r="A16" s="26">
        <v>45939</v>
      </c>
      <c r="B16" s="32" t="s">
        <v>1</v>
      </c>
      <c r="C16" s="24">
        <v>40.020000000000003</v>
      </c>
    </row>
    <row r="17" spans="1:3" hidden="1" x14ac:dyDescent="0.3">
      <c r="A17" s="26">
        <v>45946</v>
      </c>
      <c r="B17" s="27" t="s">
        <v>7</v>
      </c>
      <c r="C17" s="24">
        <v>-40.03</v>
      </c>
    </row>
    <row r="18" spans="1:3" hidden="1" x14ac:dyDescent="0.3">
      <c r="A18" s="26">
        <v>45946</v>
      </c>
      <c r="B18" s="34" t="s">
        <v>1</v>
      </c>
      <c r="C18" s="24">
        <v>33.72</v>
      </c>
    </row>
    <row r="19" spans="1:3" hidden="1" x14ac:dyDescent="0.3">
      <c r="A19" s="26">
        <v>45953</v>
      </c>
      <c r="B19" s="27" t="s">
        <v>7</v>
      </c>
      <c r="C19" s="24">
        <v>-33.74</v>
      </c>
    </row>
    <row r="20" spans="1:3" hidden="1" x14ac:dyDescent="0.3">
      <c r="A20" s="26">
        <v>45960</v>
      </c>
      <c r="B20" s="32" t="s">
        <v>1</v>
      </c>
      <c r="C20" s="24">
        <v>41.22</v>
      </c>
    </row>
    <row r="21" spans="1:3" hidden="1" x14ac:dyDescent="0.3">
      <c r="A21" s="26">
        <v>45967</v>
      </c>
      <c r="B21" s="27" t="s">
        <v>7</v>
      </c>
      <c r="C21" s="24">
        <v>-41.25</v>
      </c>
    </row>
    <row r="22" spans="1:3" hidden="1" x14ac:dyDescent="0.3">
      <c r="A22" s="26">
        <v>45967</v>
      </c>
      <c r="B22" s="32" t="s">
        <v>1</v>
      </c>
      <c r="C22" s="24">
        <v>4.5999999999999996</v>
      </c>
    </row>
    <row r="23" spans="1:3" hidden="1" x14ac:dyDescent="0.3">
      <c r="A23" s="26">
        <v>45967</v>
      </c>
      <c r="B23" s="34" t="s">
        <v>1</v>
      </c>
      <c r="C23" s="24">
        <v>46.28</v>
      </c>
    </row>
    <row r="24" spans="1:3" hidden="1" x14ac:dyDescent="0.3">
      <c r="A24" s="26">
        <v>45974</v>
      </c>
      <c r="B24" s="27" t="s">
        <v>7</v>
      </c>
      <c r="C24" s="24">
        <v>-51</v>
      </c>
    </row>
    <row r="25" spans="1:3" hidden="1" x14ac:dyDescent="0.3">
      <c r="A25" s="26">
        <v>45974</v>
      </c>
      <c r="B25" s="27" t="s">
        <v>1</v>
      </c>
      <c r="C25" s="24">
        <v>110.35</v>
      </c>
    </row>
    <row r="26" spans="1:3" hidden="1" x14ac:dyDescent="0.3">
      <c r="A26" s="26">
        <v>45981</v>
      </c>
      <c r="B26" s="27" t="s">
        <v>7</v>
      </c>
      <c r="C26" s="24">
        <v>-110.35</v>
      </c>
    </row>
    <row r="27" spans="1:3" hidden="1" x14ac:dyDescent="0.3">
      <c r="A27" s="26">
        <v>45981</v>
      </c>
      <c r="B27" s="27" t="s">
        <v>1</v>
      </c>
      <c r="C27" s="24">
        <v>129.46</v>
      </c>
    </row>
    <row r="28" spans="1:3" hidden="1" x14ac:dyDescent="0.3">
      <c r="A28" s="26">
        <v>45988</v>
      </c>
      <c r="B28" s="27" t="s">
        <v>4</v>
      </c>
      <c r="C28" s="24">
        <v>-25.4</v>
      </c>
    </row>
    <row r="29" spans="1:3" hidden="1" x14ac:dyDescent="0.3">
      <c r="A29" s="26">
        <v>45988</v>
      </c>
      <c r="B29" s="27" t="s">
        <v>7</v>
      </c>
      <c r="C29" s="24">
        <v>-104.07</v>
      </c>
    </row>
    <row r="30" spans="1:3" x14ac:dyDescent="0.3">
      <c r="A30" s="26">
        <v>45988</v>
      </c>
      <c r="B30" s="27" t="s">
        <v>1</v>
      </c>
      <c r="C30" s="24">
        <v>81.7</v>
      </c>
    </row>
    <row r="31" spans="1:3" x14ac:dyDescent="0.3">
      <c r="A31" s="26">
        <v>45995</v>
      </c>
      <c r="B31" s="27" t="s">
        <v>7</v>
      </c>
      <c r="C31" s="24">
        <v>-81.709999999999994</v>
      </c>
    </row>
    <row r="32" spans="1:3" x14ac:dyDescent="0.3">
      <c r="A32" s="26">
        <v>45995</v>
      </c>
      <c r="B32" s="27" t="s">
        <v>1</v>
      </c>
      <c r="C32" s="24">
        <v>112.45</v>
      </c>
    </row>
    <row r="33" spans="1:3" x14ac:dyDescent="0.3">
      <c r="A33" s="26">
        <v>46003</v>
      </c>
      <c r="B33" s="27" t="s">
        <v>7</v>
      </c>
      <c r="C33" s="24">
        <v>-112.46</v>
      </c>
    </row>
    <row r="34" spans="1:3" x14ac:dyDescent="0.3">
      <c r="A34" s="26">
        <v>46003</v>
      </c>
      <c r="B34" s="27" t="s">
        <v>1</v>
      </c>
      <c r="C34" s="24">
        <v>113.91</v>
      </c>
    </row>
    <row r="35" spans="1:3" x14ac:dyDescent="0.3">
      <c r="A35" s="26">
        <v>46010</v>
      </c>
      <c r="B35" s="27" t="s">
        <v>7</v>
      </c>
      <c r="C35" s="24">
        <v>-114.28</v>
      </c>
    </row>
    <row r="36" spans="1:3" x14ac:dyDescent="0.3">
      <c r="A36" s="26">
        <v>46010</v>
      </c>
      <c r="B36" s="27" t="s">
        <v>1</v>
      </c>
      <c r="C36" s="24">
        <v>91.32</v>
      </c>
    </row>
    <row r="37" spans="1:3" x14ac:dyDescent="0.3">
      <c r="A37" s="26">
        <v>46017</v>
      </c>
      <c r="B37" s="27" t="s">
        <v>7</v>
      </c>
      <c r="C37" s="24">
        <v>-90.8</v>
      </c>
    </row>
    <row r="38" spans="1:3" x14ac:dyDescent="0.3">
      <c r="A38" s="26">
        <v>46017</v>
      </c>
      <c r="B38" s="27" t="s">
        <v>1</v>
      </c>
      <c r="C38" s="24">
        <v>79.87</v>
      </c>
    </row>
    <row r="39" spans="1:3" x14ac:dyDescent="0.3">
      <c r="A39" s="26">
        <v>46030</v>
      </c>
      <c r="B39" s="27" t="s">
        <v>1</v>
      </c>
      <c r="C39" s="24">
        <v>132.87</v>
      </c>
    </row>
    <row r="40" spans="1:3" x14ac:dyDescent="0.3">
      <c r="A40" s="26">
        <v>46030</v>
      </c>
      <c r="B40" s="27" t="s">
        <v>7</v>
      </c>
      <c r="C40" s="24">
        <v>-79.81</v>
      </c>
    </row>
    <row r="41" spans="1:3" x14ac:dyDescent="0.3">
      <c r="A41" s="26">
        <v>46037</v>
      </c>
      <c r="B41" s="27" t="s">
        <v>1</v>
      </c>
      <c r="C41" s="24">
        <v>59.6</v>
      </c>
    </row>
    <row r="42" spans="1:3" x14ac:dyDescent="0.3">
      <c r="A42" s="26">
        <v>46037</v>
      </c>
      <c r="B42" s="27" t="s">
        <v>7</v>
      </c>
      <c r="C42" s="24">
        <v>-132.88</v>
      </c>
    </row>
    <row r="43" spans="1:3" x14ac:dyDescent="0.3">
      <c r="A43" s="26">
        <v>46044</v>
      </c>
      <c r="B43" s="27" t="s">
        <v>1</v>
      </c>
      <c r="C43" s="24">
        <v>96.84</v>
      </c>
    </row>
    <row r="44" spans="1:3" x14ac:dyDescent="0.3">
      <c r="A44" s="26">
        <v>46045</v>
      </c>
      <c r="B44" s="27" t="s">
        <v>4</v>
      </c>
      <c r="C44" s="24">
        <v>-60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33467-7F4E-46E5-BDEB-EA11563387FC}">
  <dimension ref="A1:H30"/>
  <sheetViews>
    <sheetView view="pageBreakPreview" zoomScale="80" zoomScaleNormal="100" zoomScaleSheetLayoutView="80" workbookViewId="0">
      <selection activeCell="C31" sqref="C31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433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434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13.419999999999995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6">
        <v>45910</v>
      </c>
      <c r="B5" s="34" t="s">
        <v>21</v>
      </c>
      <c r="C5" s="24">
        <v>44.28</v>
      </c>
      <c r="D5" s="30"/>
      <c r="E5" s="30"/>
      <c r="F5" s="30"/>
      <c r="G5" s="22"/>
    </row>
    <row r="6" spans="1:8" hidden="1" x14ac:dyDescent="0.3">
      <c r="A6" s="26">
        <v>45917</v>
      </c>
      <c r="B6" s="27" t="s">
        <v>4</v>
      </c>
      <c r="C6" s="24">
        <v>-44.28</v>
      </c>
    </row>
    <row r="7" spans="1:8" hidden="1" x14ac:dyDescent="0.3">
      <c r="A7" s="26">
        <v>45917</v>
      </c>
      <c r="B7" s="35" t="s">
        <v>1</v>
      </c>
      <c r="C7" s="24">
        <v>15</v>
      </c>
    </row>
    <row r="8" spans="1:8" hidden="1" x14ac:dyDescent="0.3">
      <c r="A8" s="26">
        <v>45917</v>
      </c>
      <c r="B8" s="34" t="s">
        <v>21</v>
      </c>
      <c r="C8" s="24">
        <v>51.25</v>
      </c>
    </row>
    <row r="9" spans="1:8" hidden="1" x14ac:dyDescent="0.3">
      <c r="A9" s="26">
        <v>45924</v>
      </c>
      <c r="B9" s="27" t="s">
        <v>7</v>
      </c>
      <c r="C9" s="24">
        <v>-66.150000000000006</v>
      </c>
    </row>
    <row r="10" spans="1:8" hidden="1" x14ac:dyDescent="0.3">
      <c r="A10" s="26">
        <v>45924</v>
      </c>
      <c r="B10" s="35" t="s">
        <v>1</v>
      </c>
      <c r="C10" s="24">
        <v>12.4</v>
      </c>
    </row>
    <row r="11" spans="1:8" hidden="1" x14ac:dyDescent="0.3">
      <c r="A11" s="26">
        <v>45924</v>
      </c>
      <c r="B11" s="34" t="s">
        <v>21</v>
      </c>
      <c r="C11" s="24">
        <v>12.01</v>
      </c>
    </row>
    <row r="12" spans="1:8" hidden="1" x14ac:dyDescent="0.3">
      <c r="A12" s="26">
        <v>45932</v>
      </c>
      <c r="B12" s="31" t="s">
        <v>4</v>
      </c>
      <c r="C12" s="24">
        <v>-24.52</v>
      </c>
    </row>
    <row r="13" spans="1:8" hidden="1" x14ac:dyDescent="0.3">
      <c r="A13" s="26">
        <v>45938</v>
      </c>
      <c r="B13" s="35" t="s">
        <v>1</v>
      </c>
      <c r="C13" s="24">
        <v>12.1</v>
      </c>
    </row>
    <row r="14" spans="1:8" hidden="1" x14ac:dyDescent="0.3">
      <c r="A14" s="26">
        <v>45938</v>
      </c>
      <c r="B14" s="34" t="s">
        <v>21</v>
      </c>
      <c r="C14" s="24">
        <v>33.630000000000003</v>
      </c>
    </row>
    <row r="15" spans="1:8" hidden="1" x14ac:dyDescent="0.3">
      <c r="A15" s="26">
        <v>45945</v>
      </c>
      <c r="B15" s="27" t="s">
        <v>7</v>
      </c>
      <c r="C15" s="24">
        <v>-45.73</v>
      </c>
    </row>
    <row r="16" spans="1:8" hidden="1" x14ac:dyDescent="0.3">
      <c r="A16" s="26">
        <v>45967</v>
      </c>
      <c r="B16" s="35" t="s">
        <v>1</v>
      </c>
      <c r="C16" s="24">
        <v>19.600000000000001</v>
      </c>
    </row>
    <row r="17" spans="1:3" hidden="1" x14ac:dyDescent="0.3">
      <c r="A17" s="26">
        <v>45967</v>
      </c>
      <c r="B17" s="34" t="s">
        <v>21</v>
      </c>
      <c r="C17" s="24">
        <v>111.97</v>
      </c>
    </row>
    <row r="18" spans="1:3" hidden="1" x14ac:dyDescent="0.3">
      <c r="A18" s="26">
        <v>45973</v>
      </c>
      <c r="B18" s="27" t="s">
        <v>4</v>
      </c>
      <c r="C18" s="24">
        <v>-131.56</v>
      </c>
    </row>
    <row r="19" spans="1:3" hidden="1" x14ac:dyDescent="0.3">
      <c r="A19" s="26">
        <v>45973</v>
      </c>
      <c r="B19" s="27" t="s">
        <v>1</v>
      </c>
      <c r="C19" s="24">
        <v>24.24</v>
      </c>
    </row>
    <row r="20" spans="1:3" hidden="1" x14ac:dyDescent="0.3">
      <c r="A20" s="26">
        <v>45980</v>
      </c>
      <c r="B20" s="27" t="s">
        <v>4</v>
      </c>
      <c r="C20" s="24">
        <v>-24.24</v>
      </c>
    </row>
    <row r="21" spans="1:3" x14ac:dyDescent="0.3">
      <c r="A21" s="26">
        <v>45981</v>
      </c>
      <c r="B21" s="27" t="s">
        <v>1</v>
      </c>
      <c r="C21" s="24">
        <v>35.18</v>
      </c>
    </row>
    <row r="22" spans="1:3" x14ac:dyDescent="0.3">
      <c r="A22" s="26">
        <v>45987</v>
      </c>
      <c r="B22" s="27" t="s">
        <v>4</v>
      </c>
      <c r="C22" s="24">
        <v>-35.18</v>
      </c>
    </row>
    <row r="23" spans="1:3" x14ac:dyDescent="0.3">
      <c r="A23" s="26">
        <v>45995</v>
      </c>
      <c r="B23" s="27" t="s">
        <v>1</v>
      </c>
      <c r="C23" s="24">
        <v>31</v>
      </c>
    </row>
    <row r="24" spans="1:3" x14ac:dyDescent="0.3">
      <c r="A24" s="26">
        <v>46002</v>
      </c>
      <c r="B24" s="27" t="s">
        <v>1</v>
      </c>
      <c r="C24" s="24">
        <v>33.97</v>
      </c>
    </row>
    <row r="25" spans="1:3" x14ac:dyDescent="0.3">
      <c r="A25" s="26">
        <v>46009</v>
      </c>
      <c r="B25" s="27" t="s">
        <v>4</v>
      </c>
      <c r="C25" s="24">
        <v>-65</v>
      </c>
    </row>
    <row r="26" spans="1:3" x14ac:dyDescent="0.3">
      <c r="A26" s="26">
        <v>46029</v>
      </c>
      <c r="B26" s="27" t="s">
        <v>1</v>
      </c>
      <c r="C26" s="24">
        <v>44.01</v>
      </c>
    </row>
    <row r="27" spans="1:3" x14ac:dyDescent="0.3">
      <c r="A27" s="26">
        <v>46037</v>
      </c>
      <c r="B27" s="27" t="s">
        <v>1</v>
      </c>
      <c r="C27" s="24">
        <v>29.2</v>
      </c>
    </row>
    <row r="28" spans="1:3" x14ac:dyDescent="0.3">
      <c r="A28" s="26">
        <v>46042</v>
      </c>
      <c r="B28" s="27" t="s">
        <v>4</v>
      </c>
      <c r="C28" s="24">
        <v>-44.01</v>
      </c>
    </row>
    <row r="29" spans="1:3" x14ac:dyDescent="0.3">
      <c r="A29" s="26">
        <v>46043</v>
      </c>
      <c r="B29" s="27" t="s">
        <v>4</v>
      </c>
      <c r="C29" s="24">
        <v>-29.2</v>
      </c>
    </row>
    <row r="30" spans="1:3" x14ac:dyDescent="0.3">
      <c r="A30" s="26">
        <v>46044</v>
      </c>
      <c r="B30" s="27" t="s">
        <v>1</v>
      </c>
      <c r="C30" s="24">
        <v>13.45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444BC-92DD-41C8-B6AC-C1B60B914E0D}">
  <dimension ref="A1:H33"/>
  <sheetViews>
    <sheetView view="pageBreakPreview" zoomScale="80" zoomScaleNormal="100" zoomScaleSheetLayoutView="80" workbookViewId="0">
      <selection activeCell="C34" sqref="C34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361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362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29.520000000000017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6">
        <v>45853</v>
      </c>
      <c r="B5" s="27" t="s">
        <v>1</v>
      </c>
      <c r="C5" s="24">
        <v>180</v>
      </c>
      <c r="D5" s="30"/>
      <c r="E5" s="30"/>
      <c r="F5" s="30"/>
      <c r="G5" s="22"/>
    </row>
    <row r="6" spans="1:8" hidden="1" x14ac:dyDescent="0.3">
      <c r="A6" s="26">
        <v>45853</v>
      </c>
      <c r="B6" s="35" t="s">
        <v>1</v>
      </c>
      <c r="C6" s="24">
        <v>9.1999999999999993</v>
      </c>
    </row>
    <row r="7" spans="1:8" hidden="1" x14ac:dyDescent="0.3">
      <c r="A7" s="26">
        <v>45853</v>
      </c>
      <c r="B7" s="34" t="s">
        <v>1</v>
      </c>
      <c r="C7" s="24">
        <v>39.06</v>
      </c>
    </row>
    <row r="8" spans="1:8" hidden="1" x14ac:dyDescent="0.3">
      <c r="A8" s="26">
        <v>45861</v>
      </c>
      <c r="B8" s="27" t="s">
        <v>4</v>
      </c>
      <c r="C8" s="24">
        <v>-46.5</v>
      </c>
    </row>
    <row r="9" spans="1:8" hidden="1" x14ac:dyDescent="0.3">
      <c r="A9" s="26">
        <v>45873</v>
      </c>
      <c r="B9" s="27" t="s">
        <v>4</v>
      </c>
      <c r="C9" s="24">
        <v>-47.51</v>
      </c>
    </row>
    <row r="10" spans="1:8" hidden="1" x14ac:dyDescent="0.3">
      <c r="A10" s="26">
        <v>45873</v>
      </c>
      <c r="B10" s="27" t="s">
        <v>4</v>
      </c>
      <c r="C10" s="24">
        <v>-21.38</v>
      </c>
    </row>
    <row r="11" spans="1:8" hidden="1" x14ac:dyDescent="0.3">
      <c r="A11" s="26">
        <v>45877</v>
      </c>
      <c r="B11" s="27" t="s">
        <v>4</v>
      </c>
      <c r="C11" s="24">
        <v>-46.13</v>
      </c>
    </row>
    <row r="12" spans="1:8" hidden="1" x14ac:dyDescent="0.3">
      <c r="A12" s="26">
        <v>45881</v>
      </c>
      <c r="B12" s="31" t="s">
        <v>7</v>
      </c>
      <c r="C12" s="24">
        <v>-47</v>
      </c>
    </row>
    <row r="13" spans="1:8" hidden="1" x14ac:dyDescent="0.3">
      <c r="A13" s="26">
        <v>45881</v>
      </c>
      <c r="B13" s="27" t="s">
        <v>1</v>
      </c>
      <c r="C13" s="24">
        <v>161.6</v>
      </c>
    </row>
    <row r="14" spans="1:8" hidden="1" x14ac:dyDescent="0.3">
      <c r="A14" s="26">
        <v>45882</v>
      </c>
      <c r="B14" s="27" t="s">
        <v>4</v>
      </c>
      <c r="C14" s="24">
        <v>-7.59</v>
      </c>
    </row>
    <row r="15" spans="1:8" hidden="1" x14ac:dyDescent="0.3">
      <c r="A15" s="26">
        <v>45882</v>
      </c>
      <c r="B15" s="27" t="s">
        <v>4</v>
      </c>
      <c r="C15" s="24">
        <v>-12.07</v>
      </c>
    </row>
    <row r="16" spans="1:8" hidden="1" x14ac:dyDescent="0.3">
      <c r="A16" s="26">
        <v>45887</v>
      </c>
      <c r="B16" s="27" t="s">
        <v>4</v>
      </c>
      <c r="C16" s="24">
        <v>-73.05</v>
      </c>
    </row>
    <row r="17" spans="1:3" hidden="1" x14ac:dyDescent="0.3">
      <c r="A17" s="26">
        <v>45889</v>
      </c>
      <c r="B17" s="27" t="s">
        <v>4</v>
      </c>
      <c r="C17" s="24">
        <v>-22</v>
      </c>
    </row>
    <row r="18" spans="1:3" hidden="1" x14ac:dyDescent="0.3">
      <c r="A18" s="26">
        <v>45895</v>
      </c>
      <c r="B18" s="27" t="s">
        <v>4</v>
      </c>
      <c r="C18" s="24">
        <v>-60.12</v>
      </c>
    </row>
    <row r="19" spans="1:3" hidden="1" x14ac:dyDescent="0.3">
      <c r="A19" s="26">
        <v>45895</v>
      </c>
      <c r="B19" s="27" t="s">
        <v>7</v>
      </c>
      <c r="C19" s="24">
        <v>-6.51</v>
      </c>
    </row>
    <row r="20" spans="1:3" hidden="1" x14ac:dyDescent="0.3">
      <c r="A20" s="26">
        <v>45895</v>
      </c>
      <c r="B20" s="27" t="s">
        <v>1</v>
      </c>
      <c r="C20" s="24">
        <v>78.400000000000006</v>
      </c>
    </row>
    <row r="21" spans="1:3" hidden="1" x14ac:dyDescent="0.3">
      <c r="A21" s="26">
        <v>45895</v>
      </c>
      <c r="B21" s="35" t="s">
        <v>1</v>
      </c>
      <c r="C21" s="24">
        <v>43.03</v>
      </c>
    </row>
    <row r="22" spans="1:3" hidden="1" x14ac:dyDescent="0.3">
      <c r="A22" s="26">
        <v>45902</v>
      </c>
      <c r="B22" s="27" t="s">
        <v>4</v>
      </c>
      <c r="C22" s="24">
        <v>-40.14</v>
      </c>
    </row>
    <row r="23" spans="1:3" hidden="1" x14ac:dyDescent="0.3">
      <c r="A23" s="26">
        <v>45902</v>
      </c>
      <c r="B23" s="27" t="s">
        <v>4</v>
      </c>
      <c r="C23" s="24">
        <v>-53.52</v>
      </c>
    </row>
    <row r="24" spans="1:3" hidden="1" x14ac:dyDescent="0.3">
      <c r="A24" s="26">
        <v>45916</v>
      </c>
      <c r="B24" s="27" t="s">
        <v>4</v>
      </c>
      <c r="C24" s="24">
        <v>-18.07</v>
      </c>
    </row>
    <row r="25" spans="1:3" hidden="1" x14ac:dyDescent="0.3">
      <c r="A25" s="26">
        <v>45916</v>
      </c>
      <c r="B25" s="27" t="s">
        <v>7</v>
      </c>
      <c r="C25" s="24">
        <v>-9.6999999999999993</v>
      </c>
    </row>
    <row r="26" spans="1:3" x14ac:dyDescent="0.3">
      <c r="A26" s="26">
        <v>45916</v>
      </c>
      <c r="B26" s="27" t="s">
        <v>1</v>
      </c>
      <c r="C26" s="24">
        <v>78.400000000000006</v>
      </c>
    </row>
    <row r="27" spans="1:3" x14ac:dyDescent="0.3">
      <c r="A27" s="26">
        <v>45916</v>
      </c>
      <c r="B27" s="35" t="s">
        <v>1</v>
      </c>
      <c r="C27" s="24">
        <v>31.7</v>
      </c>
    </row>
    <row r="28" spans="1:3" x14ac:dyDescent="0.3">
      <c r="A28" s="26">
        <v>45931</v>
      </c>
      <c r="B28" s="27" t="s">
        <v>4</v>
      </c>
      <c r="C28" s="24">
        <v>-27.87</v>
      </c>
    </row>
    <row r="29" spans="1:3" x14ac:dyDescent="0.3">
      <c r="A29" s="26">
        <v>45933</v>
      </c>
      <c r="B29" s="27" t="s">
        <v>4</v>
      </c>
      <c r="C29" s="24">
        <v>-38.22</v>
      </c>
    </row>
    <row r="30" spans="1:3" x14ac:dyDescent="0.3">
      <c r="A30" s="26">
        <v>45951</v>
      </c>
      <c r="B30" s="27" t="s">
        <v>4</v>
      </c>
      <c r="C30" s="24">
        <v>-33.67</v>
      </c>
    </row>
    <row r="31" spans="1:3" x14ac:dyDescent="0.3">
      <c r="A31" s="26">
        <v>45951</v>
      </c>
      <c r="B31" s="27" t="s">
        <v>4</v>
      </c>
      <c r="C31" s="24">
        <v>-4.8099999999999996</v>
      </c>
    </row>
    <row r="32" spans="1:3" x14ac:dyDescent="0.3">
      <c r="A32" s="26">
        <v>46049</v>
      </c>
      <c r="B32" s="27" t="s">
        <v>4</v>
      </c>
      <c r="C32" s="24">
        <v>-5.53</v>
      </c>
    </row>
    <row r="33" spans="1:3" x14ac:dyDescent="0.3">
      <c r="A33" s="26">
        <v>46049</v>
      </c>
      <c r="B33" s="27" t="s">
        <v>1</v>
      </c>
      <c r="C33" s="24">
        <v>29.52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625B7-D030-447E-AEEC-07C3418249DB}">
  <sheetPr codeName="Hoja22"/>
  <dimension ref="A1:H92"/>
  <sheetViews>
    <sheetView view="pageBreakPreview" zoomScale="70" zoomScaleNormal="100" zoomScaleSheetLayoutView="70" workbookViewId="0">
      <selection activeCell="C93" sqref="C9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124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129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441.91999999999973</v>
      </c>
      <c r="D3" s="20">
        <f>SUM(D$4:D$1048576)</f>
        <v>0</v>
      </c>
      <c r="E3" s="20">
        <f>SUM(E$5:E$1048576)</f>
        <v>0</v>
      </c>
      <c r="F3" s="20">
        <f>SUM(F$5:F$1048576)</f>
        <v>-1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6">
        <v>45815</v>
      </c>
      <c r="B5" s="32" t="s">
        <v>21</v>
      </c>
      <c r="C5" s="24">
        <v>9.84</v>
      </c>
      <c r="D5" s="30"/>
      <c r="E5" s="30"/>
      <c r="F5" s="30"/>
      <c r="G5" s="22"/>
    </row>
    <row r="6" spans="1:8" hidden="1" x14ac:dyDescent="0.3">
      <c r="A6" s="26">
        <v>45815</v>
      </c>
      <c r="B6" s="34" t="s">
        <v>21</v>
      </c>
      <c r="C6" s="24">
        <v>93.84</v>
      </c>
    </row>
    <row r="7" spans="1:8" hidden="1" x14ac:dyDescent="0.3">
      <c r="A7" s="26">
        <v>45821</v>
      </c>
      <c r="B7" s="27" t="s">
        <v>4</v>
      </c>
      <c r="C7" s="24">
        <v>-70</v>
      </c>
    </row>
    <row r="8" spans="1:8" hidden="1" x14ac:dyDescent="0.3">
      <c r="A8" s="26">
        <v>45821</v>
      </c>
      <c r="B8" s="32" t="s">
        <v>21</v>
      </c>
      <c r="C8" s="24">
        <v>41.54</v>
      </c>
    </row>
    <row r="9" spans="1:8" hidden="1" x14ac:dyDescent="0.3">
      <c r="A9" s="26">
        <v>45821</v>
      </c>
      <c r="B9" s="34" t="s">
        <v>21</v>
      </c>
      <c r="C9" s="24">
        <v>243.06</v>
      </c>
    </row>
    <row r="10" spans="1:8" hidden="1" x14ac:dyDescent="0.3">
      <c r="A10" s="26">
        <v>45827</v>
      </c>
      <c r="B10" s="31" t="s">
        <v>4</v>
      </c>
      <c r="C10" s="24">
        <v>-269.92</v>
      </c>
    </row>
    <row r="11" spans="1:8" hidden="1" x14ac:dyDescent="0.3">
      <c r="A11" s="26">
        <v>45828</v>
      </c>
      <c r="B11" s="34" t="s">
        <v>21</v>
      </c>
      <c r="C11" s="24">
        <v>191.19</v>
      </c>
    </row>
    <row r="12" spans="1:8" hidden="1" x14ac:dyDescent="0.3">
      <c r="A12" s="26">
        <v>45842</v>
      </c>
      <c r="B12" s="31" t="s">
        <v>4</v>
      </c>
      <c r="C12" s="24">
        <v>-212.56</v>
      </c>
    </row>
    <row r="13" spans="1:8" hidden="1" x14ac:dyDescent="0.3">
      <c r="A13" s="26">
        <v>45845</v>
      </c>
      <c r="B13" s="27" t="s">
        <v>4</v>
      </c>
      <c r="C13" s="24">
        <v>-26.99</v>
      </c>
    </row>
    <row r="14" spans="1:8" hidden="1" x14ac:dyDescent="0.3">
      <c r="A14" s="26">
        <v>45842</v>
      </c>
      <c r="B14" s="32" t="s">
        <v>21</v>
      </c>
      <c r="C14" s="24">
        <v>15.85</v>
      </c>
    </row>
    <row r="15" spans="1:8" hidden="1" x14ac:dyDescent="0.3">
      <c r="A15" s="26">
        <v>45842</v>
      </c>
      <c r="B15" s="34" t="s">
        <v>21</v>
      </c>
      <c r="C15" s="24">
        <v>234.64</v>
      </c>
    </row>
    <row r="16" spans="1:8" hidden="1" x14ac:dyDescent="0.3">
      <c r="A16" s="26">
        <v>45849</v>
      </c>
      <c r="B16" s="32" t="s">
        <v>21</v>
      </c>
      <c r="C16" s="24">
        <v>15.85</v>
      </c>
    </row>
    <row r="17" spans="1:4" hidden="1" x14ac:dyDescent="0.3">
      <c r="A17" s="26">
        <v>45849</v>
      </c>
      <c r="B17" s="34" t="s">
        <v>21</v>
      </c>
      <c r="C17" s="24">
        <v>179.56</v>
      </c>
    </row>
    <row r="18" spans="1:4" hidden="1" x14ac:dyDescent="0.3">
      <c r="A18" s="26">
        <v>45849</v>
      </c>
      <c r="B18" s="46" t="s">
        <v>21</v>
      </c>
      <c r="C18" s="24">
        <v>40.159999999999997</v>
      </c>
    </row>
    <row r="19" spans="1:4" hidden="1" x14ac:dyDescent="0.3">
      <c r="A19" s="26">
        <v>45852</v>
      </c>
      <c r="B19" s="27" t="s">
        <v>4</v>
      </c>
      <c r="C19" s="24">
        <v>-159.63999999999999</v>
      </c>
    </row>
    <row r="20" spans="1:4" hidden="1" x14ac:dyDescent="0.3">
      <c r="A20" s="26">
        <v>45859</v>
      </c>
      <c r="B20" s="27" t="s">
        <v>4</v>
      </c>
      <c r="C20" s="24">
        <v>-210</v>
      </c>
    </row>
    <row r="21" spans="1:4" hidden="1" x14ac:dyDescent="0.3">
      <c r="A21" s="26">
        <v>45856</v>
      </c>
      <c r="B21" s="34" t="s">
        <v>21</v>
      </c>
      <c r="C21" s="24">
        <v>42.12</v>
      </c>
    </row>
    <row r="22" spans="1:4" hidden="1" x14ac:dyDescent="0.3">
      <c r="A22" s="26">
        <v>45862</v>
      </c>
      <c r="B22" s="27" t="s">
        <v>4</v>
      </c>
      <c r="C22" s="24">
        <v>-158.57</v>
      </c>
    </row>
    <row r="23" spans="1:4" hidden="1" x14ac:dyDescent="0.3">
      <c r="A23" s="26">
        <v>45863</v>
      </c>
      <c r="B23" s="32" t="s">
        <v>21</v>
      </c>
      <c r="C23" s="24">
        <v>15.85</v>
      </c>
    </row>
    <row r="24" spans="1:4" hidden="1" x14ac:dyDescent="0.3">
      <c r="A24" s="26">
        <v>45863</v>
      </c>
      <c r="B24" s="34" t="s">
        <v>21</v>
      </c>
      <c r="C24" s="24">
        <v>125.41</v>
      </c>
    </row>
    <row r="25" spans="1:4" hidden="1" x14ac:dyDescent="0.3">
      <c r="A25" s="26">
        <v>45863</v>
      </c>
      <c r="B25" s="46" t="s">
        <v>21</v>
      </c>
      <c r="C25" s="24">
        <v>10.8</v>
      </c>
    </row>
    <row r="26" spans="1:4" hidden="1" x14ac:dyDescent="0.3">
      <c r="A26" s="26">
        <v>45870</v>
      </c>
      <c r="B26" s="27" t="s">
        <v>4</v>
      </c>
      <c r="C26" s="24">
        <v>-112.03</v>
      </c>
    </row>
    <row r="27" spans="1:4" hidden="1" x14ac:dyDescent="0.3">
      <c r="A27" s="26">
        <v>45870</v>
      </c>
      <c r="B27" s="32" t="s">
        <v>21</v>
      </c>
      <c r="C27" s="24">
        <v>22.5</v>
      </c>
    </row>
    <row r="28" spans="1:4" hidden="1" x14ac:dyDescent="0.3">
      <c r="A28" s="26">
        <v>45870</v>
      </c>
      <c r="B28" s="34" t="s">
        <v>21</v>
      </c>
      <c r="C28" s="24">
        <v>143.9</v>
      </c>
    </row>
    <row r="29" spans="1:4" hidden="1" x14ac:dyDescent="0.3">
      <c r="A29" s="26">
        <v>45877</v>
      </c>
      <c r="B29" s="34" t="s">
        <v>21</v>
      </c>
      <c r="C29" s="24">
        <v>131.22</v>
      </c>
    </row>
    <row r="30" spans="1:4" hidden="1" x14ac:dyDescent="0.3">
      <c r="A30" s="26">
        <v>45877</v>
      </c>
      <c r="B30" s="46" t="s">
        <v>21</v>
      </c>
      <c r="C30" s="24">
        <v>12.84</v>
      </c>
    </row>
    <row r="31" spans="1:4" hidden="1" x14ac:dyDescent="0.3">
      <c r="A31" s="26">
        <v>45884</v>
      </c>
      <c r="B31" s="27" t="s">
        <v>4</v>
      </c>
      <c r="C31" s="24">
        <v>-350.46</v>
      </c>
    </row>
    <row r="32" spans="1:4" hidden="1" x14ac:dyDescent="0.3">
      <c r="A32" s="26">
        <v>45884</v>
      </c>
      <c r="B32" s="32" t="s">
        <v>21</v>
      </c>
      <c r="C32" s="24">
        <v>47.55</v>
      </c>
      <c r="D32" s="25">
        <v>2</v>
      </c>
    </row>
    <row r="33" spans="1:4" hidden="1" x14ac:dyDescent="0.3">
      <c r="A33" s="26">
        <v>45884</v>
      </c>
      <c r="B33" s="34" t="s">
        <v>21</v>
      </c>
      <c r="C33" s="24">
        <v>147.71</v>
      </c>
    </row>
    <row r="34" spans="1:4" hidden="1" x14ac:dyDescent="0.3">
      <c r="A34" s="26">
        <v>45884</v>
      </c>
      <c r="B34" s="46" t="s">
        <v>21</v>
      </c>
      <c r="C34" s="24">
        <v>5.93</v>
      </c>
    </row>
    <row r="35" spans="1:4" hidden="1" x14ac:dyDescent="0.3">
      <c r="A35" s="26">
        <v>45891</v>
      </c>
      <c r="B35" s="32" t="s">
        <v>21</v>
      </c>
      <c r="C35" s="24">
        <v>19.68</v>
      </c>
    </row>
    <row r="36" spans="1:4" hidden="1" x14ac:dyDescent="0.3">
      <c r="A36" s="26">
        <v>45891</v>
      </c>
      <c r="B36" s="34" t="s">
        <v>21</v>
      </c>
      <c r="C36" s="24">
        <v>174.32</v>
      </c>
    </row>
    <row r="37" spans="1:4" hidden="1" x14ac:dyDescent="0.3">
      <c r="A37" s="26">
        <v>45897</v>
      </c>
      <c r="B37" s="27" t="s">
        <v>4</v>
      </c>
      <c r="C37" s="24">
        <v>-285</v>
      </c>
    </row>
    <row r="38" spans="1:4" hidden="1" x14ac:dyDescent="0.3">
      <c r="A38" s="26">
        <v>45898</v>
      </c>
      <c r="B38" s="32" t="s">
        <v>21</v>
      </c>
      <c r="C38" s="24">
        <v>9.84</v>
      </c>
    </row>
    <row r="39" spans="1:4" hidden="1" x14ac:dyDescent="0.3">
      <c r="A39" s="26">
        <v>45898</v>
      </c>
      <c r="B39" s="34" t="s">
        <v>21</v>
      </c>
      <c r="C39" s="24">
        <v>282.74</v>
      </c>
    </row>
    <row r="40" spans="1:4" hidden="1" x14ac:dyDescent="0.3">
      <c r="A40" s="26">
        <v>45905</v>
      </c>
      <c r="B40" s="27" t="s">
        <v>4</v>
      </c>
      <c r="C40" s="24">
        <v>-372.77</v>
      </c>
    </row>
    <row r="41" spans="1:4" hidden="1" x14ac:dyDescent="0.3">
      <c r="A41" s="26">
        <v>45905</v>
      </c>
      <c r="B41" s="32" t="s">
        <v>21</v>
      </c>
      <c r="C41" s="24">
        <v>27.18</v>
      </c>
      <c r="D41" s="25">
        <v>-1</v>
      </c>
    </row>
    <row r="42" spans="1:4" hidden="1" x14ac:dyDescent="0.3">
      <c r="A42" s="26">
        <v>45905</v>
      </c>
      <c r="B42" s="34" t="s">
        <v>21</v>
      </c>
      <c r="C42" s="24">
        <v>127.22</v>
      </c>
    </row>
    <row r="43" spans="1:4" hidden="1" x14ac:dyDescent="0.3">
      <c r="A43" s="26">
        <v>45905</v>
      </c>
      <c r="B43" s="46" t="s">
        <v>21</v>
      </c>
      <c r="C43" s="24">
        <v>8.76</v>
      </c>
    </row>
    <row r="44" spans="1:4" hidden="1" x14ac:dyDescent="0.3">
      <c r="A44" s="26">
        <v>45912</v>
      </c>
      <c r="B44" s="27" t="s">
        <v>4</v>
      </c>
      <c r="C44" s="24">
        <v>-193.16</v>
      </c>
    </row>
    <row r="45" spans="1:4" hidden="1" x14ac:dyDescent="0.3">
      <c r="A45" s="26">
        <v>45912</v>
      </c>
      <c r="B45" s="32" t="s">
        <v>21</v>
      </c>
      <c r="C45" s="24">
        <v>40.700000000000003</v>
      </c>
    </row>
    <row r="46" spans="1:4" hidden="1" x14ac:dyDescent="0.3">
      <c r="A46" s="26">
        <v>45912</v>
      </c>
      <c r="B46" s="34" t="s">
        <v>21</v>
      </c>
      <c r="C46" s="24">
        <v>90.12</v>
      </c>
    </row>
    <row r="47" spans="1:4" hidden="1" x14ac:dyDescent="0.3">
      <c r="A47" s="26">
        <v>45912</v>
      </c>
      <c r="B47" s="34" t="s">
        <v>21</v>
      </c>
      <c r="C47" s="24">
        <v>126.82</v>
      </c>
    </row>
    <row r="48" spans="1:4" hidden="1" x14ac:dyDescent="0.3">
      <c r="A48" s="26">
        <v>45919</v>
      </c>
      <c r="B48" s="27" t="s">
        <v>4</v>
      </c>
      <c r="C48" s="24">
        <v>-34.86</v>
      </c>
    </row>
    <row r="49" spans="1:4" hidden="1" x14ac:dyDescent="0.3">
      <c r="A49" s="26">
        <v>45919</v>
      </c>
      <c r="B49" s="27" t="s">
        <v>1</v>
      </c>
      <c r="C49" s="24">
        <v>34.9</v>
      </c>
    </row>
    <row r="50" spans="1:4" hidden="1" x14ac:dyDescent="0.3">
      <c r="A50" s="26">
        <v>45919</v>
      </c>
      <c r="B50" s="34" t="s">
        <v>21</v>
      </c>
      <c r="C50" s="24">
        <v>139.21</v>
      </c>
    </row>
    <row r="51" spans="1:4" hidden="1" x14ac:dyDescent="0.3">
      <c r="A51" s="26">
        <v>45919</v>
      </c>
      <c r="B51" s="46" t="s">
        <v>21</v>
      </c>
      <c r="C51" s="24">
        <v>19.68</v>
      </c>
    </row>
    <row r="52" spans="1:4" hidden="1" x14ac:dyDescent="0.3">
      <c r="A52" s="26">
        <v>45926</v>
      </c>
      <c r="B52" s="27" t="s">
        <v>4</v>
      </c>
      <c r="C52" s="24">
        <v>-416.57</v>
      </c>
    </row>
    <row r="53" spans="1:4" hidden="1" x14ac:dyDescent="0.3">
      <c r="A53" s="26">
        <v>45926</v>
      </c>
      <c r="B53" s="32" t="s">
        <v>21</v>
      </c>
      <c r="C53" s="24">
        <v>40.69</v>
      </c>
    </row>
    <row r="54" spans="1:4" hidden="1" x14ac:dyDescent="0.3">
      <c r="A54" s="26">
        <v>45926</v>
      </c>
      <c r="B54" s="34" t="s">
        <v>21</v>
      </c>
      <c r="C54" s="24">
        <v>228.48</v>
      </c>
    </row>
    <row r="55" spans="1:4" hidden="1" x14ac:dyDescent="0.3">
      <c r="A55" s="26">
        <v>45926</v>
      </c>
      <c r="B55" s="34" t="s">
        <v>1</v>
      </c>
      <c r="C55" s="24">
        <v>64.319999999999993</v>
      </c>
    </row>
    <row r="56" spans="1:4" hidden="1" x14ac:dyDescent="0.3">
      <c r="A56" s="26">
        <v>45926</v>
      </c>
      <c r="B56" s="46" t="s">
        <v>21</v>
      </c>
      <c r="C56" s="24">
        <v>23.62</v>
      </c>
    </row>
    <row r="57" spans="1:4" hidden="1" x14ac:dyDescent="0.3">
      <c r="A57" s="26">
        <v>45933</v>
      </c>
      <c r="B57" s="32" t="s">
        <v>21</v>
      </c>
      <c r="C57" s="24">
        <v>49.04</v>
      </c>
      <c r="D57" s="25">
        <v>1</v>
      </c>
    </row>
    <row r="58" spans="1:4" hidden="1" x14ac:dyDescent="0.3">
      <c r="A58" s="26">
        <v>45933</v>
      </c>
      <c r="B58" s="34" t="s">
        <v>1</v>
      </c>
      <c r="C58" s="24">
        <v>143.44999999999999</v>
      </c>
    </row>
    <row r="59" spans="1:4" hidden="1" x14ac:dyDescent="0.3">
      <c r="A59" s="26">
        <v>45933</v>
      </c>
      <c r="B59" s="34" t="s">
        <v>1</v>
      </c>
      <c r="C59" s="24">
        <v>79.16</v>
      </c>
    </row>
    <row r="60" spans="1:4" hidden="1" x14ac:dyDescent="0.3">
      <c r="A60" s="26">
        <v>45933</v>
      </c>
      <c r="B60" s="46" t="s">
        <v>21</v>
      </c>
      <c r="C60" s="24">
        <v>12.76</v>
      </c>
    </row>
    <row r="61" spans="1:4" hidden="1" x14ac:dyDescent="0.3">
      <c r="A61" s="26">
        <v>45940</v>
      </c>
      <c r="B61" s="34" t="s">
        <v>1</v>
      </c>
      <c r="C61" s="24">
        <v>110.36</v>
      </c>
    </row>
    <row r="62" spans="1:4" hidden="1" x14ac:dyDescent="0.3">
      <c r="A62" s="26">
        <v>45942</v>
      </c>
      <c r="B62" s="27" t="s">
        <v>4</v>
      </c>
      <c r="C62" s="24">
        <v>-400</v>
      </c>
    </row>
    <row r="63" spans="1:4" hidden="1" x14ac:dyDescent="0.3">
      <c r="A63" s="26">
        <v>45943</v>
      </c>
      <c r="B63" s="27" t="s">
        <v>4</v>
      </c>
      <c r="C63" s="24">
        <v>-241.52</v>
      </c>
    </row>
    <row r="64" spans="1:4" hidden="1" x14ac:dyDescent="0.3">
      <c r="A64" s="26">
        <v>45946</v>
      </c>
      <c r="B64" s="27" t="s">
        <v>4</v>
      </c>
      <c r="C64" s="24">
        <v>-110.36</v>
      </c>
    </row>
    <row r="65" spans="1:3" x14ac:dyDescent="0.3">
      <c r="A65" s="26">
        <v>45947</v>
      </c>
      <c r="B65" s="32" t="s">
        <v>21</v>
      </c>
      <c r="C65" s="24">
        <v>16.38</v>
      </c>
    </row>
    <row r="66" spans="1:3" x14ac:dyDescent="0.3">
      <c r="A66" s="26">
        <v>45947</v>
      </c>
      <c r="B66" s="34" t="s">
        <v>1</v>
      </c>
      <c r="C66" s="24">
        <v>112.66</v>
      </c>
    </row>
    <row r="67" spans="1:3" x14ac:dyDescent="0.3">
      <c r="A67" s="26">
        <v>45947</v>
      </c>
      <c r="B67" s="34" t="s">
        <v>1</v>
      </c>
      <c r="C67" s="24">
        <v>130.08000000000001</v>
      </c>
    </row>
    <row r="68" spans="1:3" x14ac:dyDescent="0.3">
      <c r="A68" s="26">
        <v>45947</v>
      </c>
      <c r="B68" s="46" t="s">
        <v>21</v>
      </c>
      <c r="C68" s="24">
        <v>11.68</v>
      </c>
    </row>
    <row r="69" spans="1:3" x14ac:dyDescent="0.3">
      <c r="A69" s="26">
        <v>45954</v>
      </c>
      <c r="B69" s="34" t="s">
        <v>1</v>
      </c>
      <c r="C69" s="24">
        <v>76.63</v>
      </c>
    </row>
    <row r="70" spans="1:3" x14ac:dyDescent="0.3">
      <c r="A70" s="26">
        <v>45961</v>
      </c>
      <c r="B70" s="34" t="s">
        <v>1</v>
      </c>
      <c r="C70" s="24">
        <v>57.82</v>
      </c>
    </row>
    <row r="71" spans="1:3" x14ac:dyDescent="0.3">
      <c r="A71" s="26">
        <v>45961</v>
      </c>
      <c r="B71" s="34" t="s">
        <v>1</v>
      </c>
      <c r="C71" s="24">
        <v>102.12</v>
      </c>
    </row>
    <row r="72" spans="1:3" x14ac:dyDescent="0.3">
      <c r="A72" s="26">
        <v>45965</v>
      </c>
      <c r="B72" s="32" t="s">
        <v>21</v>
      </c>
      <c r="C72" s="24">
        <v>16.38</v>
      </c>
    </row>
    <row r="73" spans="1:3" x14ac:dyDescent="0.3">
      <c r="A73" s="26">
        <v>45968</v>
      </c>
      <c r="B73" s="32" t="s">
        <v>21</v>
      </c>
      <c r="C73" s="24">
        <v>19.68</v>
      </c>
    </row>
    <row r="74" spans="1:3" x14ac:dyDescent="0.3">
      <c r="A74" s="26">
        <v>45968</v>
      </c>
      <c r="B74" s="34" t="s">
        <v>1</v>
      </c>
      <c r="C74" s="24">
        <v>86.18</v>
      </c>
    </row>
    <row r="75" spans="1:3" x14ac:dyDescent="0.3">
      <c r="A75" s="26">
        <v>45968</v>
      </c>
      <c r="B75" s="34" t="s">
        <v>1</v>
      </c>
      <c r="C75" s="24">
        <v>78.319999999999993</v>
      </c>
    </row>
    <row r="76" spans="1:3" x14ac:dyDescent="0.3">
      <c r="A76" s="26">
        <v>45975</v>
      </c>
      <c r="B76" s="27" t="s">
        <v>1</v>
      </c>
      <c r="C76" s="24">
        <v>118.06</v>
      </c>
    </row>
    <row r="77" spans="1:3" x14ac:dyDescent="0.3">
      <c r="A77" s="26">
        <v>45978</v>
      </c>
      <c r="B77" s="27" t="s">
        <v>4</v>
      </c>
      <c r="C77" s="24">
        <v>-700</v>
      </c>
    </row>
    <row r="78" spans="1:3" x14ac:dyDescent="0.3">
      <c r="A78" s="26">
        <v>45985</v>
      </c>
      <c r="B78" s="27" t="s">
        <v>1</v>
      </c>
      <c r="C78" s="24">
        <v>356.06</v>
      </c>
    </row>
    <row r="79" spans="1:3" x14ac:dyDescent="0.3">
      <c r="A79" s="26">
        <v>45989</v>
      </c>
      <c r="B79" s="27" t="s">
        <v>1</v>
      </c>
      <c r="C79" s="24">
        <v>118.89</v>
      </c>
    </row>
    <row r="80" spans="1:3" x14ac:dyDescent="0.3">
      <c r="A80" s="26">
        <v>45992</v>
      </c>
      <c r="B80" s="27" t="s">
        <v>4</v>
      </c>
      <c r="C80" s="24">
        <v>-600.94000000000005</v>
      </c>
    </row>
    <row r="81" spans="1:6" x14ac:dyDescent="0.3">
      <c r="A81" s="26">
        <v>45996</v>
      </c>
      <c r="B81" s="27" t="s">
        <v>1</v>
      </c>
      <c r="C81" s="24">
        <v>658.85</v>
      </c>
    </row>
    <row r="82" spans="1:6" x14ac:dyDescent="0.3">
      <c r="A82" s="26">
        <v>46003</v>
      </c>
      <c r="B82" s="27" t="s">
        <v>1</v>
      </c>
      <c r="C82" s="24">
        <v>520.26</v>
      </c>
      <c r="D82" s="25">
        <v>-1</v>
      </c>
      <c r="F82" s="25">
        <v>-1</v>
      </c>
    </row>
    <row r="83" spans="1:6" x14ac:dyDescent="0.3">
      <c r="A83" s="26">
        <v>46010</v>
      </c>
      <c r="B83" s="27" t="s">
        <v>1</v>
      </c>
      <c r="C83" s="24">
        <v>470.43</v>
      </c>
      <c r="D83" s="25">
        <v>-1</v>
      </c>
    </row>
    <row r="84" spans="1:6" x14ac:dyDescent="0.3">
      <c r="A84" s="26">
        <v>46012</v>
      </c>
      <c r="B84" s="27" t="s">
        <v>4</v>
      </c>
      <c r="C84" s="24">
        <v>-856</v>
      </c>
    </row>
    <row r="85" spans="1:6" x14ac:dyDescent="0.3">
      <c r="A85" s="26">
        <v>46017</v>
      </c>
      <c r="B85" s="27" t="s">
        <v>4</v>
      </c>
      <c r="C85" s="24">
        <v>-417.72</v>
      </c>
    </row>
    <row r="86" spans="1:6" x14ac:dyDescent="0.3">
      <c r="A86" s="26">
        <v>46017</v>
      </c>
      <c r="B86" s="27" t="s">
        <v>4</v>
      </c>
      <c r="C86" s="24">
        <v>-165.78</v>
      </c>
    </row>
    <row r="87" spans="1:6" x14ac:dyDescent="0.3">
      <c r="A87" s="26">
        <v>46017</v>
      </c>
      <c r="B87" s="27" t="s">
        <v>1</v>
      </c>
      <c r="C87" s="24">
        <v>678.04</v>
      </c>
      <c r="D87" s="25">
        <v>1</v>
      </c>
    </row>
    <row r="88" spans="1:6" x14ac:dyDescent="0.3">
      <c r="A88" s="26">
        <v>46021</v>
      </c>
      <c r="B88" s="27" t="s">
        <v>1</v>
      </c>
      <c r="C88" s="24">
        <v>16.38</v>
      </c>
      <c r="D88" s="25">
        <v>1</v>
      </c>
    </row>
    <row r="89" spans="1:6" x14ac:dyDescent="0.3">
      <c r="A89" s="26">
        <v>46028</v>
      </c>
      <c r="B89" s="27" t="s">
        <v>4</v>
      </c>
      <c r="C89" s="24">
        <v>-904.46</v>
      </c>
    </row>
    <row r="90" spans="1:6" x14ac:dyDescent="0.3">
      <c r="A90" s="26">
        <v>46031</v>
      </c>
      <c r="B90" s="27" t="s">
        <v>1</v>
      </c>
      <c r="C90" s="24">
        <v>453.89</v>
      </c>
      <c r="D90" s="25">
        <v>-2</v>
      </c>
    </row>
    <row r="91" spans="1:6" x14ac:dyDescent="0.3">
      <c r="A91" s="26">
        <v>46038</v>
      </c>
      <c r="B91" s="27" t="s">
        <v>1</v>
      </c>
      <c r="C91" s="24">
        <v>441.92</v>
      </c>
    </row>
    <row r="92" spans="1:6" x14ac:dyDescent="0.3">
      <c r="A92" s="26">
        <v>46048</v>
      </c>
      <c r="B92" s="27" t="s">
        <v>4</v>
      </c>
      <c r="C92" s="24">
        <v>-453.89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45E2-556C-4BD8-A1F5-883B4C58EA43}">
  <dimension ref="A1:H41"/>
  <sheetViews>
    <sheetView view="pageBreakPreview" zoomScale="80" zoomScaleNormal="100" zoomScaleSheetLayoutView="80" workbookViewId="0">
      <selection activeCell="C12" sqref="C1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486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487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-0.40000000000000568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45960</v>
      </c>
      <c r="B5" s="32" t="s">
        <v>21</v>
      </c>
      <c r="C5" s="24">
        <v>12.1</v>
      </c>
      <c r="D5" s="30"/>
      <c r="E5" s="30"/>
      <c r="F5" s="30"/>
      <c r="G5" s="22"/>
    </row>
    <row r="6" spans="1:8" x14ac:dyDescent="0.3">
      <c r="A6" s="21">
        <v>45960</v>
      </c>
      <c r="B6" s="34" t="s">
        <v>1</v>
      </c>
      <c r="C6" s="24">
        <v>50.52</v>
      </c>
    </row>
    <row r="7" spans="1:8" x14ac:dyDescent="0.3">
      <c r="A7" s="21">
        <v>45967</v>
      </c>
      <c r="B7" s="32" t="s">
        <v>1</v>
      </c>
      <c r="C7" s="24">
        <v>21.94</v>
      </c>
    </row>
    <row r="8" spans="1:8" x14ac:dyDescent="0.3">
      <c r="A8" s="21">
        <v>45968</v>
      </c>
      <c r="B8" s="34" t="s">
        <v>1</v>
      </c>
      <c r="C8" s="24">
        <v>44.04</v>
      </c>
    </row>
    <row r="9" spans="1:8" x14ac:dyDescent="0.3">
      <c r="A9" s="26">
        <v>45978</v>
      </c>
      <c r="B9" s="27" t="s">
        <v>4</v>
      </c>
      <c r="C9" s="24">
        <v>-30</v>
      </c>
    </row>
    <row r="10" spans="1:8" x14ac:dyDescent="0.3">
      <c r="A10" s="26">
        <v>45992</v>
      </c>
      <c r="B10" s="27" t="s">
        <v>4</v>
      </c>
      <c r="C10" s="24">
        <v>-67</v>
      </c>
    </row>
    <row r="11" spans="1:8" x14ac:dyDescent="0.3">
      <c r="A11" s="26">
        <v>45999</v>
      </c>
      <c r="B11" s="27" t="s">
        <v>4</v>
      </c>
      <c r="C11" s="24">
        <v>-32</v>
      </c>
    </row>
    <row r="12" spans="1:8" x14ac:dyDescent="0.3">
      <c r="B12" s="31"/>
    </row>
    <row r="13" spans="1:8" x14ac:dyDescent="0.3">
      <c r="B13" s="32"/>
    </row>
    <row r="15" spans="1:8" x14ac:dyDescent="0.3">
      <c r="B15" s="32"/>
    </row>
    <row r="17" spans="2:2" x14ac:dyDescent="0.3">
      <c r="B17" s="32"/>
    </row>
    <row r="19" spans="2:2" x14ac:dyDescent="0.3">
      <c r="B19" s="32"/>
    </row>
    <row r="21" spans="2:2" x14ac:dyDescent="0.3">
      <c r="B21" s="32"/>
    </row>
    <row r="24" spans="2:2" x14ac:dyDescent="0.3">
      <c r="B24" s="32"/>
    </row>
    <row r="25" spans="2:2" x14ac:dyDescent="0.3">
      <c r="B25" s="34"/>
    </row>
    <row r="26" spans="2:2" x14ac:dyDescent="0.3">
      <c r="B26" s="46"/>
    </row>
    <row r="28" spans="2:2" x14ac:dyDescent="0.3">
      <c r="B28" s="32"/>
    </row>
    <row r="29" spans="2:2" x14ac:dyDescent="0.3">
      <c r="B29" s="34"/>
    </row>
    <row r="31" spans="2:2" x14ac:dyDescent="0.3">
      <c r="B31" s="32"/>
    </row>
    <row r="32" spans="2:2" x14ac:dyDescent="0.3">
      <c r="B32" s="32"/>
    </row>
    <row r="33" spans="2:2" x14ac:dyDescent="0.3">
      <c r="B33" s="34"/>
    </row>
    <row r="36" spans="2:2" x14ac:dyDescent="0.3">
      <c r="B36" s="32"/>
    </row>
    <row r="37" spans="2:2" x14ac:dyDescent="0.3">
      <c r="B37" s="34"/>
    </row>
    <row r="41" spans="2:2" x14ac:dyDescent="0.3">
      <c r="B41" s="32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E77C3-336D-48BE-A47F-D867FF8A80C2}">
  <sheetPr codeName="Hoja140"/>
  <dimension ref="A1:H54"/>
  <sheetViews>
    <sheetView view="pageBreakPreview" zoomScale="80" zoomScaleNormal="100" zoomScaleSheetLayoutView="80" workbookViewId="0">
      <selection activeCell="C55" sqref="C5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335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223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-4.9999999999997158E-2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45821</v>
      </c>
      <c r="B5" s="32" t="s">
        <v>21</v>
      </c>
      <c r="C5" s="24">
        <v>20.77</v>
      </c>
      <c r="D5" s="30"/>
      <c r="E5" s="30"/>
      <c r="F5" s="30"/>
      <c r="G5" s="22"/>
    </row>
    <row r="6" spans="1:8" hidden="1" x14ac:dyDescent="0.3">
      <c r="A6" s="21">
        <v>45828</v>
      </c>
      <c r="B6" s="27" t="s">
        <v>4</v>
      </c>
      <c r="C6" s="24">
        <v>-15.85</v>
      </c>
    </row>
    <row r="7" spans="1:8" hidden="1" x14ac:dyDescent="0.3">
      <c r="A7" s="21">
        <v>45828</v>
      </c>
      <c r="B7" s="27" t="s">
        <v>4</v>
      </c>
      <c r="C7" s="24">
        <v>-4.68</v>
      </c>
    </row>
    <row r="8" spans="1:8" hidden="1" x14ac:dyDescent="0.3">
      <c r="A8" s="21">
        <v>45828</v>
      </c>
      <c r="B8" s="32" t="s">
        <v>21</v>
      </c>
      <c r="C8" s="24">
        <v>43.33</v>
      </c>
    </row>
    <row r="9" spans="1:8" hidden="1" x14ac:dyDescent="0.3">
      <c r="A9" s="26">
        <v>45841</v>
      </c>
      <c r="B9" s="27" t="s">
        <v>7</v>
      </c>
      <c r="C9" s="24">
        <v>-15.85</v>
      </c>
    </row>
    <row r="10" spans="1:8" hidden="1" x14ac:dyDescent="0.3">
      <c r="A10" s="26">
        <v>45841</v>
      </c>
      <c r="B10" s="27" t="s">
        <v>7</v>
      </c>
      <c r="C10" s="24">
        <v>-27.75</v>
      </c>
    </row>
    <row r="11" spans="1:8" hidden="1" x14ac:dyDescent="0.3">
      <c r="A11" s="26">
        <v>45841</v>
      </c>
      <c r="B11" s="32" t="s">
        <v>21</v>
      </c>
      <c r="C11" s="24">
        <v>30.61</v>
      </c>
    </row>
    <row r="12" spans="1:8" hidden="1" x14ac:dyDescent="0.3">
      <c r="A12" s="26">
        <v>45848</v>
      </c>
      <c r="B12" s="31" t="s">
        <v>7</v>
      </c>
      <c r="C12" s="24">
        <v>-30.62</v>
      </c>
    </row>
    <row r="13" spans="1:8" hidden="1" x14ac:dyDescent="0.3">
      <c r="A13" s="26">
        <v>45856</v>
      </c>
      <c r="B13" s="32" t="s">
        <v>21</v>
      </c>
      <c r="C13" s="24">
        <v>9.84</v>
      </c>
    </row>
    <row r="14" spans="1:8" hidden="1" x14ac:dyDescent="0.3">
      <c r="A14" s="26">
        <v>45876</v>
      </c>
      <c r="B14" s="27" t="s">
        <v>4</v>
      </c>
      <c r="C14" s="24">
        <v>-9.84</v>
      </c>
    </row>
    <row r="15" spans="1:8" hidden="1" x14ac:dyDescent="0.3">
      <c r="A15" s="26">
        <v>45876</v>
      </c>
      <c r="B15" s="32" t="s">
        <v>21</v>
      </c>
      <c r="C15" s="24">
        <v>30.61</v>
      </c>
    </row>
    <row r="16" spans="1:8" hidden="1" x14ac:dyDescent="0.3">
      <c r="A16" s="26">
        <v>45882</v>
      </c>
      <c r="B16" s="27" t="s">
        <v>4</v>
      </c>
      <c r="C16" s="24">
        <v>-30.61</v>
      </c>
    </row>
    <row r="17" spans="1:3" hidden="1" x14ac:dyDescent="0.3">
      <c r="A17" s="26">
        <v>45883</v>
      </c>
      <c r="B17" s="32" t="s">
        <v>21</v>
      </c>
      <c r="C17" s="24">
        <v>19.68</v>
      </c>
    </row>
    <row r="18" spans="1:3" hidden="1" x14ac:dyDescent="0.3">
      <c r="A18" s="26">
        <v>45890</v>
      </c>
      <c r="B18" s="27" t="s">
        <v>7</v>
      </c>
      <c r="C18" s="24">
        <v>-19.38</v>
      </c>
    </row>
    <row r="19" spans="1:3" hidden="1" x14ac:dyDescent="0.3">
      <c r="A19" s="26">
        <v>45890</v>
      </c>
      <c r="B19" s="32" t="s">
        <v>21</v>
      </c>
      <c r="C19" s="24">
        <v>23.65</v>
      </c>
    </row>
    <row r="20" spans="1:3" hidden="1" x14ac:dyDescent="0.3">
      <c r="A20" s="26">
        <v>45897</v>
      </c>
      <c r="B20" s="27" t="s">
        <v>4</v>
      </c>
      <c r="C20" s="24">
        <v>-23.65</v>
      </c>
    </row>
    <row r="21" spans="1:3" hidden="1" x14ac:dyDescent="0.3">
      <c r="A21" s="26">
        <v>45898</v>
      </c>
      <c r="B21" s="32" t="s">
        <v>21</v>
      </c>
      <c r="C21" s="24">
        <v>9.84</v>
      </c>
    </row>
    <row r="22" spans="1:3" hidden="1" x14ac:dyDescent="0.3">
      <c r="A22" s="26">
        <v>45898</v>
      </c>
      <c r="B22" s="34" t="s">
        <v>21</v>
      </c>
      <c r="C22" s="24">
        <v>103.75</v>
      </c>
    </row>
    <row r="23" spans="1:3" hidden="1" x14ac:dyDescent="0.3">
      <c r="A23" s="26">
        <v>45898</v>
      </c>
      <c r="B23" s="27" t="s">
        <v>4</v>
      </c>
      <c r="C23" s="24">
        <v>-113.6</v>
      </c>
    </row>
    <row r="24" spans="1:3" hidden="1" x14ac:dyDescent="0.3">
      <c r="A24" s="26">
        <v>45911</v>
      </c>
      <c r="B24" s="32" t="s">
        <v>21</v>
      </c>
      <c r="C24" s="24">
        <v>25.69</v>
      </c>
    </row>
    <row r="25" spans="1:3" hidden="1" x14ac:dyDescent="0.3">
      <c r="A25" s="26">
        <v>45911</v>
      </c>
      <c r="B25" s="34" t="s">
        <v>21</v>
      </c>
      <c r="C25" s="24">
        <v>7.24</v>
      </c>
    </row>
    <row r="26" spans="1:3" hidden="1" x14ac:dyDescent="0.3">
      <c r="A26" s="26">
        <v>45911</v>
      </c>
      <c r="B26" s="46" t="s">
        <v>21</v>
      </c>
      <c r="C26" s="24">
        <v>5.42</v>
      </c>
    </row>
    <row r="27" spans="1:3" hidden="1" x14ac:dyDescent="0.3">
      <c r="A27" s="26">
        <v>45918</v>
      </c>
      <c r="B27" s="27" t="s">
        <v>7</v>
      </c>
      <c r="C27" s="24">
        <v>-38.61</v>
      </c>
    </row>
    <row r="28" spans="1:3" hidden="1" x14ac:dyDescent="0.3">
      <c r="A28" s="26">
        <v>45918</v>
      </c>
      <c r="B28" s="32" t="s">
        <v>21</v>
      </c>
      <c r="C28" s="24">
        <v>9.84</v>
      </c>
    </row>
    <row r="29" spans="1:3" hidden="1" x14ac:dyDescent="0.3">
      <c r="A29" s="26">
        <v>45918</v>
      </c>
      <c r="B29" s="34" t="s">
        <v>21</v>
      </c>
      <c r="C29" s="24">
        <v>41.85</v>
      </c>
    </row>
    <row r="30" spans="1:3" hidden="1" x14ac:dyDescent="0.3">
      <c r="A30" s="26">
        <v>45926</v>
      </c>
      <c r="B30" s="27" t="s">
        <v>7</v>
      </c>
      <c r="C30" s="24">
        <v>-51.77</v>
      </c>
    </row>
    <row r="31" spans="1:3" hidden="1" x14ac:dyDescent="0.3">
      <c r="A31" s="26">
        <v>45925</v>
      </c>
      <c r="B31" s="32" t="s">
        <v>21</v>
      </c>
      <c r="C31" s="24">
        <v>25.69</v>
      </c>
    </row>
    <row r="32" spans="1:3" hidden="1" x14ac:dyDescent="0.3">
      <c r="A32" s="26">
        <v>45925</v>
      </c>
      <c r="B32" s="32" t="s">
        <v>21</v>
      </c>
      <c r="C32" s="24">
        <v>9</v>
      </c>
    </row>
    <row r="33" spans="1:3" hidden="1" x14ac:dyDescent="0.3">
      <c r="A33" s="26">
        <v>45925</v>
      </c>
      <c r="B33" s="34" t="s">
        <v>21</v>
      </c>
      <c r="C33" s="24">
        <v>109.6</v>
      </c>
    </row>
    <row r="34" spans="1:3" hidden="1" x14ac:dyDescent="0.3">
      <c r="A34" s="26">
        <v>45932</v>
      </c>
      <c r="B34" s="27" t="s">
        <v>7</v>
      </c>
      <c r="C34" s="24">
        <v>-25.69</v>
      </c>
    </row>
    <row r="35" spans="1:3" hidden="1" x14ac:dyDescent="0.3">
      <c r="A35" s="26">
        <v>45933</v>
      </c>
      <c r="B35" s="27" t="s">
        <v>4</v>
      </c>
      <c r="C35" s="24">
        <v>-118.51</v>
      </c>
    </row>
    <row r="36" spans="1:3" hidden="1" x14ac:dyDescent="0.3">
      <c r="A36" s="26">
        <v>45953</v>
      </c>
      <c r="B36" s="32" t="s">
        <v>21</v>
      </c>
      <c r="C36" s="24">
        <v>36.06</v>
      </c>
    </row>
    <row r="37" spans="1:3" hidden="1" x14ac:dyDescent="0.3">
      <c r="A37" s="26">
        <v>45953</v>
      </c>
      <c r="B37" s="34" t="s">
        <v>21</v>
      </c>
      <c r="C37" s="24">
        <v>262.36</v>
      </c>
    </row>
    <row r="38" spans="1:3" hidden="1" x14ac:dyDescent="0.3">
      <c r="A38" s="26">
        <v>45960</v>
      </c>
      <c r="B38" s="27" t="s">
        <v>4</v>
      </c>
      <c r="C38" s="24">
        <v>-175.88</v>
      </c>
    </row>
    <row r="39" spans="1:3" hidden="1" x14ac:dyDescent="0.3">
      <c r="A39" s="26">
        <v>45960</v>
      </c>
      <c r="B39" s="27" t="s">
        <v>4</v>
      </c>
      <c r="C39" s="24">
        <v>-50.39</v>
      </c>
    </row>
    <row r="40" spans="1:3" hidden="1" x14ac:dyDescent="0.3">
      <c r="A40" s="26">
        <v>45960</v>
      </c>
      <c r="B40" s="27" t="s">
        <v>7</v>
      </c>
      <c r="C40" s="24">
        <v>-72.22</v>
      </c>
    </row>
    <row r="41" spans="1:3" hidden="1" x14ac:dyDescent="0.3">
      <c r="A41" s="26">
        <v>45960</v>
      </c>
      <c r="B41" s="32" t="s">
        <v>21</v>
      </c>
      <c r="C41" s="24">
        <v>9.84</v>
      </c>
    </row>
    <row r="42" spans="1:3" hidden="1" x14ac:dyDescent="0.3">
      <c r="A42" s="26">
        <v>45960</v>
      </c>
      <c r="B42" s="34" t="s">
        <v>21</v>
      </c>
      <c r="C42" s="24">
        <v>53.26</v>
      </c>
    </row>
    <row r="43" spans="1:3" hidden="1" x14ac:dyDescent="0.3">
      <c r="A43" s="26">
        <v>45965</v>
      </c>
      <c r="B43" s="27" t="s">
        <v>4</v>
      </c>
      <c r="C43" s="24">
        <v>-63.1</v>
      </c>
    </row>
    <row r="44" spans="1:3" x14ac:dyDescent="0.3">
      <c r="A44" s="26">
        <v>45967</v>
      </c>
      <c r="B44" s="32" t="s">
        <v>21</v>
      </c>
      <c r="C44" s="24">
        <v>9.84</v>
      </c>
    </row>
    <row r="45" spans="1:3" x14ac:dyDescent="0.3">
      <c r="A45" s="26">
        <v>45967</v>
      </c>
      <c r="B45" s="34" t="s">
        <v>21</v>
      </c>
      <c r="C45" s="24">
        <v>29.99</v>
      </c>
    </row>
    <row r="46" spans="1:3" x14ac:dyDescent="0.3">
      <c r="A46" s="26">
        <v>45976</v>
      </c>
      <c r="B46" s="27" t="s">
        <v>4</v>
      </c>
      <c r="C46" s="24">
        <v>-35.950000000000003</v>
      </c>
    </row>
    <row r="47" spans="1:3" x14ac:dyDescent="0.3">
      <c r="A47" s="26">
        <v>45976</v>
      </c>
      <c r="B47" s="27" t="s">
        <v>4</v>
      </c>
      <c r="C47" s="24">
        <v>-3.88</v>
      </c>
    </row>
    <row r="48" spans="1:3" x14ac:dyDescent="0.3">
      <c r="A48" s="26">
        <v>45995</v>
      </c>
      <c r="B48" s="27" t="s">
        <v>1</v>
      </c>
      <c r="C48" s="24">
        <v>57.26</v>
      </c>
    </row>
    <row r="49" spans="1:3" x14ac:dyDescent="0.3">
      <c r="A49" s="26">
        <v>46000</v>
      </c>
      <c r="B49" s="27" t="s">
        <v>4</v>
      </c>
      <c r="C49" s="24">
        <v>-57.26</v>
      </c>
    </row>
    <row r="50" spans="1:3" x14ac:dyDescent="0.3">
      <c r="A50" s="26">
        <v>46002</v>
      </c>
      <c r="B50" s="27" t="s">
        <v>1</v>
      </c>
      <c r="C50" s="24">
        <v>86.57</v>
      </c>
    </row>
    <row r="51" spans="1:3" x14ac:dyDescent="0.3">
      <c r="A51" s="26">
        <v>46010</v>
      </c>
      <c r="B51" s="27" t="s">
        <v>4</v>
      </c>
      <c r="C51" s="24">
        <v>-74.33</v>
      </c>
    </row>
    <row r="52" spans="1:3" x14ac:dyDescent="0.3">
      <c r="A52" s="26">
        <v>46010</v>
      </c>
      <c r="B52" s="27" t="s">
        <v>4</v>
      </c>
      <c r="C52" s="24">
        <v>-12.24</v>
      </c>
    </row>
    <row r="53" spans="1:3" x14ac:dyDescent="0.3">
      <c r="A53" s="26">
        <v>46010</v>
      </c>
      <c r="B53" s="27" t="s">
        <v>1</v>
      </c>
      <c r="C53" s="24">
        <v>51.28</v>
      </c>
    </row>
    <row r="54" spans="1:3" x14ac:dyDescent="0.3">
      <c r="A54" s="26">
        <v>46013</v>
      </c>
      <c r="B54" s="27" t="s">
        <v>4</v>
      </c>
      <c r="C54" s="24">
        <v>-51.26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0AD0B-FFEA-43AA-9A21-866407BA2942}">
  <dimension ref="A1:H86"/>
  <sheetViews>
    <sheetView view="pageBreakPreview" zoomScale="80" zoomScaleNormal="100" zoomScaleSheetLayoutView="80" workbookViewId="0">
      <selection activeCell="C24" sqref="C24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320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321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-1.2000000000000002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45835</v>
      </c>
      <c r="B5" s="32" t="s">
        <v>21</v>
      </c>
      <c r="C5" s="24">
        <v>12.1</v>
      </c>
      <c r="D5" s="30"/>
      <c r="E5" s="30"/>
      <c r="F5" s="30"/>
      <c r="G5" s="22"/>
    </row>
    <row r="6" spans="1:8" x14ac:dyDescent="0.3">
      <c r="A6" s="21">
        <v>45835</v>
      </c>
      <c r="B6" s="34" t="s">
        <v>1</v>
      </c>
      <c r="C6" s="24">
        <v>81.760000000000005</v>
      </c>
    </row>
    <row r="7" spans="1:8" x14ac:dyDescent="0.3">
      <c r="A7" s="21">
        <v>45842</v>
      </c>
      <c r="B7" s="27" t="s">
        <v>4</v>
      </c>
      <c r="C7" s="24">
        <v>-93.86</v>
      </c>
    </row>
    <row r="8" spans="1:8" x14ac:dyDescent="0.3">
      <c r="A8" s="21">
        <v>45842</v>
      </c>
      <c r="B8" s="32" t="s">
        <v>1</v>
      </c>
      <c r="C8" s="24">
        <v>9.84</v>
      </c>
    </row>
    <row r="9" spans="1:8" x14ac:dyDescent="0.3">
      <c r="A9" s="21">
        <v>45842</v>
      </c>
      <c r="B9" s="34" t="s">
        <v>1</v>
      </c>
      <c r="C9" s="24">
        <v>91.14</v>
      </c>
    </row>
    <row r="10" spans="1:8" x14ac:dyDescent="0.3">
      <c r="A10" s="26">
        <v>45849</v>
      </c>
      <c r="B10" s="27" t="s">
        <v>4</v>
      </c>
      <c r="C10" s="24">
        <v>-100.98</v>
      </c>
    </row>
    <row r="11" spans="1:8" x14ac:dyDescent="0.3">
      <c r="A11" s="26">
        <v>45849</v>
      </c>
      <c r="B11" s="32" t="s">
        <v>1</v>
      </c>
      <c r="C11" s="24">
        <v>7.5</v>
      </c>
    </row>
    <row r="12" spans="1:8" x14ac:dyDescent="0.3">
      <c r="A12" s="26">
        <v>45849</v>
      </c>
      <c r="B12" s="34" t="s">
        <v>1</v>
      </c>
      <c r="C12" s="24">
        <v>74.66</v>
      </c>
    </row>
    <row r="13" spans="1:8" x14ac:dyDescent="0.3">
      <c r="A13" s="26">
        <v>45855</v>
      </c>
      <c r="B13" s="27" t="s">
        <v>4</v>
      </c>
      <c r="C13" s="24">
        <v>-82.16</v>
      </c>
    </row>
    <row r="14" spans="1:8" x14ac:dyDescent="0.3">
      <c r="A14" s="26">
        <v>45856</v>
      </c>
      <c r="B14" s="27" t="s">
        <v>1</v>
      </c>
      <c r="C14" s="24">
        <v>41.6</v>
      </c>
    </row>
    <row r="15" spans="1:8" x14ac:dyDescent="0.3">
      <c r="A15" s="26">
        <v>45856</v>
      </c>
      <c r="B15" s="32" t="s">
        <v>1</v>
      </c>
      <c r="C15" s="24">
        <v>15.85</v>
      </c>
    </row>
    <row r="16" spans="1:8" x14ac:dyDescent="0.3">
      <c r="A16" s="26">
        <v>45856</v>
      </c>
      <c r="B16" s="34" t="s">
        <v>1</v>
      </c>
      <c r="C16" s="24">
        <v>20.52</v>
      </c>
    </row>
    <row r="17" spans="1:3" x14ac:dyDescent="0.3">
      <c r="A17" s="26">
        <v>45869</v>
      </c>
      <c r="B17" s="27" t="s">
        <v>4</v>
      </c>
      <c r="C17" s="24">
        <v>-20.88</v>
      </c>
    </row>
    <row r="18" spans="1:3" x14ac:dyDescent="0.3">
      <c r="A18" s="26">
        <v>45869</v>
      </c>
      <c r="B18" s="27" t="s">
        <v>4</v>
      </c>
      <c r="C18" s="24">
        <v>-18.47</v>
      </c>
    </row>
    <row r="19" spans="1:3" x14ac:dyDescent="0.3">
      <c r="A19" s="26">
        <v>45869</v>
      </c>
      <c r="B19" s="27" t="s">
        <v>7</v>
      </c>
      <c r="C19" s="24">
        <v>-40.32</v>
      </c>
    </row>
    <row r="20" spans="1:3" x14ac:dyDescent="0.3">
      <c r="A20" s="26">
        <v>45869</v>
      </c>
      <c r="B20" s="32" t="s">
        <v>1</v>
      </c>
      <c r="C20" s="24">
        <v>15.85</v>
      </c>
    </row>
    <row r="21" spans="1:3" x14ac:dyDescent="0.3">
      <c r="A21" s="26">
        <v>45869</v>
      </c>
      <c r="B21" s="34" t="s">
        <v>1</v>
      </c>
      <c r="C21" s="24">
        <v>91.71</v>
      </c>
    </row>
    <row r="22" spans="1:3" x14ac:dyDescent="0.3">
      <c r="A22" s="26">
        <v>45989</v>
      </c>
      <c r="B22" s="27" t="s">
        <v>4</v>
      </c>
      <c r="C22" s="24">
        <v>-100</v>
      </c>
    </row>
    <row r="23" spans="1:3" x14ac:dyDescent="0.3">
      <c r="A23" s="26">
        <v>45996</v>
      </c>
      <c r="B23" s="27" t="s">
        <v>4</v>
      </c>
      <c r="C23" s="24">
        <v>-7.06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D4C0E-6033-4FEE-B906-4BE39515F508}">
  <sheetPr codeName="Hoja24"/>
  <dimension ref="A1:K73"/>
  <sheetViews>
    <sheetView view="pageBreakPreview" zoomScale="80" zoomScaleNormal="100" zoomScaleSheetLayoutView="80" workbookViewId="0">
      <selection activeCell="C74" sqref="C74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99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100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2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45817</v>
      </c>
      <c r="B5" s="71" t="s">
        <v>4</v>
      </c>
      <c r="C5" s="24">
        <v>-25.69</v>
      </c>
      <c r="D5" s="30"/>
      <c r="E5" s="30"/>
      <c r="F5" s="30"/>
      <c r="G5" s="22"/>
    </row>
    <row r="6" spans="1:8" hidden="1" x14ac:dyDescent="0.3">
      <c r="A6" s="21">
        <v>45815</v>
      </c>
      <c r="B6" s="72" t="s">
        <v>21</v>
      </c>
      <c r="C6" s="24">
        <v>25.69</v>
      </c>
    </row>
    <row r="7" spans="1:8" hidden="1" x14ac:dyDescent="0.3">
      <c r="A7" s="26">
        <v>45821</v>
      </c>
      <c r="B7" s="27" t="s">
        <v>4</v>
      </c>
      <c r="C7" s="24">
        <v>-16.02</v>
      </c>
    </row>
    <row r="8" spans="1:8" hidden="1" x14ac:dyDescent="0.3">
      <c r="A8" s="26">
        <v>45821</v>
      </c>
      <c r="B8" s="72" t="s">
        <v>21</v>
      </c>
      <c r="C8" s="24">
        <v>15.85</v>
      </c>
    </row>
    <row r="9" spans="1:8" hidden="1" x14ac:dyDescent="0.3">
      <c r="A9" s="26">
        <v>45838</v>
      </c>
      <c r="B9" s="27" t="s">
        <v>4</v>
      </c>
      <c r="C9" s="24">
        <v>-25.65</v>
      </c>
    </row>
    <row r="10" spans="1:8" hidden="1" x14ac:dyDescent="0.3">
      <c r="A10" s="26">
        <v>45835</v>
      </c>
      <c r="B10" s="72" t="s">
        <v>21</v>
      </c>
      <c r="C10" s="24">
        <v>25.69</v>
      </c>
    </row>
    <row r="11" spans="1:8" hidden="1" x14ac:dyDescent="0.3">
      <c r="A11" s="26">
        <v>45849</v>
      </c>
      <c r="B11" s="27" t="s">
        <v>4</v>
      </c>
      <c r="C11" s="24">
        <v>-15.98</v>
      </c>
    </row>
    <row r="12" spans="1:8" hidden="1" x14ac:dyDescent="0.3">
      <c r="A12" s="26">
        <v>45849</v>
      </c>
      <c r="B12" s="72" t="s">
        <v>21</v>
      </c>
      <c r="C12" s="24">
        <v>15.85</v>
      </c>
    </row>
    <row r="13" spans="1:8" hidden="1" x14ac:dyDescent="0.3">
      <c r="A13" s="26">
        <v>45859</v>
      </c>
      <c r="B13" s="27" t="s">
        <v>4</v>
      </c>
      <c r="C13" s="24">
        <v>-19.68</v>
      </c>
    </row>
    <row r="14" spans="1:8" hidden="1" x14ac:dyDescent="0.3">
      <c r="A14" s="26">
        <v>45860</v>
      </c>
      <c r="B14" s="72" t="s">
        <v>21</v>
      </c>
      <c r="C14" s="24">
        <v>19.68</v>
      </c>
    </row>
    <row r="15" spans="1:8" hidden="1" x14ac:dyDescent="0.3">
      <c r="A15" s="26">
        <v>45873</v>
      </c>
      <c r="B15" s="27" t="s">
        <v>4</v>
      </c>
      <c r="C15" s="24">
        <v>-25.51</v>
      </c>
    </row>
    <row r="16" spans="1:8" hidden="1" x14ac:dyDescent="0.3">
      <c r="A16" s="26">
        <v>45870</v>
      </c>
      <c r="B16" s="72" t="s">
        <v>21</v>
      </c>
      <c r="C16" s="24">
        <v>25.69</v>
      </c>
    </row>
    <row r="17" spans="1:3" hidden="1" x14ac:dyDescent="0.3">
      <c r="A17" s="26">
        <v>45891</v>
      </c>
      <c r="B17" s="27" t="s">
        <v>4</v>
      </c>
      <c r="C17" s="24">
        <v>-25.69</v>
      </c>
    </row>
    <row r="18" spans="1:3" hidden="1" x14ac:dyDescent="0.3">
      <c r="A18" s="26">
        <v>45891</v>
      </c>
      <c r="B18" s="72" t="s">
        <v>21</v>
      </c>
      <c r="C18" s="24">
        <v>25.69</v>
      </c>
    </row>
    <row r="19" spans="1:3" hidden="1" x14ac:dyDescent="0.3">
      <c r="A19" s="26">
        <v>45900</v>
      </c>
      <c r="B19" s="27" t="s">
        <v>4</v>
      </c>
      <c r="C19" s="24">
        <v>-9.84</v>
      </c>
    </row>
    <row r="20" spans="1:3" hidden="1" x14ac:dyDescent="0.3">
      <c r="A20" s="26">
        <v>45906</v>
      </c>
      <c r="B20" s="27" t="s">
        <v>4</v>
      </c>
      <c r="C20" s="24">
        <v>-19.53</v>
      </c>
    </row>
    <row r="21" spans="1:3" hidden="1" x14ac:dyDescent="0.3">
      <c r="A21" s="26">
        <v>45813</v>
      </c>
      <c r="B21" s="72" t="s">
        <v>21</v>
      </c>
      <c r="C21" s="24">
        <v>19.68</v>
      </c>
    </row>
    <row r="22" spans="1:3" hidden="1" x14ac:dyDescent="0.3">
      <c r="A22" s="26">
        <v>45909</v>
      </c>
      <c r="B22" s="72" t="s">
        <v>21</v>
      </c>
      <c r="C22" s="24">
        <v>9.84</v>
      </c>
    </row>
    <row r="23" spans="1:3" hidden="1" x14ac:dyDescent="0.3">
      <c r="A23" s="26">
        <v>45912</v>
      </c>
      <c r="B23" s="72" t="s">
        <v>21</v>
      </c>
      <c r="C23" s="24">
        <v>25.69</v>
      </c>
    </row>
    <row r="24" spans="1:3" hidden="1" x14ac:dyDescent="0.3">
      <c r="A24" s="26">
        <v>45916</v>
      </c>
      <c r="B24" s="27" t="s">
        <v>4</v>
      </c>
      <c r="C24" s="24">
        <v>-25.69</v>
      </c>
    </row>
    <row r="25" spans="1:3" x14ac:dyDescent="0.3">
      <c r="A25" s="26">
        <v>45919</v>
      </c>
      <c r="B25" s="72" t="s">
        <v>21</v>
      </c>
      <c r="C25" s="24">
        <v>4.5</v>
      </c>
    </row>
    <row r="26" spans="1:3" x14ac:dyDescent="0.3">
      <c r="A26" s="26">
        <v>45919</v>
      </c>
      <c r="B26" s="73" t="s">
        <v>21</v>
      </c>
      <c r="C26" s="24">
        <v>96.9</v>
      </c>
    </row>
    <row r="27" spans="1:3" x14ac:dyDescent="0.3">
      <c r="A27" s="26">
        <v>45922</v>
      </c>
      <c r="B27" s="27" t="s">
        <v>4</v>
      </c>
      <c r="C27" s="24">
        <v>-101.4</v>
      </c>
    </row>
    <row r="28" spans="1:3" x14ac:dyDescent="0.3">
      <c r="A28" s="26">
        <v>45926</v>
      </c>
      <c r="B28" s="27" t="s">
        <v>4</v>
      </c>
      <c r="C28" s="24">
        <v>-244.11</v>
      </c>
    </row>
    <row r="29" spans="1:3" x14ac:dyDescent="0.3">
      <c r="A29" s="26">
        <v>45926</v>
      </c>
      <c r="B29" s="72" t="s">
        <v>21</v>
      </c>
      <c r="C29" s="24">
        <v>21.94</v>
      </c>
    </row>
    <row r="30" spans="1:3" x14ac:dyDescent="0.3">
      <c r="A30" s="26">
        <v>45926</v>
      </c>
      <c r="B30" s="73" t="s">
        <v>21</v>
      </c>
      <c r="C30" s="24">
        <v>200.38</v>
      </c>
    </row>
    <row r="31" spans="1:3" x14ac:dyDescent="0.3">
      <c r="A31" s="26">
        <v>45933</v>
      </c>
      <c r="B31" s="72" t="s">
        <v>21</v>
      </c>
      <c r="C31" s="24">
        <v>17.34</v>
      </c>
    </row>
    <row r="32" spans="1:3" x14ac:dyDescent="0.3">
      <c r="A32" s="26">
        <v>45933</v>
      </c>
      <c r="B32" s="73" t="s">
        <v>21</v>
      </c>
      <c r="C32" s="24">
        <v>161.88999999999999</v>
      </c>
    </row>
    <row r="33" spans="1:3" x14ac:dyDescent="0.3">
      <c r="A33" s="26">
        <v>45936</v>
      </c>
      <c r="B33" s="27" t="s">
        <v>4</v>
      </c>
      <c r="C33" s="24">
        <v>-179.23</v>
      </c>
    </row>
    <row r="34" spans="1:3" x14ac:dyDescent="0.3">
      <c r="A34" s="26">
        <v>45940</v>
      </c>
      <c r="B34" s="27" t="s">
        <v>4</v>
      </c>
      <c r="C34" s="24">
        <v>-648.65</v>
      </c>
    </row>
    <row r="35" spans="1:3" x14ac:dyDescent="0.3">
      <c r="A35" s="26">
        <v>45940</v>
      </c>
      <c r="B35" s="72" t="s">
        <v>21</v>
      </c>
      <c r="C35" s="24">
        <v>58.56</v>
      </c>
    </row>
    <row r="36" spans="1:3" x14ac:dyDescent="0.3">
      <c r="A36" s="26">
        <v>45940</v>
      </c>
      <c r="B36" s="73" t="s">
        <v>21</v>
      </c>
      <c r="C36" s="24">
        <v>557.51</v>
      </c>
    </row>
    <row r="37" spans="1:3" x14ac:dyDescent="0.3">
      <c r="A37" s="26">
        <v>45940</v>
      </c>
      <c r="B37" s="74" t="s">
        <v>21</v>
      </c>
      <c r="C37" s="24">
        <v>35.700000000000003</v>
      </c>
    </row>
    <row r="38" spans="1:3" x14ac:dyDescent="0.3">
      <c r="A38" s="26">
        <v>45947</v>
      </c>
      <c r="B38" s="72" t="s">
        <v>21</v>
      </c>
      <c r="C38" s="24">
        <v>73.56</v>
      </c>
    </row>
    <row r="39" spans="1:3" x14ac:dyDescent="0.3">
      <c r="A39" s="26">
        <v>45947</v>
      </c>
      <c r="B39" s="73" t="s">
        <v>21</v>
      </c>
      <c r="C39" s="24">
        <v>604.48</v>
      </c>
    </row>
    <row r="40" spans="1:3" x14ac:dyDescent="0.3">
      <c r="A40" s="26">
        <v>45947</v>
      </c>
      <c r="B40" s="74" t="s">
        <v>21</v>
      </c>
      <c r="C40" s="24">
        <v>10.34</v>
      </c>
    </row>
    <row r="41" spans="1:3" x14ac:dyDescent="0.3">
      <c r="A41" s="26">
        <v>45950</v>
      </c>
      <c r="B41" s="27" t="s">
        <v>4</v>
      </c>
      <c r="C41" s="24">
        <v>-678.06</v>
      </c>
    </row>
    <row r="42" spans="1:3" x14ac:dyDescent="0.3">
      <c r="A42" s="26">
        <v>45953</v>
      </c>
      <c r="B42" s="27" t="s">
        <v>4</v>
      </c>
      <c r="C42" s="24">
        <v>-225.28</v>
      </c>
    </row>
    <row r="43" spans="1:3" x14ac:dyDescent="0.3">
      <c r="A43" s="26">
        <v>45954</v>
      </c>
      <c r="B43" s="72" t="s">
        <v>21</v>
      </c>
      <c r="C43" s="24">
        <v>55.58</v>
      </c>
    </row>
    <row r="44" spans="1:3" x14ac:dyDescent="0.3">
      <c r="A44" s="26">
        <v>45954</v>
      </c>
      <c r="B44" s="73" t="s">
        <v>21</v>
      </c>
      <c r="C44" s="24">
        <v>175.74</v>
      </c>
    </row>
    <row r="45" spans="1:3" x14ac:dyDescent="0.3">
      <c r="A45" s="26">
        <v>45958</v>
      </c>
      <c r="B45" s="27" t="s">
        <v>4</v>
      </c>
      <c r="C45" s="24">
        <v>-788.38</v>
      </c>
    </row>
    <row r="46" spans="1:3" x14ac:dyDescent="0.3">
      <c r="A46" s="26">
        <v>45958</v>
      </c>
      <c r="B46" s="72" t="s">
        <v>21</v>
      </c>
      <c r="C46" s="24">
        <v>74.44</v>
      </c>
    </row>
    <row r="47" spans="1:3" x14ac:dyDescent="0.3">
      <c r="A47" s="26">
        <v>45958</v>
      </c>
      <c r="B47" s="73" t="s">
        <v>21</v>
      </c>
      <c r="C47" s="24">
        <v>673.72</v>
      </c>
    </row>
    <row r="48" spans="1:3" x14ac:dyDescent="0.3">
      <c r="A48" s="26">
        <v>45958</v>
      </c>
      <c r="B48" s="74" t="s">
        <v>21</v>
      </c>
      <c r="C48" s="24">
        <v>40.22</v>
      </c>
    </row>
    <row r="49" spans="1:11" x14ac:dyDescent="0.3">
      <c r="A49" s="26">
        <v>45962</v>
      </c>
      <c r="B49" s="27" t="s">
        <v>4</v>
      </c>
      <c r="C49" s="24">
        <v>-16.38</v>
      </c>
    </row>
    <row r="50" spans="1:11" x14ac:dyDescent="0.3">
      <c r="A50" s="26">
        <v>45961</v>
      </c>
      <c r="B50" s="72" t="s">
        <v>21</v>
      </c>
      <c r="C50" s="24">
        <v>16.38</v>
      </c>
    </row>
    <row r="51" spans="1:11" x14ac:dyDescent="0.3">
      <c r="A51" s="26">
        <v>45965</v>
      </c>
      <c r="B51" s="27" t="s">
        <v>4</v>
      </c>
      <c r="C51" s="24">
        <v>-311.62</v>
      </c>
    </row>
    <row r="52" spans="1:11" x14ac:dyDescent="0.3">
      <c r="A52" s="26">
        <v>45965</v>
      </c>
      <c r="B52" s="72" t="s">
        <v>21</v>
      </c>
      <c r="C52" s="24">
        <v>82.76</v>
      </c>
    </row>
    <row r="53" spans="1:11" x14ac:dyDescent="0.3">
      <c r="A53" s="26">
        <v>45965</v>
      </c>
      <c r="B53" s="73" t="s">
        <v>21</v>
      </c>
      <c r="C53" s="24">
        <v>168.24</v>
      </c>
    </row>
    <row r="54" spans="1:11" x14ac:dyDescent="0.3">
      <c r="A54" s="26">
        <v>45965</v>
      </c>
      <c r="B54" s="74" t="s">
        <v>21</v>
      </c>
      <c r="C54" s="24">
        <v>60.61</v>
      </c>
    </row>
    <row r="55" spans="1:11" x14ac:dyDescent="0.3">
      <c r="A55" s="26">
        <v>45972</v>
      </c>
      <c r="B55" s="27" t="s">
        <v>1</v>
      </c>
      <c r="C55" s="24">
        <v>19.68</v>
      </c>
    </row>
    <row r="56" spans="1:11" x14ac:dyDescent="0.3">
      <c r="A56" s="26">
        <v>45979</v>
      </c>
      <c r="B56" s="27" t="s">
        <v>4</v>
      </c>
      <c r="C56" s="24">
        <v>-450</v>
      </c>
    </row>
    <row r="57" spans="1:11" x14ac:dyDescent="0.3">
      <c r="A57" s="26">
        <v>45979</v>
      </c>
      <c r="B57" s="27" t="s">
        <v>1</v>
      </c>
      <c r="C57" s="24">
        <v>516.94000000000005</v>
      </c>
      <c r="D57" s="25">
        <v>1</v>
      </c>
    </row>
    <row r="58" spans="1:11" x14ac:dyDescent="0.3">
      <c r="A58" s="26">
        <v>45980</v>
      </c>
      <c r="B58" s="27" t="s">
        <v>4</v>
      </c>
      <c r="C58" s="24">
        <v>-86.62</v>
      </c>
    </row>
    <row r="59" spans="1:11" x14ac:dyDescent="0.3">
      <c r="A59" s="26">
        <v>45989</v>
      </c>
      <c r="B59" s="27" t="s">
        <v>4</v>
      </c>
      <c r="C59" s="24">
        <v>-445.4</v>
      </c>
      <c r="K59" s="18" t="s">
        <v>508</v>
      </c>
    </row>
    <row r="60" spans="1:11" x14ac:dyDescent="0.3">
      <c r="A60" s="26">
        <v>45989</v>
      </c>
      <c r="B60" s="27" t="s">
        <v>1</v>
      </c>
      <c r="C60" s="24">
        <v>445.4</v>
      </c>
    </row>
    <row r="61" spans="1:11" x14ac:dyDescent="0.3">
      <c r="A61" s="26">
        <v>45998</v>
      </c>
      <c r="B61" s="27" t="s">
        <v>4</v>
      </c>
      <c r="C61" s="24">
        <v>-674.04</v>
      </c>
    </row>
    <row r="62" spans="1:11" x14ac:dyDescent="0.3">
      <c r="A62" s="26">
        <v>45996</v>
      </c>
      <c r="B62" s="27" t="s">
        <v>1</v>
      </c>
      <c r="C62" s="24">
        <v>674.06</v>
      </c>
    </row>
    <row r="63" spans="1:11" x14ac:dyDescent="0.3">
      <c r="A63" s="26">
        <v>45996</v>
      </c>
      <c r="B63" s="27" t="s">
        <v>503</v>
      </c>
      <c r="C63" s="24">
        <v>-22.8</v>
      </c>
    </row>
    <row r="64" spans="1:11" x14ac:dyDescent="0.3">
      <c r="A64" s="26">
        <v>46000</v>
      </c>
      <c r="B64" s="27" t="s">
        <v>1</v>
      </c>
      <c r="C64" s="24">
        <v>274.8</v>
      </c>
    </row>
    <row r="65" spans="1:4" x14ac:dyDescent="0.3">
      <c r="A65" s="26">
        <v>46001</v>
      </c>
      <c r="B65" s="27" t="s">
        <v>4</v>
      </c>
      <c r="C65" s="24">
        <v>-274.8</v>
      </c>
    </row>
    <row r="66" spans="1:4" x14ac:dyDescent="0.3">
      <c r="A66" s="26">
        <v>46010</v>
      </c>
      <c r="B66" s="27" t="s">
        <v>4</v>
      </c>
      <c r="C66" s="24">
        <v>-436.92</v>
      </c>
    </row>
    <row r="67" spans="1:4" x14ac:dyDescent="0.3">
      <c r="A67" s="26">
        <v>46010</v>
      </c>
      <c r="B67" s="27" t="s">
        <v>1</v>
      </c>
      <c r="C67" s="24">
        <v>432.5</v>
      </c>
      <c r="D67" s="25">
        <v>1</v>
      </c>
    </row>
    <row r="68" spans="1:4" x14ac:dyDescent="0.3">
      <c r="A68" s="26">
        <v>46017</v>
      </c>
      <c r="B68" s="27" t="s">
        <v>4</v>
      </c>
      <c r="C68" s="24">
        <v>-481.7</v>
      </c>
    </row>
    <row r="69" spans="1:4" x14ac:dyDescent="0.3">
      <c r="A69" s="26">
        <v>46017</v>
      </c>
      <c r="B69" s="27" t="s">
        <v>1</v>
      </c>
      <c r="C69" s="24">
        <v>475.65</v>
      </c>
    </row>
    <row r="70" spans="1:4" x14ac:dyDescent="0.3">
      <c r="A70" s="26">
        <v>46038</v>
      </c>
      <c r="B70" s="27" t="s">
        <v>4</v>
      </c>
      <c r="C70" s="24">
        <v>-74.959999999999994</v>
      </c>
    </row>
    <row r="71" spans="1:4" x14ac:dyDescent="0.3">
      <c r="A71" s="26">
        <v>46038</v>
      </c>
      <c r="B71" s="27" t="s">
        <v>1</v>
      </c>
      <c r="C71" s="24">
        <v>110.45</v>
      </c>
    </row>
    <row r="72" spans="1:4" x14ac:dyDescent="0.3">
      <c r="A72" s="26">
        <v>46055</v>
      </c>
      <c r="B72" s="27" t="s">
        <v>4</v>
      </c>
      <c r="C72" s="24">
        <v>-538.85</v>
      </c>
    </row>
    <row r="73" spans="1:4" x14ac:dyDescent="0.3">
      <c r="A73" s="26">
        <v>46052</v>
      </c>
      <c r="B73" s="27" t="s">
        <v>1</v>
      </c>
      <c r="C73" s="24">
        <v>538.86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EE68E-A7E8-4AC9-BA59-99ADE0BE2CC1}">
  <dimension ref="A1:H86"/>
  <sheetViews>
    <sheetView view="pageBreakPreview" zoomScale="85" zoomScaleNormal="100" zoomScaleSheetLayoutView="85" workbookViewId="0">
      <selection sqref="A1:H5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443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444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45917</v>
      </c>
      <c r="B5" s="27" t="s">
        <v>4</v>
      </c>
      <c r="C5" s="24">
        <v>-55.51</v>
      </c>
      <c r="D5" s="30"/>
      <c r="E5" s="30"/>
      <c r="F5" s="30"/>
      <c r="G5" s="22"/>
    </row>
    <row r="6" spans="1:8" x14ac:dyDescent="0.3">
      <c r="A6" s="21">
        <v>45917</v>
      </c>
      <c r="B6" s="32" t="s">
        <v>21</v>
      </c>
      <c r="C6" s="24">
        <v>25.69</v>
      </c>
    </row>
    <row r="7" spans="1:8" x14ac:dyDescent="0.3">
      <c r="A7" s="21">
        <v>45917</v>
      </c>
      <c r="B7" s="34" t="s">
        <v>1</v>
      </c>
      <c r="C7" s="24">
        <v>29.82</v>
      </c>
    </row>
    <row r="8" spans="1:8" x14ac:dyDescent="0.3">
      <c r="B8" s="32"/>
    </row>
    <row r="12" spans="1:8" x14ac:dyDescent="0.3">
      <c r="B12" s="32"/>
    </row>
    <row r="13" spans="1:8" x14ac:dyDescent="0.3">
      <c r="B13" s="34"/>
    </row>
    <row r="14" spans="1:8" x14ac:dyDescent="0.3">
      <c r="B14" s="46"/>
    </row>
    <row r="16" spans="1:8" x14ac:dyDescent="0.3">
      <c r="B16" s="32"/>
    </row>
    <row r="17" spans="2:2" x14ac:dyDescent="0.3">
      <c r="B17" s="34"/>
    </row>
    <row r="18" spans="2:2" x14ac:dyDescent="0.3">
      <c r="B18" s="46"/>
    </row>
    <row r="20" spans="2:2" x14ac:dyDescent="0.3">
      <c r="B20" s="32"/>
    </row>
    <row r="21" spans="2:2" x14ac:dyDescent="0.3">
      <c r="B21" s="34"/>
    </row>
    <row r="22" spans="2:2" x14ac:dyDescent="0.3">
      <c r="B22" s="46"/>
    </row>
    <row r="24" spans="2:2" x14ac:dyDescent="0.3">
      <c r="B24" s="32"/>
    </row>
    <row r="25" spans="2:2" x14ac:dyDescent="0.3">
      <c r="B25" s="34"/>
    </row>
    <row r="27" spans="2:2" x14ac:dyDescent="0.3">
      <c r="B27" s="32"/>
    </row>
    <row r="28" spans="2:2" x14ac:dyDescent="0.3">
      <c r="B28" s="34"/>
    </row>
    <row r="31" spans="2:2" x14ac:dyDescent="0.3">
      <c r="B31" s="32"/>
    </row>
    <row r="32" spans="2:2" x14ac:dyDescent="0.3">
      <c r="B32" s="34"/>
    </row>
    <row r="33" spans="2:2" x14ac:dyDescent="0.3">
      <c r="B33" s="46"/>
    </row>
    <row r="35" spans="2:2" x14ac:dyDescent="0.3">
      <c r="B35" s="32"/>
    </row>
    <row r="36" spans="2:2" x14ac:dyDescent="0.3">
      <c r="B36" s="34"/>
    </row>
    <row r="37" spans="2:2" x14ac:dyDescent="0.3">
      <c r="B37" s="46"/>
    </row>
    <row r="39" spans="2:2" x14ac:dyDescent="0.3">
      <c r="B39" s="32"/>
    </row>
    <row r="40" spans="2:2" x14ac:dyDescent="0.3">
      <c r="B40" s="34"/>
    </row>
    <row r="43" spans="2:2" x14ac:dyDescent="0.3">
      <c r="B43" s="32"/>
    </row>
    <row r="44" spans="2:2" x14ac:dyDescent="0.3">
      <c r="B44" s="34"/>
    </row>
    <row r="45" spans="2:2" x14ac:dyDescent="0.3">
      <c r="B45" s="46"/>
    </row>
    <row r="47" spans="2:2" x14ac:dyDescent="0.3">
      <c r="B47" s="32"/>
    </row>
    <row r="48" spans="2:2" x14ac:dyDescent="0.3">
      <c r="B48" s="34"/>
    </row>
    <row r="49" spans="2:2" x14ac:dyDescent="0.3">
      <c r="B49" s="46"/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471CE-95B9-4231-912A-E556C72E100B}">
  <sheetPr codeName="Hoja141"/>
  <dimension ref="A1:H103"/>
  <sheetViews>
    <sheetView view="pageBreakPreview" zoomScale="85" zoomScaleNormal="100" zoomScaleSheetLayoutView="85" workbookViewId="0">
      <selection activeCell="C103" sqref="C10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300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301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166.64000000000004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45833</v>
      </c>
      <c r="B5" s="32" t="s">
        <v>21</v>
      </c>
      <c r="C5" s="24">
        <v>32.64</v>
      </c>
      <c r="D5" s="30"/>
      <c r="E5" s="30"/>
      <c r="F5" s="30"/>
      <c r="G5" s="22"/>
    </row>
    <row r="6" spans="1:8" hidden="1" x14ac:dyDescent="0.3">
      <c r="A6" s="21">
        <v>45833</v>
      </c>
      <c r="B6" s="34" t="s">
        <v>1</v>
      </c>
      <c r="C6" s="24">
        <v>144.83000000000001</v>
      </c>
    </row>
    <row r="7" spans="1:8" hidden="1" x14ac:dyDescent="0.3">
      <c r="A7" s="21">
        <v>45839</v>
      </c>
      <c r="B7" s="27" t="s">
        <v>4</v>
      </c>
      <c r="C7" s="24">
        <v>-143.41</v>
      </c>
    </row>
    <row r="8" spans="1:8" hidden="1" x14ac:dyDescent="0.3">
      <c r="A8" s="26">
        <v>45840</v>
      </c>
      <c r="B8" s="27" t="s">
        <v>4</v>
      </c>
      <c r="C8" s="24">
        <v>-34.06</v>
      </c>
    </row>
    <row r="9" spans="1:8" hidden="1" x14ac:dyDescent="0.3">
      <c r="A9" s="26">
        <v>45840</v>
      </c>
      <c r="B9" s="32" t="s">
        <v>1</v>
      </c>
      <c r="C9" s="24">
        <v>19.68</v>
      </c>
    </row>
    <row r="10" spans="1:8" hidden="1" x14ac:dyDescent="0.3">
      <c r="A10" s="26">
        <v>45840</v>
      </c>
      <c r="B10" s="34" t="s">
        <v>1</v>
      </c>
      <c r="C10" s="24">
        <v>145.06</v>
      </c>
    </row>
    <row r="11" spans="1:8" hidden="1" x14ac:dyDescent="0.3">
      <c r="A11" s="26">
        <v>45846</v>
      </c>
      <c r="B11" s="27" t="s">
        <v>4</v>
      </c>
      <c r="C11" s="24">
        <v>-164.74</v>
      </c>
    </row>
    <row r="12" spans="1:8" hidden="1" x14ac:dyDescent="0.3">
      <c r="A12" s="26">
        <v>45847</v>
      </c>
      <c r="B12" s="32" t="s">
        <v>1</v>
      </c>
      <c r="C12" s="24">
        <v>7.8</v>
      </c>
    </row>
    <row r="13" spans="1:8" hidden="1" x14ac:dyDescent="0.3">
      <c r="A13" s="26">
        <v>45847</v>
      </c>
      <c r="B13" s="34" t="s">
        <v>1</v>
      </c>
      <c r="C13" s="24">
        <v>82.87</v>
      </c>
    </row>
    <row r="14" spans="1:8" hidden="1" x14ac:dyDescent="0.3">
      <c r="A14" s="26">
        <v>45847</v>
      </c>
      <c r="B14" s="46" t="s">
        <v>1</v>
      </c>
      <c r="C14" s="24">
        <v>5.4</v>
      </c>
    </row>
    <row r="15" spans="1:8" hidden="1" x14ac:dyDescent="0.3">
      <c r="A15" s="26">
        <v>45853</v>
      </c>
      <c r="B15" s="27" t="s">
        <v>4</v>
      </c>
      <c r="C15" s="24">
        <v>-96.08</v>
      </c>
    </row>
    <row r="16" spans="1:8" hidden="1" x14ac:dyDescent="0.3">
      <c r="A16" s="26">
        <v>45854</v>
      </c>
      <c r="B16" s="32" t="s">
        <v>1</v>
      </c>
      <c r="C16" s="24">
        <v>7.5</v>
      </c>
    </row>
    <row r="17" spans="1:3" hidden="1" x14ac:dyDescent="0.3">
      <c r="A17" s="26">
        <v>45854</v>
      </c>
      <c r="B17" s="34" t="s">
        <v>1</v>
      </c>
      <c r="C17" s="24">
        <v>53.44</v>
      </c>
    </row>
    <row r="18" spans="1:3" hidden="1" x14ac:dyDescent="0.3">
      <c r="A18" s="26">
        <v>45854</v>
      </c>
      <c r="B18" s="46" t="s">
        <v>1</v>
      </c>
      <c r="C18" s="24">
        <v>23.25</v>
      </c>
    </row>
    <row r="19" spans="1:3" hidden="1" x14ac:dyDescent="0.3">
      <c r="A19" s="26">
        <v>45859</v>
      </c>
      <c r="B19" s="27" t="s">
        <v>4</v>
      </c>
      <c r="C19" s="24">
        <v>-84.19</v>
      </c>
    </row>
    <row r="20" spans="1:3" hidden="1" x14ac:dyDescent="0.3">
      <c r="A20" s="26">
        <v>45861</v>
      </c>
      <c r="B20" s="32" t="s">
        <v>1</v>
      </c>
      <c r="C20" s="24">
        <v>17.34</v>
      </c>
    </row>
    <row r="21" spans="1:3" hidden="1" x14ac:dyDescent="0.3">
      <c r="A21" s="26">
        <v>45861</v>
      </c>
      <c r="B21" s="34" t="s">
        <v>1</v>
      </c>
      <c r="C21" s="24">
        <v>105.95</v>
      </c>
    </row>
    <row r="22" spans="1:3" hidden="1" x14ac:dyDescent="0.3">
      <c r="A22" s="26">
        <v>45861</v>
      </c>
      <c r="B22" s="46" t="s">
        <v>1</v>
      </c>
      <c r="C22" s="24">
        <v>16.05</v>
      </c>
    </row>
    <row r="23" spans="1:3" hidden="1" x14ac:dyDescent="0.3">
      <c r="A23" s="26">
        <v>45866</v>
      </c>
      <c r="B23" s="27" t="s">
        <v>4</v>
      </c>
      <c r="C23" s="24">
        <v>-139.34</v>
      </c>
    </row>
    <row r="24" spans="1:3" hidden="1" x14ac:dyDescent="0.3">
      <c r="A24" s="26">
        <v>45868</v>
      </c>
      <c r="B24" s="32" t="s">
        <v>1</v>
      </c>
      <c r="C24" s="24">
        <v>20.350000000000001</v>
      </c>
    </row>
    <row r="25" spans="1:3" hidden="1" x14ac:dyDescent="0.3">
      <c r="A25" s="26">
        <v>45868</v>
      </c>
      <c r="B25" s="34" t="s">
        <v>1</v>
      </c>
      <c r="C25" s="24">
        <v>48.43</v>
      </c>
    </row>
    <row r="26" spans="1:3" hidden="1" x14ac:dyDescent="0.3">
      <c r="A26" s="26">
        <v>45874</v>
      </c>
      <c r="B26" s="27" t="s">
        <v>4</v>
      </c>
      <c r="C26" s="24">
        <v>-68.78</v>
      </c>
    </row>
    <row r="27" spans="1:3" hidden="1" x14ac:dyDescent="0.3">
      <c r="A27" s="26">
        <v>45875</v>
      </c>
      <c r="B27" s="32" t="s">
        <v>1</v>
      </c>
      <c r="C27" s="24">
        <v>24.3</v>
      </c>
    </row>
    <row r="28" spans="1:3" hidden="1" x14ac:dyDescent="0.3">
      <c r="A28" s="26">
        <v>45875</v>
      </c>
      <c r="B28" s="34" t="s">
        <v>1</v>
      </c>
      <c r="C28" s="24">
        <v>75.819999999999993</v>
      </c>
    </row>
    <row r="29" spans="1:3" hidden="1" x14ac:dyDescent="0.3">
      <c r="A29" s="26">
        <v>45880</v>
      </c>
      <c r="B29" s="27" t="s">
        <v>4</v>
      </c>
      <c r="C29" s="24">
        <v>-60</v>
      </c>
    </row>
    <row r="30" spans="1:3" hidden="1" x14ac:dyDescent="0.3">
      <c r="A30" s="26">
        <v>45882</v>
      </c>
      <c r="B30" s="27" t="s">
        <v>4</v>
      </c>
      <c r="C30" s="24">
        <v>-40.119999999999997</v>
      </c>
    </row>
    <row r="31" spans="1:3" hidden="1" x14ac:dyDescent="0.3">
      <c r="A31" s="26">
        <v>45882</v>
      </c>
      <c r="B31" s="32" t="s">
        <v>1</v>
      </c>
      <c r="C31" s="24">
        <v>18.84</v>
      </c>
    </row>
    <row r="32" spans="1:3" hidden="1" x14ac:dyDescent="0.3">
      <c r="A32" s="26">
        <v>45882</v>
      </c>
      <c r="B32" s="34" t="s">
        <v>1</v>
      </c>
      <c r="C32" s="24">
        <v>67.03</v>
      </c>
    </row>
    <row r="33" spans="1:3" hidden="1" x14ac:dyDescent="0.3">
      <c r="A33" s="26">
        <v>45882</v>
      </c>
      <c r="B33" s="46" t="s">
        <v>1</v>
      </c>
      <c r="C33" s="24">
        <v>11.83</v>
      </c>
    </row>
    <row r="34" spans="1:3" hidden="1" x14ac:dyDescent="0.3">
      <c r="A34" s="26">
        <v>45888</v>
      </c>
      <c r="B34" s="27" t="s">
        <v>4</v>
      </c>
      <c r="C34" s="24">
        <v>-97.7</v>
      </c>
    </row>
    <row r="35" spans="1:3" hidden="1" x14ac:dyDescent="0.3">
      <c r="A35" s="26">
        <v>45889</v>
      </c>
      <c r="B35" s="32" t="s">
        <v>1</v>
      </c>
      <c r="C35" s="24">
        <v>27.18</v>
      </c>
    </row>
    <row r="36" spans="1:3" hidden="1" x14ac:dyDescent="0.3">
      <c r="A36" s="26">
        <v>45889</v>
      </c>
      <c r="B36" s="34" t="s">
        <v>1</v>
      </c>
      <c r="C36" s="24">
        <v>89.61</v>
      </c>
    </row>
    <row r="37" spans="1:3" hidden="1" x14ac:dyDescent="0.3">
      <c r="A37" s="26">
        <v>45889</v>
      </c>
      <c r="B37" s="46" t="s">
        <v>1</v>
      </c>
      <c r="C37" s="24">
        <v>9.65</v>
      </c>
    </row>
    <row r="38" spans="1:3" hidden="1" x14ac:dyDescent="0.3">
      <c r="A38" s="26">
        <v>45895</v>
      </c>
      <c r="B38" s="27" t="s">
        <v>4</v>
      </c>
      <c r="C38" s="24">
        <v>-126.44</v>
      </c>
    </row>
    <row r="39" spans="1:3" hidden="1" x14ac:dyDescent="0.3">
      <c r="A39" s="26">
        <v>45896</v>
      </c>
      <c r="B39" s="32" t="s">
        <v>1</v>
      </c>
      <c r="C39" s="24">
        <v>21.84</v>
      </c>
    </row>
    <row r="40" spans="1:3" hidden="1" x14ac:dyDescent="0.3">
      <c r="A40" s="26">
        <v>45896</v>
      </c>
      <c r="B40" s="34" t="s">
        <v>1</v>
      </c>
      <c r="C40" s="24">
        <v>135.63</v>
      </c>
    </row>
    <row r="41" spans="1:3" hidden="1" x14ac:dyDescent="0.3">
      <c r="A41" s="26">
        <v>45898</v>
      </c>
      <c r="B41" s="27" t="s">
        <v>4</v>
      </c>
      <c r="C41" s="24">
        <v>-21.64</v>
      </c>
    </row>
    <row r="42" spans="1:3" hidden="1" x14ac:dyDescent="0.3">
      <c r="A42" s="26">
        <v>45902</v>
      </c>
      <c r="B42" s="27" t="s">
        <v>4</v>
      </c>
      <c r="C42" s="24">
        <v>-135.83000000000001</v>
      </c>
    </row>
    <row r="43" spans="1:3" hidden="1" x14ac:dyDescent="0.3">
      <c r="A43" s="26">
        <v>45903</v>
      </c>
      <c r="B43" s="32" t="s">
        <v>1</v>
      </c>
      <c r="C43" s="24">
        <v>33.18</v>
      </c>
    </row>
    <row r="44" spans="1:3" hidden="1" x14ac:dyDescent="0.3">
      <c r="A44" s="26">
        <v>45903</v>
      </c>
      <c r="B44" s="34" t="s">
        <v>1</v>
      </c>
      <c r="C44" s="24">
        <v>70.75</v>
      </c>
    </row>
    <row r="45" spans="1:3" hidden="1" x14ac:dyDescent="0.3">
      <c r="A45" s="26">
        <v>45903</v>
      </c>
      <c r="B45" s="46" t="s">
        <v>1</v>
      </c>
      <c r="C45" s="24">
        <v>5.42</v>
      </c>
    </row>
    <row r="46" spans="1:3" hidden="1" x14ac:dyDescent="0.3">
      <c r="A46" s="26">
        <v>45909</v>
      </c>
      <c r="B46" s="27" t="s">
        <v>4</v>
      </c>
      <c r="C46" s="24">
        <v>-109.35</v>
      </c>
    </row>
    <row r="47" spans="1:3" hidden="1" x14ac:dyDescent="0.3">
      <c r="A47" s="26">
        <v>45910</v>
      </c>
      <c r="B47" s="32" t="s">
        <v>1</v>
      </c>
      <c r="C47" s="24">
        <v>32.65</v>
      </c>
    </row>
    <row r="48" spans="1:3" hidden="1" x14ac:dyDescent="0.3">
      <c r="A48" s="26">
        <v>45910</v>
      </c>
      <c r="B48" s="34" t="s">
        <v>1</v>
      </c>
      <c r="C48" s="24">
        <v>85.5</v>
      </c>
    </row>
    <row r="49" spans="1:3" hidden="1" x14ac:dyDescent="0.3">
      <c r="A49" s="26">
        <v>45910</v>
      </c>
      <c r="B49" s="46" t="s">
        <v>1</v>
      </c>
      <c r="C49" s="24">
        <v>5.42</v>
      </c>
    </row>
    <row r="50" spans="1:3" hidden="1" x14ac:dyDescent="0.3">
      <c r="A50" s="26">
        <v>45916</v>
      </c>
      <c r="B50" s="27" t="s">
        <v>4</v>
      </c>
      <c r="C50" s="24">
        <v>-123.6</v>
      </c>
    </row>
    <row r="51" spans="1:3" hidden="1" x14ac:dyDescent="0.3">
      <c r="A51" s="26">
        <v>45917</v>
      </c>
      <c r="B51" s="32" t="s">
        <v>1</v>
      </c>
      <c r="C51" s="24">
        <v>25.8</v>
      </c>
    </row>
    <row r="52" spans="1:3" hidden="1" x14ac:dyDescent="0.3">
      <c r="A52" s="26">
        <v>45917</v>
      </c>
      <c r="B52" s="34" t="s">
        <v>1</v>
      </c>
      <c r="C52" s="24">
        <v>35.04</v>
      </c>
    </row>
    <row r="53" spans="1:3" hidden="1" x14ac:dyDescent="0.3">
      <c r="A53" s="26">
        <v>45923</v>
      </c>
      <c r="B53" s="27" t="s">
        <v>4</v>
      </c>
      <c r="C53" s="24">
        <v>-60.84</v>
      </c>
    </row>
    <row r="54" spans="1:3" hidden="1" x14ac:dyDescent="0.3">
      <c r="A54" s="26">
        <v>45924</v>
      </c>
      <c r="B54" s="32" t="s">
        <v>1</v>
      </c>
      <c r="C54" s="24">
        <v>4.5</v>
      </c>
    </row>
    <row r="55" spans="1:3" hidden="1" x14ac:dyDescent="0.3">
      <c r="A55" s="26">
        <v>45924</v>
      </c>
      <c r="B55" s="34" t="s">
        <v>1</v>
      </c>
      <c r="C55" s="24">
        <v>53.92</v>
      </c>
    </row>
    <row r="56" spans="1:3" hidden="1" x14ac:dyDescent="0.3">
      <c r="A56" s="26">
        <v>45924</v>
      </c>
      <c r="B56" s="46" t="s">
        <v>1</v>
      </c>
      <c r="C56" s="24">
        <v>7.9</v>
      </c>
    </row>
    <row r="57" spans="1:3" hidden="1" x14ac:dyDescent="0.3">
      <c r="A57" s="26">
        <v>45930</v>
      </c>
      <c r="B57" s="27" t="s">
        <v>4</v>
      </c>
      <c r="C57" s="24">
        <v>-66.319999999999993</v>
      </c>
    </row>
    <row r="58" spans="1:3" hidden="1" x14ac:dyDescent="0.3">
      <c r="A58" s="26">
        <v>45931</v>
      </c>
      <c r="B58" s="32" t="s">
        <v>1</v>
      </c>
      <c r="C58" s="24">
        <v>31.15</v>
      </c>
    </row>
    <row r="59" spans="1:3" hidden="1" x14ac:dyDescent="0.3">
      <c r="A59" s="26">
        <v>45931</v>
      </c>
      <c r="B59" s="34" t="s">
        <v>1</v>
      </c>
      <c r="C59" s="24">
        <v>107.88</v>
      </c>
    </row>
    <row r="60" spans="1:3" hidden="1" x14ac:dyDescent="0.3">
      <c r="A60" s="26">
        <v>45937</v>
      </c>
      <c r="B60" s="27" t="s">
        <v>4</v>
      </c>
      <c r="C60" s="24">
        <v>-123.01</v>
      </c>
    </row>
    <row r="61" spans="1:3" hidden="1" x14ac:dyDescent="0.3">
      <c r="A61" s="26">
        <v>45938</v>
      </c>
      <c r="B61" s="32" t="s">
        <v>1</v>
      </c>
      <c r="C61" s="24">
        <v>63.72</v>
      </c>
    </row>
    <row r="62" spans="1:3" hidden="1" x14ac:dyDescent="0.3">
      <c r="A62" s="26">
        <v>45938</v>
      </c>
      <c r="B62" s="34" t="s">
        <v>1</v>
      </c>
      <c r="C62" s="24">
        <v>75</v>
      </c>
    </row>
    <row r="63" spans="1:3" hidden="1" x14ac:dyDescent="0.3">
      <c r="A63" s="26">
        <v>45944</v>
      </c>
      <c r="B63" s="27" t="s">
        <v>4</v>
      </c>
      <c r="C63" s="24">
        <v>-138.72</v>
      </c>
    </row>
    <row r="64" spans="1:3" hidden="1" x14ac:dyDescent="0.3">
      <c r="A64" s="26">
        <v>45945</v>
      </c>
      <c r="B64" s="32" t="s">
        <v>1</v>
      </c>
      <c r="C64" s="24">
        <v>33.840000000000003</v>
      </c>
    </row>
    <row r="65" spans="1:3" hidden="1" x14ac:dyDescent="0.3">
      <c r="A65" s="26">
        <v>45945</v>
      </c>
      <c r="B65" s="34" t="s">
        <v>1</v>
      </c>
      <c r="C65" s="24">
        <v>89.5</v>
      </c>
    </row>
    <row r="66" spans="1:3" hidden="1" x14ac:dyDescent="0.3">
      <c r="A66" s="26">
        <v>45945</v>
      </c>
      <c r="B66" s="46" t="s">
        <v>1</v>
      </c>
      <c r="C66" s="24">
        <v>6</v>
      </c>
    </row>
    <row r="67" spans="1:3" hidden="1" x14ac:dyDescent="0.3">
      <c r="A67" s="26">
        <v>45950</v>
      </c>
      <c r="B67" s="27" t="s">
        <v>4</v>
      </c>
      <c r="C67" s="24">
        <v>-129.34</v>
      </c>
    </row>
    <row r="68" spans="1:3" hidden="1" x14ac:dyDescent="0.3">
      <c r="A68" s="26">
        <v>45950</v>
      </c>
      <c r="B68" s="32" t="s">
        <v>1</v>
      </c>
      <c r="C68" s="24">
        <v>33.299999999999997</v>
      </c>
    </row>
    <row r="69" spans="1:3" hidden="1" x14ac:dyDescent="0.3">
      <c r="A69" s="26">
        <v>45952</v>
      </c>
      <c r="B69" s="34" t="s">
        <v>1</v>
      </c>
      <c r="C69" s="24">
        <v>69.11</v>
      </c>
    </row>
    <row r="70" spans="1:3" hidden="1" x14ac:dyDescent="0.3">
      <c r="A70" s="26">
        <v>45957</v>
      </c>
      <c r="B70" s="27" t="s">
        <v>4</v>
      </c>
      <c r="C70" s="24">
        <v>-102.41</v>
      </c>
    </row>
    <row r="71" spans="1:3" hidden="1" x14ac:dyDescent="0.3">
      <c r="A71" s="26">
        <v>45959</v>
      </c>
      <c r="B71" s="27" t="s">
        <v>4</v>
      </c>
      <c r="C71" s="24">
        <v>-16.02</v>
      </c>
    </row>
    <row r="72" spans="1:3" hidden="1" x14ac:dyDescent="0.3">
      <c r="A72" s="26">
        <v>45959</v>
      </c>
      <c r="B72" s="32" t="s">
        <v>1</v>
      </c>
      <c r="C72" s="24">
        <v>21.8</v>
      </c>
    </row>
    <row r="73" spans="1:3" hidden="1" x14ac:dyDescent="0.3">
      <c r="A73" s="26">
        <v>45959</v>
      </c>
      <c r="B73" s="34" t="s">
        <v>1</v>
      </c>
      <c r="C73" s="24">
        <v>91.35</v>
      </c>
    </row>
    <row r="74" spans="1:3" hidden="1" x14ac:dyDescent="0.3">
      <c r="A74" s="26">
        <v>45966</v>
      </c>
      <c r="B74" s="27" t="s">
        <v>4</v>
      </c>
      <c r="C74" s="24">
        <v>-50</v>
      </c>
    </row>
    <row r="75" spans="1:3" hidden="1" x14ac:dyDescent="0.3">
      <c r="A75" s="26">
        <v>45966</v>
      </c>
      <c r="B75" s="32" t="s">
        <v>1</v>
      </c>
      <c r="C75" s="24">
        <v>4.5</v>
      </c>
    </row>
    <row r="76" spans="1:3" hidden="1" x14ac:dyDescent="0.3">
      <c r="A76" s="26">
        <v>45966</v>
      </c>
      <c r="B76" s="34" t="s">
        <v>1</v>
      </c>
      <c r="C76" s="24">
        <v>73.38</v>
      </c>
    </row>
    <row r="77" spans="1:3" hidden="1" x14ac:dyDescent="0.3">
      <c r="A77" s="26">
        <v>45968</v>
      </c>
      <c r="B77" s="27" t="s">
        <v>4</v>
      </c>
      <c r="C77" s="24">
        <v>-63.19</v>
      </c>
    </row>
    <row r="78" spans="1:3" hidden="1" x14ac:dyDescent="0.3">
      <c r="A78" s="26">
        <v>45972</v>
      </c>
      <c r="B78" s="27" t="s">
        <v>4</v>
      </c>
      <c r="C78" s="24">
        <v>-77.88</v>
      </c>
    </row>
    <row r="79" spans="1:3" hidden="1" x14ac:dyDescent="0.3">
      <c r="A79" s="26">
        <v>45973</v>
      </c>
      <c r="B79" s="27" t="s">
        <v>1</v>
      </c>
      <c r="C79" s="24">
        <v>101.62</v>
      </c>
    </row>
    <row r="80" spans="1:3" hidden="1" x14ac:dyDescent="0.3">
      <c r="A80" s="26">
        <v>45978</v>
      </c>
      <c r="B80" s="27" t="s">
        <v>4</v>
      </c>
      <c r="C80" s="24">
        <v>-88</v>
      </c>
    </row>
    <row r="81" spans="1:3" hidden="1" x14ac:dyDescent="0.3">
      <c r="A81" s="26">
        <v>45979</v>
      </c>
      <c r="B81" s="27" t="s">
        <v>4</v>
      </c>
      <c r="C81" s="24">
        <v>-13.62</v>
      </c>
    </row>
    <row r="82" spans="1:3" hidden="1" x14ac:dyDescent="0.3">
      <c r="A82" s="26">
        <v>45980</v>
      </c>
      <c r="B82" s="27" t="s">
        <v>1</v>
      </c>
      <c r="C82" s="24">
        <v>113.86</v>
      </c>
    </row>
    <row r="83" spans="1:3" hidden="1" x14ac:dyDescent="0.3">
      <c r="A83" s="26">
        <v>45986</v>
      </c>
      <c r="B83" s="27" t="s">
        <v>4</v>
      </c>
      <c r="C83" s="24">
        <v>-53.47</v>
      </c>
    </row>
    <row r="84" spans="1:3" hidden="1" x14ac:dyDescent="0.3">
      <c r="A84" s="26">
        <v>45986</v>
      </c>
      <c r="B84" s="27" t="s">
        <v>4</v>
      </c>
      <c r="C84" s="24">
        <v>-60.39</v>
      </c>
    </row>
    <row r="85" spans="1:3" x14ac:dyDescent="0.3">
      <c r="A85" s="26">
        <v>45987</v>
      </c>
      <c r="B85" s="27" t="s">
        <v>1</v>
      </c>
      <c r="C85" s="24">
        <v>102.59</v>
      </c>
    </row>
    <row r="86" spans="1:3" x14ac:dyDescent="0.3">
      <c r="A86" s="26">
        <v>45993</v>
      </c>
      <c r="B86" s="31" t="s">
        <v>4</v>
      </c>
      <c r="C86" s="24">
        <v>-78</v>
      </c>
    </row>
    <row r="87" spans="1:3" x14ac:dyDescent="0.3">
      <c r="A87" s="26">
        <v>45994</v>
      </c>
      <c r="B87" s="27" t="s">
        <v>1</v>
      </c>
      <c r="C87" s="24">
        <v>68.959999999999994</v>
      </c>
    </row>
    <row r="88" spans="1:3" x14ac:dyDescent="0.3">
      <c r="A88" s="26">
        <v>45995</v>
      </c>
      <c r="B88" s="27" t="s">
        <v>4</v>
      </c>
      <c r="C88" s="24">
        <v>-24.59</v>
      </c>
    </row>
    <row r="89" spans="1:3" x14ac:dyDescent="0.3">
      <c r="A89" s="26">
        <v>46001</v>
      </c>
      <c r="B89" s="27" t="s">
        <v>4</v>
      </c>
      <c r="C89" s="24">
        <v>-40</v>
      </c>
    </row>
    <row r="90" spans="1:3" x14ac:dyDescent="0.3">
      <c r="A90" s="26">
        <v>46001</v>
      </c>
      <c r="B90" s="27" t="s">
        <v>1</v>
      </c>
      <c r="C90" s="24">
        <v>136.55000000000001</v>
      </c>
    </row>
    <row r="91" spans="1:3" x14ac:dyDescent="0.3">
      <c r="A91" s="26">
        <v>46002</v>
      </c>
      <c r="B91" s="27" t="s">
        <v>4</v>
      </c>
      <c r="C91" s="24">
        <v>-28.96</v>
      </c>
    </row>
    <row r="92" spans="1:3" x14ac:dyDescent="0.3">
      <c r="A92" s="26">
        <v>46008</v>
      </c>
      <c r="B92" s="27" t="s">
        <v>4</v>
      </c>
      <c r="C92" s="24">
        <v>-136.55000000000001</v>
      </c>
    </row>
    <row r="93" spans="1:3" x14ac:dyDescent="0.3">
      <c r="A93" s="26">
        <v>46008</v>
      </c>
      <c r="B93" s="27" t="s">
        <v>1</v>
      </c>
      <c r="C93" s="24">
        <v>168.61</v>
      </c>
    </row>
    <row r="94" spans="1:3" x14ac:dyDescent="0.3">
      <c r="A94" s="26">
        <v>46020</v>
      </c>
      <c r="B94" s="27" t="s">
        <v>4</v>
      </c>
      <c r="C94" s="24">
        <v>-168.61</v>
      </c>
    </row>
    <row r="95" spans="1:3" x14ac:dyDescent="0.3">
      <c r="A95" s="26">
        <v>46029</v>
      </c>
      <c r="B95" s="27" t="s">
        <v>1</v>
      </c>
      <c r="C95" s="24">
        <v>112.11</v>
      </c>
    </row>
    <row r="96" spans="1:3" x14ac:dyDescent="0.3">
      <c r="A96" s="26">
        <v>46035</v>
      </c>
      <c r="B96" s="27" t="s">
        <v>4</v>
      </c>
      <c r="C96" s="24">
        <v>-112.11</v>
      </c>
    </row>
    <row r="97" spans="1:3" x14ac:dyDescent="0.3">
      <c r="A97" s="26">
        <v>42383</v>
      </c>
      <c r="B97" s="27" t="s">
        <v>1</v>
      </c>
      <c r="C97" s="24">
        <v>117.84</v>
      </c>
    </row>
    <row r="98" spans="1:3" x14ac:dyDescent="0.3">
      <c r="A98" s="26">
        <v>46042</v>
      </c>
      <c r="B98" s="27" t="s">
        <v>4</v>
      </c>
      <c r="C98" s="24">
        <v>-30</v>
      </c>
    </row>
    <row r="99" spans="1:3" x14ac:dyDescent="0.3">
      <c r="A99" s="26">
        <v>46043</v>
      </c>
      <c r="B99" s="27" t="s">
        <v>1</v>
      </c>
      <c r="C99" s="24">
        <v>115.22</v>
      </c>
    </row>
    <row r="100" spans="1:3" x14ac:dyDescent="0.3">
      <c r="A100" s="26">
        <v>46048</v>
      </c>
      <c r="B100" s="27" t="s">
        <v>4</v>
      </c>
      <c r="C100" s="24">
        <v>-80.22</v>
      </c>
    </row>
    <row r="101" spans="1:3" x14ac:dyDescent="0.3">
      <c r="A101" s="26">
        <v>46048</v>
      </c>
      <c r="B101" s="27" t="s">
        <v>4</v>
      </c>
      <c r="C101" s="24">
        <v>-35</v>
      </c>
    </row>
    <row r="102" spans="1:3" x14ac:dyDescent="0.3">
      <c r="A102" s="26">
        <v>46050</v>
      </c>
      <c r="B102" s="27" t="s">
        <v>1</v>
      </c>
      <c r="C102" s="24">
        <v>158.88</v>
      </c>
    </row>
    <row r="103" spans="1:3" x14ac:dyDescent="0.3">
      <c r="A103" s="26">
        <v>46056</v>
      </c>
      <c r="B103" s="27" t="s">
        <v>4</v>
      </c>
      <c r="C103" s="24">
        <v>-80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3890-0A3B-424C-AA2F-569A0887C5D2}">
  <sheetPr codeName="Hoja25"/>
  <dimension ref="A1:H97"/>
  <sheetViews>
    <sheetView view="pageBreakPreview" zoomScale="80" zoomScaleNormal="100" zoomScaleSheetLayoutView="80" workbookViewId="0">
      <selection activeCell="C98" sqref="C9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169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170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9.0000000000006963E-2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45819</v>
      </c>
      <c r="B5" s="32" t="s">
        <v>21</v>
      </c>
      <c r="C5" s="24">
        <v>17.54</v>
      </c>
      <c r="D5" s="30"/>
      <c r="E5" s="30"/>
      <c r="F5" s="30"/>
      <c r="G5" s="22"/>
    </row>
    <row r="6" spans="1:8" hidden="1" x14ac:dyDescent="0.3">
      <c r="A6" s="21">
        <v>45819</v>
      </c>
      <c r="B6" s="34" t="s">
        <v>21</v>
      </c>
      <c r="C6" s="24">
        <v>93.91</v>
      </c>
    </row>
    <row r="7" spans="1:8" hidden="1" x14ac:dyDescent="0.3">
      <c r="A7" s="21">
        <v>45825</v>
      </c>
      <c r="B7" s="27" t="s">
        <v>4</v>
      </c>
      <c r="C7" s="24">
        <v>-111.44</v>
      </c>
    </row>
    <row r="8" spans="1:8" hidden="1" x14ac:dyDescent="0.3">
      <c r="A8" s="26">
        <v>45826</v>
      </c>
      <c r="B8" s="34" t="s">
        <v>21</v>
      </c>
      <c r="C8" s="24">
        <v>26.46</v>
      </c>
    </row>
    <row r="9" spans="1:8" hidden="1" x14ac:dyDescent="0.3">
      <c r="A9" s="26">
        <v>45826</v>
      </c>
      <c r="B9" s="46" t="s">
        <v>21</v>
      </c>
      <c r="C9" s="24">
        <v>6.42</v>
      </c>
    </row>
    <row r="10" spans="1:8" hidden="1" x14ac:dyDescent="0.3">
      <c r="A10" s="26">
        <v>45833</v>
      </c>
      <c r="B10" s="31" t="s">
        <v>4</v>
      </c>
      <c r="C10" s="24">
        <v>-32.880000000000003</v>
      </c>
    </row>
    <row r="11" spans="1:8" hidden="1" x14ac:dyDescent="0.3">
      <c r="A11" s="26">
        <v>45833</v>
      </c>
      <c r="B11" s="32" t="s">
        <v>21</v>
      </c>
      <c r="C11" s="24">
        <v>15.85</v>
      </c>
    </row>
    <row r="12" spans="1:8" hidden="1" x14ac:dyDescent="0.3">
      <c r="A12" s="26">
        <v>45833</v>
      </c>
      <c r="B12" s="34" t="s">
        <v>21</v>
      </c>
      <c r="C12" s="24">
        <v>36.14</v>
      </c>
    </row>
    <row r="13" spans="1:8" hidden="1" x14ac:dyDescent="0.3">
      <c r="A13" s="26">
        <v>45839</v>
      </c>
      <c r="B13" s="27" t="s">
        <v>4</v>
      </c>
      <c r="C13" s="24">
        <v>-51.61</v>
      </c>
    </row>
    <row r="14" spans="1:8" hidden="1" x14ac:dyDescent="0.3">
      <c r="A14" s="26">
        <v>45840</v>
      </c>
      <c r="B14" s="32" t="s">
        <v>21</v>
      </c>
      <c r="C14" s="24">
        <v>7.5</v>
      </c>
    </row>
    <row r="15" spans="1:8" hidden="1" x14ac:dyDescent="0.3">
      <c r="A15" s="26">
        <v>45840</v>
      </c>
      <c r="B15" s="34" t="s">
        <v>21</v>
      </c>
      <c r="C15" s="24">
        <v>31.55</v>
      </c>
    </row>
    <row r="16" spans="1:8" hidden="1" x14ac:dyDescent="0.3">
      <c r="A16" s="26">
        <v>45840</v>
      </c>
      <c r="B16" s="46" t="s">
        <v>21</v>
      </c>
      <c r="C16" s="24">
        <v>6.42</v>
      </c>
    </row>
    <row r="17" spans="1:3" hidden="1" x14ac:dyDescent="0.3">
      <c r="A17" s="26">
        <v>45847</v>
      </c>
      <c r="B17" s="27" t="s">
        <v>4</v>
      </c>
      <c r="C17" s="24">
        <v>-38.82</v>
      </c>
    </row>
    <row r="18" spans="1:3" hidden="1" x14ac:dyDescent="0.3">
      <c r="A18" s="26">
        <v>45847</v>
      </c>
      <c r="B18" s="32" t="s">
        <v>21</v>
      </c>
      <c r="C18" s="24">
        <v>9.84</v>
      </c>
    </row>
    <row r="19" spans="1:3" hidden="1" x14ac:dyDescent="0.3">
      <c r="A19" s="26">
        <v>45847</v>
      </c>
      <c r="B19" s="34" t="s">
        <v>21</v>
      </c>
      <c r="C19" s="24">
        <v>47.33</v>
      </c>
    </row>
    <row r="20" spans="1:3" hidden="1" x14ac:dyDescent="0.3">
      <c r="A20" s="26">
        <v>45849</v>
      </c>
      <c r="B20" s="31" t="s">
        <v>4</v>
      </c>
      <c r="C20" s="24">
        <v>-6.65</v>
      </c>
    </row>
    <row r="21" spans="1:3" hidden="1" x14ac:dyDescent="0.3">
      <c r="A21" s="26">
        <v>45854</v>
      </c>
      <c r="B21" s="27" t="s">
        <v>4</v>
      </c>
      <c r="C21" s="24">
        <v>-57.17</v>
      </c>
    </row>
    <row r="22" spans="1:3" hidden="1" x14ac:dyDescent="0.3">
      <c r="A22" s="26">
        <v>45854</v>
      </c>
      <c r="B22" s="32" t="s">
        <v>21</v>
      </c>
      <c r="C22" s="24">
        <v>15.85</v>
      </c>
    </row>
    <row r="23" spans="1:3" hidden="1" x14ac:dyDescent="0.3">
      <c r="A23" s="26">
        <v>45854</v>
      </c>
      <c r="B23" s="34" t="s">
        <v>21</v>
      </c>
      <c r="C23" s="24">
        <v>31.06</v>
      </c>
    </row>
    <row r="24" spans="1:3" hidden="1" x14ac:dyDescent="0.3">
      <c r="A24" s="26">
        <v>45854</v>
      </c>
      <c r="B24" s="46" t="s">
        <v>21</v>
      </c>
      <c r="C24" s="24">
        <v>6.42</v>
      </c>
    </row>
    <row r="25" spans="1:3" hidden="1" x14ac:dyDescent="0.3">
      <c r="A25" s="26">
        <v>45861</v>
      </c>
      <c r="B25" s="27" t="s">
        <v>4</v>
      </c>
      <c r="C25" s="24">
        <v>-53.33</v>
      </c>
    </row>
    <row r="26" spans="1:3" hidden="1" x14ac:dyDescent="0.3">
      <c r="A26" s="26">
        <v>45861</v>
      </c>
      <c r="B26" s="32" t="s">
        <v>21</v>
      </c>
      <c r="C26" s="24">
        <v>17.34</v>
      </c>
    </row>
    <row r="27" spans="1:3" hidden="1" x14ac:dyDescent="0.3">
      <c r="A27" s="26">
        <v>45861</v>
      </c>
      <c r="B27" s="34" t="s">
        <v>21</v>
      </c>
      <c r="C27" s="24">
        <v>25.28</v>
      </c>
    </row>
    <row r="28" spans="1:3" hidden="1" x14ac:dyDescent="0.3">
      <c r="A28" s="26">
        <v>45867</v>
      </c>
      <c r="B28" s="27" t="s">
        <v>4</v>
      </c>
      <c r="C28" s="24">
        <v>-42.62</v>
      </c>
    </row>
    <row r="29" spans="1:3" hidden="1" x14ac:dyDescent="0.3">
      <c r="A29" s="26">
        <v>45867</v>
      </c>
      <c r="B29" s="27" t="s">
        <v>4</v>
      </c>
      <c r="C29" s="24">
        <v>-0.39</v>
      </c>
    </row>
    <row r="30" spans="1:3" hidden="1" x14ac:dyDescent="0.3">
      <c r="A30" s="26">
        <v>45868</v>
      </c>
      <c r="B30" s="32" t="s">
        <v>21</v>
      </c>
      <c r="C30" s="24">
        <v>17.72</v>
      </c>
    </row>
    <row r="31" spans="1:3" hidden="1" x14ac:dyDescent="0.3">
      <c r="A31" s="26">
        <v>45875</v>
      </c>
      <c r="B31" s="27" t="s">
        <v>4</v>
      </c>
      <c r="C31" s="24">
        <v>-17.760000000000002</v>
      </c>
    </row>
    <row r="32" spans="1:3" hidden="1" x14ac:dyDescent="0.3">
      <c r="A32" s="26">
        <v>45875</v>
      </c>
      <c r="B32" s="34" t="s">
        <v>21</v>
      </c>
      <c r="C32" s="24">
        <v>25.17</v>
      </c>
    </row>
    <row r="33" spans="1:3" hidden="1" x14ac:dyDescent="0.3">
      <c r="A33" s="26">
        <v>45875</v>
      </c>
      <c r="B33" s="46" t="s">
        <v>21</v>
      </c>
      <c r="C33" s="24">
        <v>6.42</v>
      </c>
    </row>
    <row r="34" spans="1:3" hidden="1" x14ac:dyDescent="0.3">
      <c r="A34" s="26">
        <v>45882</v>
      </c>
      <c r="B34" s="27" t="s">
        <v>4</v>
      </c>
      <c r="C34" s="24">
        <v>-31.59</v>
      </c>
    </row>
    <row r="35" spans="1:3" hidden="1" x14ac:dyDescent="0.3">
      <c r="A35" s="26">
        <v>45882</v>
      </c>
      <c r="B35" s="34" t="s">
        <v>21</v>
      </c>
      <c r="C35" s="24">
        <v>27.84</v>
      </c>
    </row>
    <row r="36" spans="1:3" hidden="1" x14ac:dyDescent="0.3">
      <c r="A36" s="26">
        <v>45887</v>
      </c>
      <c r="B36" s="27" t="s">
        <v>4</v>
      </c>
      <c r="C36" s="24">
        <v>-27.84</v>
      </c>
    </row>
    <row r="37" spans="1:3" hidden="1" x14ac:dyDescent="0.3">
      <c r="A37" s="26">
        <v>45889</v>
      </c>
      <c r="B37" s="32" t="s">
        <v>21</v>
      </c>
      <c r="C37" s="24">
        <v>15.85</v>
      </c>
    </row>
    <row r="38" spans="1:3" hidden="1" x14ac:dyDescent="0.3">
      <c r="A38" s="26">
        <v>45889</v>
      </c>
      <c r="B38" s="34" t="s">
        <v>21</v>
      </c>
      <c r="C38" s="24">
        <v>19</v>
      </c>
    </row>
    <row r="39" spans="1:3" hidden="1" x14ac:dyDescent="0.3">
      <c r="A39" s="26">
        <v>45894</v>
      </c>
      <c r="B39" s="27" t="s">
        <v>4</v>
      </c>
      <c r="C39" s="24">
        <v>-34.85</v>
      </c>
    </row>
    <row r="40" spans="1:3" hidden="1" x14ac:dyDescent="0.3">
      <c r="A40" s="26">
        <v>45897</v>
      </c>
      <c r="B40" s="32" t="s">
        <v>21</v>
      </c>
      <c r="C40" s="24">
        <v>7.5</v>
      </c>
    </row>
    <row r="41" spans="1:3" hidden="1" x14ac:dyDescent="0.3">
      <c r="A41" s="26">
        <v>45897</v>
      </c>
      <c r="B41" s="34" t="s">
        <v>21</v>
      </c>
      <c r="C41" s="24">
        <v>49.73</v>
      </c>
    </row>
    <row r="42" spans="1:3" hidden="1" x14ac:dyDescent="0.3">
      <c r="A42" s="26">
        <v>45900</v>
      </c>
      <c r="B42" s="27" t="s">
        <v>4</v>
      </c>
      <c r="C42" s="24">
        <v>-57.23</v>
      </c>
    </row>
    <row r="43" spans="1:3" hidden="1" x14ac:dyDescent="0.3">
      <c r="A43" s="26">
        <v>45903</v>
      </c>
      <c r="B43" s="34" t="s">
        <v>21</v>
      </c>
      <c r="C43" s="24">
        <v>22.03</v>
      </c>
    </row>
    <row r="44" spans="1:3" hidden="1" x14ac:dyDescent="0.3">
      <c r="A44" s="26">
        <v>45903</v>
      </c>
      <c r="B44" s="46" t="s">
        <v>21</v>
      </c>
      <c r="C44" s="24">
        <v>5.84</v>
      </c>
    </row>
    <row r="45" spans="1:3" hidden="1" x14ac:dyDescent="0.3">
      <c r="A45" s="26">
        <v>45910</v>
      </c>
      <c r="B45" s="27" t="s">
        <v>4</v>
      </c>
      <c r="C45" s="24">
        <v>-5.95</v>
      </c>
    </row>
    <row r="46" spans="1:3" hidden="1" x14ac:dyDescent="0.3">
      <c r="A46" s="26">
        <v>45912</v>
      </c>
      <c r="B46" s="27" t="s">
        <v>4</v>
      </c>
      <c r="C46" s="24">
        <v>-21.92</v>
      </c>
    </row>
    <row r="47" spans="1:3" hidden="1" x14ac:dyDescent="0.3">
      <c r="A47" s="26">
        <v>45918</v>
      </c>
      <c r="B47" s="32" t="s">
        <v>21</v>
      </c>
      <c r="C47" s="24">
        <v>58.52</v>
      </c>
    </row>
    <row r="48" spans="1:3" hidden="1" x14ac:dyDescent="0.3">
      <c r="A48" s="26">
        <v>45918</v>
      </c>
      <c r="B48" s="46" t="s">
        <v>21</v>
      </c>
      <c r="C48" s="24">
        <v>6.92</v>
      </c>
    </row>
    <row r="49" spans="1:3" hidden="1" x14ac:dyDescent="0.3">
      <c r="A49" s="26">
        <v>45926</v>
      </c>
      <c r="B49" s="27" t="s">
        <v>4</v>
      </c>
      <c r="C49" s="24">
        <v>-65.44</v>
      </c>
    </row>
    <row r="50" spans="1:3" hidden="1" x14ac:dyDescent="0.3">
      <c r="A50" s="26">
        <v>45931</v>
      </c>
      <c r="B50" s="34" t="s">
        <v>21</v>
      </c>
      <c r="C50" s="24">
        <v>53.39</v>
      </c>
    </row>
    <row r="51" spans="1:3" hidden="1" x14ac:dyDescent="0.3">
      <c r="A51" s="26">
        <v>45938</v>
      </c>
      <c r="B51" s="27" t="s">
        <v>4</v>
      </c>
      <c r="C51" s="24">
        <v>-53.39</v>
      </c>
    </row>
    <row r="52" spans="1:3" hidden="1" x14ac:dyDescent="0.3">
      <c r="A52" s="26">
        <v>45938</v>
      </c>
      <c r="B52" s="32" t="s">
        <v>21</v>
      </c>
      <c r="C52" s="24">
        <v>16.38</v>
      </c>
    </row>
    <row r="53" spans="1:3" hidden="1" x14ac:dyDescent="0.3">
      <c r="A53" s="26">
        <v>45938</v>
      </c>
      <c r="B53" s="34" t="s">
        <v>21</v>
      </c>
      <c r="C53" s="24">
        <v>6.75</v>
      </c>
    </row>
    <row r="54" spans="1:3" hidden="1" x14ac:dyDescent="0.3">
      <c r="A54" s="26">
        <v>45938</v>
      </c>
      <c r="B54" s="46" t="s">
        <v>21</v>
      </c>
      <c r="C54" s="24">
        <v>12.76</v>
      </c>
    </row>
    <row r="55" spans="1:3" hidden="1" x14ac:dyDescent="0.3">
      <c r="A55" s="26">
        <v>45944</v>
      </c>
      <c r="B55" s="27" t="s">
        <v>4</v>
      </c>
      <c r="C55" s="24">
        <v>-35.53</v>
      </c>
    </row>
    <row r="56" spans="1:3" hidden="1" x14ac:dyDescent="0.3">
      <c r="A56" s="26">
        <v>45944</v>
      </c>
      <c r="B56" s="27" t="s">
        <v>4</v>
      </c>
      <c r="C56" s="24">
        <v>-0.36</v>
      </c>
    </row>
    <row r="57" spans="1:3" hidden="1" x14ac:dyDescent="0.3">
      <c r="A57" s="26">
        <v>45945</v>
      </c>
      <c r="B57" s="32" t="s">
        <v>21</v>
      </c>
      <c r="C57" s="24">
        <v>13.38</v>
      </c>
    </row>
    <row r="58" spans="1:3" hidden="1" x14ac:dyDescent="0.3">
      <c r="A58" s="26">
        <v>45945</v>
      </c>
      <c r="B58" s="34" t="s">
        <v>21</v>
      </c>
      <c r="C58" s="24">
        <v>36.450000000000003</v>
      </c>
    </row>
    <row r="59" spans="1:3" hidden="1" x14ac:dyDescent="0.3">
      <c r="A59" s="26">
        <v>45945</v>
      </c>
      <c r="B59" s="46" t="s">
        <v>21</v>
      </c>
      <c r="C59" s="24">
        <v>6.92</v>
      </c>
    </row>
    <row r="60" spans="1:3" hidden="1" x14ac:dyDescent="0.3">
      <c r="A60" s="26">
        <v>45950</v>
      </c>
      <c r="B60" s="27" t="s">
        <v>4</v>
      </c>
      <c r="C60" s="24">
        <v>-56.35</v>
      </c>
    </row>
    <row r="61" spans="1:3" hidden="1" x14ac:dyDescent="0.3">
      <c r="A61" s="26">
        <v>45952</v>
      </c>
      <c r="B61" s="32" t="s">
        <v>21</v>
      </c>
      <c r="C61" s="24">
        <v>9.84</v>
      </c>
    </row>
    <row r="62" spans="1:3" hidden="1" x14ac:dyDescent="0.3">
      <c r="A62" s="26">
        <v>45952</v>
      </c>
      <c r="B62" s="34" t="s">
        <v>21</v>
      </c>
      <c r="C62" s="24">
        <v>28.42</v>
      </c>
    </row>
    <row r="63" spans="1:3" hidden="1" x14ac:dyDescent="0.3">
      <c r="A63" s="26">
        <v>45957</v>
      </c>
      <c r="B63" s="27" t="s">
        <v>4</v>
      </c>
      <c r="C63" s="24">
        <v>-38.26</v>
      </c>
    </row>
    <row r="64" spans="1:3" hidden="1" x14ac:dyDescent="0.3">
      <c r="A64" s="26">
        <v>45959</v>
      </c>
      <c r="B64" s="32" t="s">
        <v>21</v>
      </c>
      <c r="C64" s="24">
        <v>31.38</v>
      </c>
    </row>
    <row r="65" spans="1:3" hidden="1" x14ac:dyDescent="0.3">
      <c r="A65" s="26">
        <v>45959</v>
      </c>
      <c r="B65" s="34" t="s">
        <v>21</v>
      </c>
      <c r="C65" s="24">
        <v>12.3</v>
      </c>
    </row>
    <row r="66" spans="1:3" hidden="1" x14ac:dyDescent="0.3">
      <c r="A66" s="26">
        <v>45964</v>
      </c>
      <c r="B66" s="27" t="s">
        <v>4</v>
      </c>
      <c r="C66" s="24">
        <v>-43.68</v>
      </c>
    </row>
    <row r="67" spans="1:3" hidden="1" x14ac:dyDescent="0.3">
      <c r="A67" s="26">
        <v>45966</v>
      </c>
      <c r="B67" s="32" t="s">
        <v>21</v>
      </c>
      <c r="C67" s="24">
        <v>9.84</v>
      </c>
    </row>
    <row r="68" spans="1:3" hidden="1" x14ac:dyDescent="0.3">
      <c r="A68" s="26">
        <v>45966</v>
      </c>
      <c r="B68" s="34" t="s">
        <v>21</v>
      </c>
      <c r="C68" s="24">
        <v>56.55</v>
      </c>
    </row>
    <row r="69" spans="1:3" hidden="1" x14ac:dyDescent="0.3">
      <c r="A69" s="26">
        <v>45971</v>
      </c>
      <c r="B69" s="27" t="s">
        <v>4</v>
      </c>
      <c r="C69" s="24">
        <v>-66.39</v>
      </c>
    </row>
    <row r="70" spans="1:3" hidden="1" x14ac:dyDescent="0.3">
      <c r="A70" s="26">
        <v>45973</v>
      </c>
      <c r="B70" s="27" t="s">
        <v>1</v>
      </c>
      <c r="C70" s="24">
        <v>81.27</v>
      </c>
    </row>
    <row r="71" spans="1:3" hidden="1" x14ac:dyDescent="0.3">
      <c r="A71" s="26">
        <v>45980</v>
      </c>
      <c r="B71" s="27" t="s">
        <v>4</v>
      </c>
      <c r="C71" s="24">
        <v>-81</v>
      </c>
    </row>
    <row r="72" spans="1:3" hidden="1" x14ac:dyDescent="0.3">
      <c r="A72" s="26">
        <v>45981</v>
      </c>
      <c r="B72" s="27" t="s">
        <v>4</v>
      </c>
      <c r="C72" s="24">
        <v>-0.64</v>
      </c>
    </row>
    <row r="73" spans="1:3" hidden="1" x14ac:dyDescent="0.3">
      <c r="A73" s="26">
        <v>45980</v>
      </c>
      <c r="B73" s="27" t="s">
        <v>1</v>
      </c>
      <c r="C73" s="24">
        <v>53.18</v>
      </c>
    </row>
    <row r="74" spans="1:3" hidden="1" x14ac:dyDescent="0.3">
      <c r="A74" s="26">
        <v>45987</v>
      </c>
      <c r="B74" s="27" t="s">
        <v>4</v>
      </c>
      <c r="C74" s="24">
        <v>-53.17</v>
      </c>
    </row>
    <row r="75" spans="1:3" hidden="1" x14ac:dyDescent="0.3">
      <c r="A75" s="26">
        <v>45987</v>
      </c>
      <c r="B75" s="27" t="s">
        <v>1</v>
      </c>
      <c r="C75" s="24">
        <v>16.52</v>
      </c>
    </row>
    <row r="76" spans="1:3" hidden="1" x14ac:dyDescent="0.3">
      <c r="A76" s="26">
        <v>45992</v>
      </c>
      <c r="B76" s="27" t="s">
        <v>4</v>
      </c>
      <c r="C76" s="24">
        <v>-16.52</v>
      </c>
    </row>
    <row r="77" spans="1:3" x14ac:dyDescent="0.3">
      <c r="A77" s="26">
        <v>45994</v>
      </c>
      <c r="B77" s="27" t="s">
        <v>21</v>
      </c>
      <c r="C77" s="24">
        <v>54.74</v>
      </c>
    </row>
    <row r="78" spans="1:3" x14ac:dyDescent="0.3">
      <c r="A78" s="26">
        <v>46000</v>
      </c>
      <c r="B78" s="27" t="s">
        <v>4</v>
      </c>
      <c r="C78" s="24">
        <v>-44</v>
      </c>
    </row>
    <row r="79" spans="1:3" x14ac:dyDescent="0.3">
      <c r="A79" s="26">
        <v>46000</v>
      </c>
      <c r="B79" s="27" t="s">
        <v>4</v>
      </c>
      <c r="C79" s="24">
        <v>-10.74</v>
      </c>
    </row>
    <row r="80" spans="1:3" x14ac:dyDescent="0.3">
      <c r="A80" s="26">
        <v>46001</v>
      </c>
      <c r="B80" s="27" t="s">
        <v>1</v>
      </c>
      <c r="C80" s="24">
        <v>36.58</v>
      </c>
    </row>
    <row r="81" spans="1:3" x14ac:dyDescent="0.3">
      <c r="A81" s="26">
        <v>46006</v>
      </c>
      <c r="B81" s="27" t="s">
        <v>4</v>
      </c>
      <c r="C81" s="24">
        <v>-36.58</v>
      </c>
    </row>
    <row r="82" spans="1:3" x14ac:dyDescent="0.3">
      <c r="A82" s="26">
        <v>46008</v>
      </c>
      <c r="B82" s="27" t="s">
        <v>1</v>
      </c>
      <c r="C82" s="24">
        <v>39.68</v>
      </c>
    </row>
    <row r="83" spans="1:3" x14ac:dyDescent="0.3">
      <c r="A83" s="26">
        <v>46013</v>
      </c>
      <c r="B83" s="27" t="s">
        <v>4</v>
      </c>
      <c r="C83" s="24">
        <v>-39.68</v>
      </c>
    </row>
    <row r="84" spans="1:3" x14ac:dyDescent="0.3">
      <c r="A84" s="26">
        <v>46014</v>
      </c>
      <c r="B84" s="27" t="s">
        <v>1</v>
      </c>
      <c r="C84" s="24">
        <v>31.2</v>
      </c>
    </row>
    <row r="85" spans="1:3" x14ac:dyDescent="0.3">
      <c r="A85" s="26">
        <v>46020</v>
      </c>
      <c r="B85" s="27" t="s">
        <v>4</v>
      </c>
      <c r="C85" s="24">
        <v>-31.2</v>
      </c>
    </row>
    <row r="86" spans="1:3" x14ac:dyDescent="0.3">
      <c r="A86" s="26">
        <v>46020</v>
      </c>
      <c r="B86" s="27" t="s">
        <v>1</v>
      </c>
      <c r="C86" s="24">
        <v>24.68</v>
      </c>
    </row>
    <row r="87" spans="1:3" x14ac:dyDescent="0.3">
      <c r="A87" s="26">
        <v>46027</v>
      </c>
      <c r="B87" s="27" t="s">
        <v>4</v>
      </c>
      <c r="C87" s="24">
        <v>-24.68</v>
      </c>
    </row>
    <row r="88" spans="1:3" x14ac:dyDescent="0.3">
      <c r="A88" s="26">
        <v>46029</v>
      </c>
      <c r="B88" s="27" t="s">
        <v>1</v>
      </c>
      <c r="C88" s="24">
        <v>40.729999999999997</v>
      </c>
    </row>
    <row r="89" spans="1:3" x14ac:dyDescent="0.3">
      <c r="A89" s="26">
        <v>46034</v>
      </c>
      <c r="B89" s="27" t="s">
        <v>4</v>
      </c>
      <c r="C89" s="24">
        <v>-40.729999999999997</v>
      </c>
    </row>
    <row r="90" spans="1:3" x14ac:dyDescent="0.3">
      <c r="A90" s="26">
        <v>46036</v>
      </c>
      <c r="B90" s="27" t="s">
        <v>1</v>
      </c>
      <c r="C90" s="24">
        <v>46.74</v>
      </c>
    </row>
    <row r="91" spans="1:3" x14ac:dyDescent="0.3">
      <c r="A91" s="26">
        <v>46042</v>
      </c>
      <c r="B91" s="27" t="s">
        <v>4</v>
      </c>
      <c r="C91" s="24">
        <v>-46.74</v>
      </c>
    </row>
    <row r="92" spans="1:3" x14ac:dyDescent="0.3">
      <c r="A92" s="26">
        <v>46043</v>
      </c>
      <c r="B92" s="27" t="s">
        <v>1</v>
      </c>
      <c r="C92" s="24">
        <v>50</v>
      </c>
    </row>
    <row r="93" spans="1:3" x14ac:dyDescent="0.3">
      <c r="A93" s="26">
        <v>46048</v>
      </c>
      <c r="B93" s="27" t="s">
        <v>4</v>
      </c>
      <c r="C93" s="24">
        <v>-50</v>
      </c>
    </row>
    <row r="94" spans="1:3" x14ac:dyDescent="0.3">
      <c r="A94" s="26">
        <v>46050</v>
      </c>
      <c r="B94" s="27" t="s">
        <v>1</v>
      </c>
      <c r="C94" s="24">
        <v>41.6</v>
      </c>
    </row>
    <row r="95" spans="1:3" x14ac:dyDescent="0.3">
      <c r="A95" s="26">
        <v>46052</v>
      </c>
      <c r="B95" s="27" t="s">
        <v>4</v>
      </c>
      <c r="C95" s="24">
        <v>-41.6</v>
      </c>
    </row>
    <row r="96" spans="1:3" x14ac:dyDescent="0.3">
      <c r="A96" s="26">
        <v>46055</v>
      </c>
      <c r="B96" s="27" t="s">
        <v>4</v>
      </c>
      <c r="C96" s="24">
        <v>-17.190000000000001</v>
      </c>
    </row>
    <row r="97" spans="1:3" x14ac:dyDescent="0.3">
      <c r="A97" s="26">
        <v>46052</v>
      </c>
      <c r="B97" s="27" t="s">
        <v>1</v>
      </c>
      <c r="C97" s="24">
        <v>17.28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780CF-1438-4C38-9EFC-C7FD50932BF0}">
  <sheetPr codeName="Hoja134"/>
  <dimension ref="A1:H40"/>
  <sheetViews>
    <sheetView view="pageBreakPreview" zoomScale="80" zoomScaleNormal="100" zoomScaleSheetLayoutView="80" workbookViewId="0">
      <selection activeCell="C41" sqref="C41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215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243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0.96000000000000085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45821</v>
      </c>
      <c r="B5" s="27" t="s">
        <v>4</v>
      </c>
      <c r="C5" s="24">
        <v>-31.7</v>
      </c>
      <c r="D5" s="30"/>
      <c r="E5" s="30"/>
      <c r="F5" s="30"/>
      <c r="G5" s="22"/>
    </row>
    <row r="6" spans="1:8" hidden="1" x14ac:dyDescent="0.3">
      <c r="A6" s="21">
        <v>45821</v>
      </c>
      <c r="B6" s="32" t="s">
        <v>21</v>
      </c>
      <c r="C6" s="24">
        <v>31.7</v>
      </c>
    </row>
    <row r="7" spans="1:8" hidden="1" x14ac:dyDescent="0.3">
      <c r="A7" s="21">
        <v>45828</v>
      </c>
      <c r="B7" s="27" t="s">
        <v>4</v>
      </c>
      <c r="C7" s="24">
        <v>-118.64</v>
      </c>
    </row>
    <row r="8" spans="1:8" hidden="1" x14ac:dyDescent="0.3">
      <c r="A8" s="26">
        <v>45828</v>
      </c>
      <c r="B8" s="34" t="s">
        <v>21</v>
      </c>
      <c r="C8" s="24">
        <v>118.64</v>
      </c>
    </row>
    <row r="9" spans="1:8" hidden="1" x14ac:dyDescent="0.3">
      <c r="A9" s="26">
        <v>45842</v>
      </c>
      <c r="B9" s="27" t="s">
        <v>4</v>
      </c>
      <c r="C9" s="24">
        <v>-72.52</v>
      </c>
    </row>
    <row r="10" spans="1:8" hidden="1" x14ac:dyDescent="0.3">
      <c r="A10" s="26">
        <v>45842</v>
      </c>
      <c r="B10" s="32" t="s">
        <v>21</v>
      </c>
      <c r="C10" s="24">
        <v>15</v>
      </c>
    </row>
    <row r="11" spans="1:8" hidden="1" x14ac:dyDescent="0.3">
      <c r="A11" s="26">
        <v>45842</v>
      </c>
      <c r="B11" s="34" t="s">
        <v>21</v>
      </c>
      <c r="C11" s="24">
        <v>57.52</v>
      </c>
    </row>
    <row r="12" spans="1:8" hidden="1" x14ac:dyDescent="0.3">
      <c r="A12" s="26">
        <v>45849</v>
      </c>
      <c r="B12" s="27" t="s">
        <v>4</v>
      </c>
      <c r="C12" s="24">
        <v>-15.54</v>
      </c>
    </row>
    <row r="13" spans="1:8" hidden="1" x14ac:dyDescent="0.3">
      <c r="A13" s="26">
        <v>45849</v>
      </c>
      <c r="B13" s="32" t="s">
        <v>21</v>
      </c>
      <c r="C13" s="24">
        <v>9.84</v>
      </c>
    </row>
    <row r="14" spans="1:8" hidden="1" x14ac:dyDescent="0.3">
      <c r="A14" s="26">
        <v>45849</v>
      </c>
      <c r="B14" s="34" t="s">
        <v>21</v>
      </c>
      <c r="C14" s="24">
        <v>5.58</v>
      </c>
    </row>
    <row r="15" spans="1:8" hidden="1" x14ac:dyDescent="0.3">
      <c r="A15" s="26">
        <v>45859</v>
      </c>
      <c r="B15" s="27" t="s">
        <v>4</v>
      </c>
      <c r="C15" s="24">
        <v>-51.38</v>
      </c>
    </row>
    <row r="16" spans="1:8" hidden="1" x14ac:dyDescent="0.3">
      <c r="A16" s="26">
        <v>45856</v>
      </c>
      <c r="B16" s="32" t="s">
        <v>21</v>
      </c>
      <c r="C16" s="24">
        <v>51.38</v>
      </c>
    </row>
    <row r="17" spans="1:3" hidden="1" x14ac:dyDescent="0.3">
      <c r="A17" s="26">
        <v>45863</v>
      </c>
      <c r="B17" s="34" t="s">
        <v>21</v>
      </c>
      <c r="C17" s="24">
        <v>58.51</v>
      </c>
    </row>
    <row r="18" spans="1:3" hidden="1" x14ac:dyDescent="0.3">
      <c r="A18" s="26">
        <v>45866</v>
      </c>
      <c r="B18" s="27" t="s">
        <v>4</v>
      </c>
      <c r="C18" s="24">
        <v>-58.51</v>
      </c>
    </row>
    <row r="19" spans="1:3" hidden="1" x14ac:dyDescent="0.3">
      <c r="A19" s="26">
        <v>45870</v>
      </c>
      <c r="B19" s="32" t="s">
        <v>21</v>
      </c>
      <c r="C19" s="24">
        <v>15</v>
      </c>
    </row>
    <row r="20" spans="1:3" hidden="1" x14ac:dyDescent="0.3">
      <c r="A20" s="26">
        <v>45870</v>
      </c>
      <c r="B20" s="34" t="s">
        <v>21</v>
      </c>
      <c r="C20" s="24">
        <v>75.48</v>
      </c>
    </row>
    <row r="21" spans="1:3" hidden="1" x14ac:dyDescent="0.3">
      <c r="A21" s="26">
        <v>45884</v>
      </c>
      <c r="B21" s="27" t="s">
        <v>4</v>
      </c>
      <c r="C21" s="24">
        <v>-90.48</v>
      </c>
    </row>
    <row r="22" spans="1:3" hidden="1" x14ac:dyDescent="0.3">
      <c r="A22" s="26">
        <v>45884</v>
      </c>
      <c r="B22" s="27" t="s">
        <v>4</v>
      </c>
      <c r="C22" s="24">
        <v>-91.33</v>
      </c>
    </row>
    <row r="23" spans="1:3" hidden="1" x14ac:dyDescent="0.3">
      <c r="A23" s="26">
        <v>45884</v>
      </c>
      <c r="B23" s="32" t="s">
        <v>21</v>
      </c>
      <c r="C23" s="24">
        <v>15.85</v>
      </c>
    </row>
    <row r="24" spans="1:3" hidden="1" x14ac:dyDescent="0.3">
      <c r="A24" s="26">
        <v>45884</v>
      </c>
      <c r="B24" s="34" t="s">
        <v>21</v>
      </c>
      <c r="C24" s="24">
        <v>68.64</v>
      </c>
    </row>
    <row r="25" spans="1:3" hidden="1" x14ac:dyDescent="0.3">
      <c r="A25" s="26">
        <v>45891</v>
      </c>
      <c r="B25" s="32" t="s">
        <v>21</v>
      </c>
      <c r="C25" s="24">
        <v>22.5</v>
      </c>
    </row>
    <row r="26" spans="1:3" hidden="1" x14ac:dyDescent="0.3">
      <c r="A26" s="26">
        <v>45891</v>
      </c>
      <c r="B26" s="34" t="s">
        <v>21</v>
      </c>
      <c r="C26" s="24">
        <v>44.85</v>
      </c>
    </row>
    <row r="27" spans="1:3" hidden="1" x14ac:dyDescent="0.3">
      <c r="A27" s="26">
        <v>45894</v>
      </c>
      <c r="B27" s="27" t="s">
        <v>4</v>
      </c>
      <c r="C27" s="24">
        <v>-59.85</v>
      </c>
    </row>
    <row r="28" spans="1:3" hidden="1" x14ac:dyDescent="0.3">
      <c r="A28" s="26">
        <v>45898</v>
      </c>
      <c r="B28" s="32" t="s">
        <v>21</v>
      </c>
      <c r="C28" s="24">
        <v>45.37</v>
      </c>
    </row>
    <row r="29" spans="1:3" hidden="1" x14ac:dyDescent="0.3">
      <c r="A29" s="26">
        <v>45900</v>
      </c>
      <c r="B29" s="27" t="s">
        <v>4</v>
      </c>
      <c r="C29" s="24">
        <v>-44.95</v>
      </c>
    </row>
    <row r="30" spans="1:3" hidden="1" x14ac:dyDescent="0.3">
      <c r="A30" s="26">
        <v>45905</v>
      </c>
      <c r="B30" s="27" t="s">
        <v>4</v>
      </c>
      <c r="C30" s="24">
        <v>-39.6</v>
      </c>
    </row>
    <row r="31" spans="1:3" hidden="1" x14ac:dyDescent="0.3">
      <c r="A31" s="26">
        <v>45905</v>
      </c>
      <c r="B31" s="34" t="s">
        <v>21</v>
      </c>
      <c r="C31" s="24">
        <v>39.6</v>
      </c>
    </row>
    <row r="32" spans="1:3" hidden="1" x14ac:dyDescent="0.3">
      <c r="A32" s="26">
        <v>45934</v>
      </c>
      <c r="B32" s="27" t="s">
        <v>4</v>
      </c>
      <c r="C32" s="24">
        <v>-19.77</v>
      </c>
    </row>
    <row r="33" spans="1:3" hidden="1" x14ac:dyDescent="0.3">
      <c r="A33" s="26">
        <v>45933</v>
      </c>
      <c r="B33" s="32" t="s">
        <v>21</v>
      </c>
      <c r="C33" s="24">
        <v>35.53</v>
      </c>
    </row>
    <row r="34" spans="1:3" hidden="1" x14ac:dyDescent="0.3">
      <c r="A34" s="26">
        <v>45954</v>
      </c>
      <c r="B34" s="27" t="s">
        <v>4</v>
      </c>
      <c r="C34" s="24">
        <v>-15.76</v>
      </c>
    </row>
    <row r="35" spans="1:3" x14ac:dyDescent="0.3">
      <c r="A35" s="26">
        <v>45954</v>
      </c>
      <c r="B35" s="27" t="s">
        <v>4</v>
      </c>
      <c r="C35" s="24">
        <v>-38.880000000000003</v>
      </c>
    </row>
    <row r="36" spans="1:3" x14ac:dyDescent="0.3">
      <c r="A36" s="26">
        <v>45958</v>
      </c>
      <c r="B36" s="32" t="s">
        <v>21</v>
      </c>
      <c r="C36" s="24">
        <v>38.880000000000003</v>
      </c>
    </row>
    <row r="37" spans="1:3" x14ac:dyDescent="0.3">
      <c r="A37" s="26">
        <v>45996</v>
      </c>
      <c r="B37" s="27" t="s">
        <v>4</v>
      </c>
      <c r="C37" s="24">
        <v>-16.38</v>
      </c>
    </row>
    <row r="38" spans="1:3" x14ac:dyDescent="0.3">
      <c r="A38" s="26">
        <v>45996</v>
      </c>
      <c r="B38" s="27" t="s">
        <v>1</v>
      </c>
      <c r="C38" s="24">
        <v>16.38</v>
      </c>
    </row>
    <row r="39" spans="1:3" x14ac:dyDescent="0.3">
      <c r="A39" s="26">
        <v>46010</v>
      </c>
      <c r="B39" s="27" t="s">
        <v>1</v>
      </c>
      <c r="C39" s="24">
        <v>61.38</v>
      </c>
    </row>
    <row r="40" spans="1:3" x14ac:dyDescent="0.3">
      <c r="A40" s="26">
        <v>46013</v>
      </c>
      <c r="B40" s="27" t="s">
        <v>4</v>
      </c>
      <c r="C40" s="24">
        <v>-61.38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D025-1BAF-4C82-AF01-CDF3DD4CE5BE}">
  <sheetPr codeName="Hoja26"/>
  <dimension ref="A1:H102"/>
  <sheetViews>
    <sheetView view="pageBreakPreview" zoomScale="80" zoomScaleNormal="100" zoomScaleSheetLayoutView="80" workbookViewId="0">
      <selection activeCell="C103" sqref="C10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139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140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63.67000000000003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45818</v>
      </c>
      <c r="B5" s="71" t="s">
        <v>21</v>
      </c>
      <c r="C5" s="24">
        <v>20.8</v>
      </c>
      <c r="D5" s="30"/>
      <c r="E5" s="30"/>
      <c r="F5" s="30"/>
      <c r="G5" s="22"/>
    </row>
    <row r="6" spans="1:8" hidden="1" x14ac:dyDescent="0.3">
      <c r="A6" s="21">
        <v>45818</v>
      </c>
      <c r="B6" s="32" t="s">
        <v>21</v>
      </c>
      <c r="C6" s="24">
        <v>25.69</v>
      </c>
    </row>
    <row r="7" spans="1:8" hidden="1" x14ac:dyDescent="0.3">
      <c r="A7" s="21">
        <v>45818</v>
      </c>
      <c r="B7" s="34" t="s">
        <v>21</v>
      </c>
      <c r="C7" s="24">
        <v>80.63</v>
      </c>
    </row>
    <row r="8" spans="1:8" hidden="1" x14ac:dyDescent="0.3">
      <c r="A8" s="26">
        <v>45825</v>
      </c>
      <c r="B8" s="27" t="s">
        <v>7</v>
      </c>
      <c r="C8" s="24">
        <v>-128.53</v>
      </c>
    </row>
    <row r="9" spans="1:8" hidden="1" x14ac:dyDescent="0.3">
      <c r="A9" s="26">
        <v>45825</v>
      </c>
      <c r="B9" s="32" t="s">
        <v>21</v>
      </c>
      <c r="C9" s="24">
        <v>15.4</v>
      </c>
    </row>
    <row r="10" spans="1:8" hidden="1" x14ac:dyDescent="0.3">
      <c r="A10" s="26">
        <v>45832</v>
      </c>
      <c r="B10" s="27" t="s">
        <v>4</v>
      </c>
      <c r="C10" s="24">
        <v>-15.46</v>
      </c>
    </row>
    <row r="11" spans="1:8" hidden="1" x14ac:dyDescent="0.3">
      <c r="A11" s="26">
        <v>45832</v>
      </c>
      <c r="B11" s="27" t="s">
        <v>1</v>
      </c>
      <c r="C11" s="24">
        <v>20.8</v>
      </c>
    </row>
    <row r="12" spans="1:8" hidden="1" x14ac:dyDescent="0.3">
      <c r="A12" s="26">
        <v>45832</v>
      </c>
      <c r="B12" s="32" t="s">
        <v>21</v>
      </c>
      <c r="C12" s="24">
        <v>9.84</v>
      </c>
    </row>
    <row r="13" spans="1:8" hidden="1" x14ac:dyDescent="0.3">
      <c r="A13" s="26">
        <v>45832</v>
      </c>
      <c r="B13" s="34" t="s">
        <v>21</v>
      </c>
      <c r="C13" s="24">
        <v>5.46</v>
      </c>
    </row>
    <row r="14" spans="1:8" hidden="1" x14ac:dyDescent="0.3">
      <c r="A14" s="26">
        <v>45839</v>
      </c>
      <c r="B14" s="27" t="s">
        <v>7</v>
      </c>
      <c r="C14" s="24">
        <v>-20.8</v>
      </c>
    </row>
    <row r="15" spans="1:8" hidden="1" x14ac:dyDescent="0.3">
      <c r="A15" s="26">
        <v>45839</v>
      </c>
      <c r="B15" s="27" t="s">
        <v>7</v>
      </c>
      <c r="C15" s="24">
        <v>-15.4</v>
      </c>
    </row>
    <row r="16" spans="1:8" hidden="1" x14ac:dyDescent="0.3">
      <c r="A16" s="26">
        <v>45839</v>
      </c>
      <c r="B16" s="27" t="s">
        <v>1</v>
      </c>
      <c r="C16" s="24">
        <v>41.6</v>
      </c>
    </row>
    <row r="17" spans="1:3" hidden="1" x14ac:dyDescent="0.3">
      <c r="A17" s="26">
        <v>45839</v>
      </c>
      <c r="B17" s="34" t="s">
        <v>21</v>
      </c>
      <c r="C17" s="24">
        <v>12.3</v>
      </c>
    </row>
    <row r="18" spans="1:3" hidden="1" x14ac:dyDescent="0.3">
      <c r="A18" s="26">
        <v>45846</v>
      </c>
      <c r="B18" s="27" t="s">
        <v>7</v>
      </c>
      <c r="C18" s="24">
        <v>-52.34</v>
      </c>
    </row>
    <row r="19" spans="1:3" hidden="1" x14ac:dyDescent="0.3">
      <c r="A19" s="26">
        <v>45846</v>
      </c>
      <c r="B19" s="27" t="s">
        <v>1</v>
      </c>
      <c r="C19" s="24">
        <v>20.8</v>
      </c>
    </row>
    <row r="20" spans="1:3" hidden="1" x14ac:dyDescent="0.3">
      <c r="A20" s="26">
        <v>45846</v>
      </c>
      <c r="B20" s="32" t="s">
        <v>21</v>
      </c>
      <c r="C20" s="24">
        <v>12.1</v>
      </c>
    </row>
    <row r="21" spans="1:3" hidden="1" x14ac:dyDescent="0.3">
      <c r="A21" s="26">
        <v>45846</v>
      </c>
      <c r="B21" s="34" t="s">
        <v>21</v>
      </c>
      <c r="C21" s="24">
        <v>14.83</v>
      </c>
    </row>
    <row r="22" spans="1:3" hidden="1" x14ac:dyDescent="0.3">
      <c r="A22" s="26">
        <v>45853</v>
      </c>
      <c r="B22" s="27" t="s">
        <v>7</v>
      </c>
      <c r="C22" s="24">
        <v>-47.81</v>
      </c>
    </row>
    <row r="23" spans="1:3" hidden="1" x14ac:dyDescent="0.3">
      <c r="A23" s="26">
        <v>45853</v>
      </c>
      <c r="B23" s="27" t="s">
        <v>1</v>
      </c>
      <c r="C23" s="24">
        <v>20.8</v>
      </c>
    </row>
    <row r="24" spans="1:3" hidden="1" x14ac:dyDescent="0.3">
      <c r="A24" s="26">
        <v>45853</v>
      </c>
      <c r="B24" s="32" t="s">
        <v>21</v>
      </c>
      <c r="C24" s="24">
        <v>15</v>
      </c>
    </row>
    <row r="25" spans="1:3" hidden="1" x14ac:dyDescent="0.3">
      <c r="A25" s="26">
        <v>45853</v>
      </c>
      <c r="B25" s="34" t="s">
        <v>21</v>
      </c>
      <c r="C25" s="24">
        <v>15.33</v>
      </c>
    </row>
    <row r="26" spans="1:3" hidden="1" x14ac:dyDescent="0.3">
      <c r="A26" s="26">
        <v>45861</v>
      </c>
      <c r="B26" s="27" t="s">
        <v>4</v>
      </c>
      <c r="C26" s="24">
        <v>-14.97</v>
      </c>
    </row>
    <row r="27" spans="1:3" hidden="1" x14ac:dyDescent="0.3">
      <c r="A27" s="26">
        <v>45860</v>
      </c>
      <c r="B27" s="27" t="s">
        <v>1</v>
      </c>
      <c r="C27" s="24">
        <v>20.8</v>
      </c>
    </row>
    <row r="28" spans="1:3" hidden="1" x14ac:dyDescent="0.3">
      <c r="A28" s="26">
        <v>45860</v>
      </c>
      <c r="B28" s="32" t="s">
        <v>21</v>
      </c>
      <c r="C28" s="24">
        <v>4.5999999999999996</v>
      </c>
    </row>
    <row r="29" spans="1:3" hidden="1" x14ac:dyDescent="0.3">
      <c r="A29" s="26">
        <v>45860</v>
      </c>
      <c r="B29" s="34" t="s">
        <v>21</v>
      </c>
      <c r="C29" s="24">
        <v>10.37</v>
      </c>
    </row>
    <row r="30" spans="1:3" hidden="1" x14ac:dyDescent="0.3">
      <c r="A30" s="26">
        <v>45860</v>
      </c>
      <c r="B30" s="27" t="s">
        <v>7</v>
      </c>
      <c r="C30" s="24">
        <v>-51.06</v>
      </c>
    </row>
    <row r="31" spans="1:3" hidden="1" x14ac:dyDescent="0.3">
      <c r="A31" s="26">
        <v>45867</v>
      </c>
      <c r="B31" s="27" t="s">
        <v>7</v>
      </c>
      <c r="C31" s="24">
        <v>-20.8</v>
      </c>
    </row>
    <row r="32" spans="1:3" hidden="1" x14ac:dyDescent="0.3">
      <c r="A32" s="26">
        <v>45867</v>
      </c>
      <c r="B32" s="27" t="s">
        <v>1</v>
      </c>
      <c r="C32" s="24">
        <v>20.8</v>
      </c>
    </row>
    <row r="33" spans="1:3" hidden="1" x14ac:dyDescent="0.3">
      <c r="A33" s="26">
        <v>45867</v>
      </c>
      <c r="B33" s="32" t="s">
        <v>21</v>
      </c>
      <c r="C33" s="24">
        <v>12.1</v>
      </c>
    </row>
    <row r="34" spans="1:3" hidden="1" x14ac:dyDescent="0.3">
      <c r="A34" s="26">
        <v>45874</v>
      </c>
      <c r="B34" s="27" t="s">
        <v>1</v>
      </c>
      <c r="C34" s="24">
        <v>20.8</v>
      </c>
    </row>
    <row r="35" spans="1:3" hidden="1" x14ac:dyDescent="0.3">
      <c r="A35" s="26">
        <v>45874</v>
      </c>
      <c r="B35" s="32" t="s">
        <v>21</v>
      </c>
      <c r="C35" s="24">
        <v>7.5</v>
      </c>
    </row>
    <row r="36" spans="1:3" hidden="1" x14ac:dyDescent="0.3">
      <c r="A36" s="26">
        <v>45874</v>
      </c>
      <c r="B36" s="34" t="s">
        <v>21</v>
      </c>
      <c r="C36" s="24">
        <v>30.32</v>
      </c>
    </row>
    <row r="37" spans="1:3" hidden="1" x14ac:dyDescent="0.3">
      <c r="A37" s="26">
        <v>45874</v>
      </c>
      <c r="B37" s="27" t="s">
        <v>7</v>
      </c>
      <c r="C37" s="24">
        <v>-32.9</v>
      </c>
    </row>
    <row r="38" spans="1:3" hidden="1" x14ac:dyDescent="0.3">
      <c r="A38" s="26">
        <v>45881</v>
      </c>
      <c r="B38" s="27" t="s">
        <v>7</v>
      </c>
      <c r="C38" s="24">
        <v>-58.61</v>
      </c>
    </row>
    <row r="39" spans="1:3" hidden="1" x14ac:dyDescent="0.3">
      <c r="A39" s="26">
        <v>45881</v>
      </c>
      <c r="B39" s="27" t="s">
        <v>1</v>
      </c>
      <c r="C39" s="24">
        <v>20.8</v>
      </c>
    </row>
    <row r="40" spans="1:3" hidden="1" x14ac:dyDescent="0.3">
      <c r="A40" s="26">
        <v>45881</v>
      </c>
      <c r="B40" s="32" t="s">
        <v>21</v>
      </c>
      <c r="C40" s="24">
        <v>15</v>
      </c>
    </row>
    <row r="41" spans="1:3" hidden="1" x14ac:dyDescent="0.3">
      <c r="A41" s="26">
        <v>45881</v>
      </c>
      <c r="B41" s="34" t="s">
        <v>21</v>
      </c>
      <c r="C41" s="24">
        <v>6.84</v>
      </c>
    </row>
    <row r="42" spans="1:3" hidden="1" x14ac:dyDescent="0.3">
      <c r="A42" s="26">
        <v>45888</v>
      </c>
      <c r="B42" s="27" t="s">
        <v>7</v>
      </c>
      <c r="C42" s="24">
        <v>-42.64</v>
      </c>
    </row>
    <row r="43" spans="1:3" hidden="1" x14ac:dyDescent="0.3">
      <c r="A43" s="26">
        <v>45888</v>
      </c>
      <c r="B43" s="27" t="s">
        <v>1</v>
      </c>
      <c r="C43" s="24">
        <v>20.8</v>
      </c>
    </row>
    <row r="44" spans="1:3" hidden="1" x14ac:dyDescent="0.3">
      <c r="A44" s="26">
        <v>45888</v>
      </c>
      <c r="B44" s="32" t="s">
        <v>21</v>
      </c>
      <c r="C44" s="24">
        <v>14.44</v>
      </c>
    </row>
    <row r="45" spans="1:3" hidden="1" x14ac:dyDescent="0.3">
      <c r="A45" s="26">
        <v>45888</v>
      </c>
      <c r="B45" s="34" t="s">
        <v>21</v>
      </c>
      <c r="C45" s="24">
        <v>28.26</v>
      </c>
    </row>
    <row r="46" spans="1:3" hidden="1" x14ac:dyDescent="0.3">
      <c r="A46" s="26">
        <v>45895</v>
      </c>
      <c r="B46" s="27" t="s">
        <v>7</v>
      </c>
      <c r="C46" s="24">
        <v>-63.54</v>
      </c>
    </row>
    <row r="47" spans="1:3" hidden="1" x14ac:dyDescent="0.3">
      <c r="A47" s="26">
        <v>45895</v>
      </c>
      <c r="B47" s="27" t="s">
        <v>1</v>
      </c>
      <c r="C47" s="24">
        <v>20.8</v>
      </c>
    </row>
    <row r="48" spans="1:3" hidden="1" x14ac:dyDescent="0.3">
      <c r="A48" s="26">
        <v>45895</v>
      </c>
      <c r="B48" s="32" t="s">
        <v>21</v>
      </c>
      <c r="C48" s="24">
        <v>21.7</v>
      </c>
    </row>
    <row r="49" spans="1:3" hidden="1" x14ac:dyDescent="0.3">
      <c r="A49" s="26">
        <v>45895</v>
      </c>
      <c r="B49" s="34" t="s">
        <v>21</v>
      </c>
      <c r="C49" s="24">
        <v>20.95</v>
      </c>
    </row>
    <row r="50" spans="1:3" hidden="1" x14ac:dyDescent="0.3">
      <c r="A50" s="26">
        <v>45902</v>
      </c>
      <c r="B50" s="27" t="s">
        <v>7</v>
      </c>
      <c r="C50" s="24">
        <v>-63.41</v>
      </c>
    </row>
    <row r="51" spans="1:3" hidden="1" x14ac:dyDescent="0.3">
      <c r="A51" s="26">
        <v>45902</v>
      </c>
      <c r="B51" s="27" t="s">
        <v>1</v>
      </c>
      <c r="C51" s="24">
        <v>20.8</v>
      </c>
    </row>
    <row r="52" spans="1:3" hidden="1" x14ac:dyDescent="0.3">
      <c r="A52" s="26">
        <v>45902</v>
      </c>
      <c r="B52" s="32" t="s">
        <v>21</v>
      </c>
      <c r="C52" s="24">
        <v>7.5</v>
      </c>
    </row>
    <row r="53" spans="1:3" hidden="1" x14ac:dyDescent="0.3">
      <c r="A53" s="26">
        <v>45902</v>
      </c>
      <c r="B53" s="34" t="s">
        <v>21</v>
      </c>
      <c r="C53" s="24">
        <v>5.86</v>
      </c>
    </row>
    <row r="54" spans="1:3" hidden="1" x14ac:dyDescent="0.3">
      <c r="A54" s="26">
        <v>45909</v>
      </c>
      <c r="B54" s="27" t="s">
        <v>7</v>
      </c>
      <c r="C54" s="24">
        <v>-34.19</v>
      </c>
    </row>
    <row r="55" spans="1:3" hidden="1" x14ac:dyDescent="0.3">
      <c r="A55" s="26">
        <v>45909</v>
      </c>
      <c r="B55" s="27" t="s">
        <v>1</v>
      </c>
      <c r="C55" s="24">
        <v>20.8</v>
      </c>
    </row>
    <row r="56" spans="1:3" hidden="1" x14ac:dyDescent="0.3">
      <c r="A56" s="26">
        <v>45909</v>
      </c>
      <c r="B56" s="32" t="s">
        <v>21</v>
      </c>
      <c r="C56" s="24">
        <v>12.1</v>
      </c>
    </row>
    <row r="57" spans="1:3" hidden="1" x14ac:dyDescent="0.3">
      <c r="A57" s="26">
        <v>45909</v>
      </c>
      <c r="B57" s="34" t="s">
        <v>21</v>
      </c>
      <c r="C57" s="24">
        <v>6.99</v>
      </c>
    </row>
    <row r="58" spans="1:3" hidden="1" x14ac:dyDescent="0.3">
      <c r="A58" s="26">
        <v>45916</v>
      </c>
      <c r="B58" s="27" t="s">
        <v>7</v>
      </c>
      <c r="C58" s="24">
        <v>-39.869999999999997</v>
      </c>
    </row>
    <row r="59" spans="1:3" hidden="1" x14ac:dyDescent="0.3">
      <c r="A59" s="26">
        <v>45916</v>
      </c>
      <c r="B59" s="27" t="s">
        <v>1</v>
      </c>
      <c r="C59" s="24">
        <v>20.8</v>
      </c>
    </row>
    <row r="60" spans="1:3" hidden="1" x14ac:dyDescent="0.3">
      <c r="A60" s="26">
        <v>45916</v>
      </c>
      <c r="B60" s="32" t="s">
        <v>21</v>
      </c>
      <c r="C60" s="24">
        <v>24.74</v>
      </c>
    </row>
    <row r="61" spans="1:3" hidden="1" x14ac:dyDescent="0.3">
      <c r="A61" s="26">
        <v>45916</v>
      </c>
      <c r="B61" s="34" t="s">
        <v>21</v>
      </c>
      <c r="C61" s="24">
        <v>28.35</v>
      </c>
    </row>
    <row r="62" spans="1:3" hidden="1" x14ac:dyDescent="0.3">
      <c r="A62" s="26">
        <v>45923</v>
      </c>
      <c r="B62" s="27" t="s">
        <v>4</v>
      </c>
      <c r="C62" s="24">
        <v>-73.87</v>
      </c>
    </row>
    <row r="63" spans="1:3" hidden="1" x14ac:dyDescent="0.3">
      <c r="A63" s="26">
        <v>45923</v>
      </c>
      <c r="B63" s="32" t="s">
        <v>21</v>
      </c>
      <c r="C63" s="24">
        <v>25.45</v>
      </c>
    </row>
    <row r="64" spans="1:3" hidden="1" x14ac:dyDescent="0.3">
      <c r="A64" s="26">
        <v>45923</v>
      </c>
      <c r="B64" s="34" t="s">
        <v>21</v>
      </c>
      <c r="C64" s="24">
        <v>12.63</v>
      </c>
    </row>
    <row r="65" spans="1:3" hidden="1" x14ac:dyDescent="0.3">
      <c r="A65" s="26">
        <v>45937</v>
      </c>
      <c r="B65" s="27" t="s">
        <v>7</v>
      </c>
      <c r="C65" s="24">
        <v>-38.11</v>
      </c>
    </row>
    <row r="66" spans="1:3" hidden="1" x14ac:dyDescent="0.3">
      <c r="A66" s="26">
        <v>45937</v>
      </c>
      <c r="B66" s="27" t="s">
        <v>1</v>
      </c>
      <c r="C66" s="24">
        <v>23</v>
      </c>
    </row>
    <row r="67" spans="1:3" hidden="1" x14ac:dyDescent="0.3">
      <c r="A67" s="26">
        <v>45937</v>
      </c>
      <c r="B67" s="32" t="s">
        <v>21</v>
      </c>
      <c r="C67" s="24">
        <v>14.2</v>
      </c>
    </row>
    <row r="68" spans="1:3" hidden="1" x14ac:dyDescent="0.3">
      <c r="A68" s="26">
        <v>45937</v>
      </c>
      <c r="B68" s="34" t="s">
        <v>21</v>
      </c>
      <c r="C68" s="24">
        <v>10.44</v>
      </c>
    </row>
    <row r="69" spans="1:3" hidden="1" x14ac:dyDescent="0.3">
      <c r="A69" s="26">
        <v>45944</v>
      </c>
      <c r="B69" s="27" t="s">
        <v>7</v>
      </c>
      <c r="C69" s="24">
        <v>-47.65</v>
      </c>
    </row>
    <row r="70" spans="1:3" hidden="1" x14ac:dyDescent="0.3">
      <c r="A70" s="26">
        <v>45944</v>
      </c>
      <c r="B70" s="27" t="s">
        <v>1</v>
      </c>
      <c r="C70" s="24">
        <v>23</v>
      </c>
    </row>
    <row r="71" spans="1:3" hidden="1" x14ac:dyDescent="0.3">
      <c r="A71" s="26">
        <v>45944</v>
      </c>
      <c r="B71" s="32" t="s">
        <v>21</v>
      </c>
      <c r="C71" s="24">
        <v>7.5</v>
      </c>
    </row>
    <row r="72" spans="1:3" hidden="1" x14ac:dyDescent="0.3">
      <c r="A72" s="26">
        <v>45944</v>
      </c>
      <c r="B72" s="34" t="s">
        <v>21</v>
      </c>
      <c r="C72" s="24">
        <v>29.78</v>
      </c>
    </row>
    <row r="73" spans="1:3" hidden="1" x14ac:dyDescent="0.3">
      <c r="A73" s="26">
        <v>45951</v>
      </c>
      <c r="B73" s="27" t="s">
        <v>7</v>
      </c>
      <c r="C73" s="24">
        <v>-60.29</v>
      </c>
    </row>
    <row r="74" spans="1:3" hidden="1" x14ac:dyDescent="0.3">
      <c r="A74" s="26">
        <v>45951</v>
      </c>
      <c r="B74" s="27" t="s">
        <v>1</v>
      </c>
      <c r="C74" s="24">
        <v>23</v>
      </c>
    </row>
    <row r="75" spans="1:3" hidden="1" x14ac:dyDescent="0.3">
      <c r="A75" s="26">
        <v>45951</v>
      </c>
      <c r="B75" s="32" t="s">
        <v>21</v>
      </c>
      <c r="C75" s="24">
        <v>12.1</v>
      </c>
    </row>
    <row r="76" spans="1:3" hidden="1" x14ac:dyDescent="0.3">
      <c r="A76" s="26">
        <v>45951</v>
      </c>
      <c r="B76" s="34" t="s">
        <v>21</v>
      </c>
      <c r="C76" s="24">
        <v>8.6999999999999993</v>
      </c>
    </row>
    <row r="77" spans="1:3" hidden="1" x14ac:dyDescent="0.3">
      <c r="A77" s="26">
        <v>45958</v>
      </c>
      <c r="B77" s="27" t="s">
        <v>7</v>
      </c>
      <c r="C77" s="24">
        <v>-43.81</v>
      </c>
    </row>
    <row r="78" spans="1:3" hidden="1" x14ac:dyDescent="0.3">
      <c r="A78" s="26">
        <v>45958</v>
      </c>
      <c r="B78" s="32" t="s">
        <v>21</v>
      </c>
      <c r="C78" s="24">
        <v>19.600000000000001</v>
      </c>
    </row>
    <row r="79" spans="1:3" hidden="1" x14ac:dyDescent="0.3">
      <c r="A79" s="26">
        <v>45958</v>
      </c>
      <c r="B79" s="34" t="s">
        <v>21</v>
      </c>
      <c r="C79" s="24">
        <v>6.96</v>
      </c>
    </row>
    <row r="80" spans="1:3" hidden="1" x14ac:dyDescent="0.3">
      <c r="A80" s="26">
        <v>45965</v>
      </c>
      <c r="B80" s="27" t="s">
        <v>1</v>
      </c>
      <c r="C80" s="24">
        <v>23</v>
      </c>
    </row>
    <row r="81" spans="1:3" hidden="1" x14ac:dyDescent="0.3">
      <c r="A81" s="26">
        <v>45965</v>
      </c>
      <c r="B81" s="32" t="s">
        <v>21</v>
      </c>
      <c r="C81" s="24">
        <v>57.98</v>
      </c>
    </row>
    <row r="82" spans="1:3" hidden="1" x14ac:dyDescent="0.3">
      <c r="A82" s="26">
        <v>45965</v>
      </c>
      <c r="B82" s="34" t="s">
        <v>21</v>
      </c>
      <c r="C82" s="24">
        <v>19.440000000000001</v>
      </c>
    </row>
    <row r="83" spans="1:3" hidden="1" x14ac:dyDescent="0.3">
      <c r="A83" s="26">
        <v>45966</v>
      </c>
      <c r="B83" s="27" t="s">
        <v>7</v>
      </c>
      <c r="C83" s="24">
        <v>-26.51</v>
      </c>
    </row>
    <row r="84" spans="1:3" hidden="1" x14ac:dyDescent="0.3">
      <c r="A84" s="26">
        <v>45972</v>
      </c>
      <c r="B84" s="27" t="s">
        <v>7</v>
      </c>
      <c r="C84" s="24">
        <v>-71.42</v>
      </c>
    </row>
    <row r="85" spans="1:3" hidden="1" x14ac:dyDescent="0.3">
      <c r="A85" s="26">
        <v>45979</v>
      </c>
      <c r="B85" s="27" t="s">
        <v>1</v>
      </c>
      <c r="C85" s="24">
        <v>49.24</v>
      </c>
    </row>
    <row r="86" spans="1:3" hidden="1" x14ac:dyDescent="0.3">
      <c r="A86" s="26">
        <v>45980</v>
      </c>
      <c r="B86" s="27" t="s">
        <v>7</v>
      </c>
      <c r="C86" s="24">
        <v>-29.17</v>
      </c>
    </row>
    <row r="87" spans="1:3" hidden="1" x14ac:dyDescent="0.3">
      <c r="A87" s="26">
        <v>45986</v>
      </c>
      <c r="B87" s="27" t="s">
        <v>7</v>
      </c>
      <c r="C87" s="24">
        <v>-49.07</v>
      </c>
    </row>
    <row r="88" spans="1:3" x14ac:dyDescent="0.3">
      <c r="A88" s="26">
        <v>45986</v>
      </c>
      <c r="B88" s="27" t="s">
        <v>1</v>
      </c>
      <c r="C88" s="24">
        <v>54.84</v>
      </c>
    </row>
    <row r="89" spans="1:3" x14ac:dyDescent="0.3">
      <c r="A89" s="26">
        <v>45993</v>
      </c>
      <c r="B89" s="27" t="s">
        <v>7</v>
      </c>
      <c r="C89" s="24">
        <v>-54.85</v>
      </c>
    </row>
    <row r="90" spans="1:3" x14ac:dyDescent="0.3">
      <c r="A90" s="26">
        <v>46000</v>
      </c>
      <c r="B90" s="27" t="s">
        <v>1</v>
      </c>
      <c r="C90" s="24">
        <f>92.71-2.25</f>
        <v>90.46</v>
      </c>
    </row>
    <row r="91" spans="1:3" x14ac:dyDescent="0.3">
      <c r="A91" s="26">
        <v>46007</v>
      </c>
      <c r="B91" s="27" t="s">
        <v>7</v>
      </c>
      <c r="C91" s="24">
        <v>-90.46</v>
      </c>
    </row>
    <row r="92" spans="1:3" x14ac:dyDescent="0.3">
      <c r="A92" s="26">
        <v>46007</v>
      </c>
      <c r="B92" s="27" t="s">
        <v>1</v>
      </c>
      <c r="C92" s="24">
        <v>75.819999999999993</v>
      </c>
    </row>
    <row r="93" spans="1:3" x14ac:dyDescent="0.3">
      <c r="A93" s="26">
        <v>46021</v>
      </c>
      <c r="B93" s="27" t="s">
        <v>7</v>
      </c>
      <c r="C93" s="24">
        <v>-75.8</v>
      </c>
    </row>
    <row r="94" spans="1:3" x14ac:dyDescent="0.3">
      <c r="A94" s="26">
        <v>46021</v>
      </c>
      <c r="B94" s="27" t="s">
        <v>1</v>
      </c>
      <c r="C94" s="24">
        <v>65.790000000000006</v>
      </c>
    </row>
    <row r="95" spans="1:3" x14ac:dyDescent="0.3">
      <c r="A95" s="26">
        <v>46028</v>
      </c>
      <c r="B95" s="27" t="s">
        <v>7</v>
      </c>
      <c r="C95" s="24">
        <v>-65.81</v>
      </c>
    </row>
    <row r="96" spans="1:3" x14ac:dyDescent="0.3">
      <c r="A96" s="26">
        <v>46028</v>
      </c>
      <c r="B96" s="27" t="s">
        <v>1</v>
      </c>
      <c r="C96" s="24">
        <v>52.1</v>
      </c>
    </row>
    <row r="97" spans="1:3" x14ac:dyDescent="0.3">
      <c r="A97" s="26">
        <v>46042</v>
      </c>
      <c r="B97" s="27" t="s">
        <v>4</v>
      </c>
      <c r="C97" s="24">
        <v>-52.08</v>
      </c>
    </row>
    <row r="98" spans="1:3" x14ac:dyDescent="0.3">
      <c r="A98" s="26">
        <v>46042</v>
      </c>
      <c r="B98" s="27" t="s">
        <v>1</v>
      </c>
      <c r="C98" s="24">
        <v>27.6</v>
      </c>
    </row>
    <row r="99" spans="1:3" x14ac:dyDescent="0.3">
      <c r="A99" s="26">
        <v>46049</v>
      </c>
      <c r="B99" s="27" t="s">
        <v>4</v>
      </c>
      <c r="C99" s="24">
        <v>-29.98</v>
      </c>
    </row>
    <row r="100" spans="1:3" x14ac:dyDescent="0.3">
      <c r="A100" s="26">
        <v>46049</v>
      </c>
      <c r="B100" s="27" t="s">
        <v>1</v>
      </c>
      <c r="C100" s="24">
        <v>75.34</v>
      </c>
    </row>
    <row r="101" spans="1:3" x14ac:dyDescent="0.3">
      <c r="A101" s="26">
        <v>46056</v>
      </c>
      <c r="B101" s="27" t="s">
        <v>7</v>
      </c>
      <c r="C101" s="24">
        <v>-72.959999999999994</v>
      </c>
    </row>
    <row r="102" spans="1:3" x14ac:dyDescent="0.3">
      <c r="A102" s="26">
        <v>46056</v>
      </c>
      <c r="B102" s="27" t="s">
        <v>1</v>
      </c>
      <c r="C102" s="24">
        <v>63.67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2E34-CFBD-4ADA-B30D-68BA26366B2C}">
  <sheetPr codeName="Hoja27"/>
  <dimension ref="A1:H102"/>
  <sheetViews>
    <sheetView view="pageBreakPreview" zoomScale="80" zoomScaleNormal="100" zoomScaleSheetLayoutView="80" workbookViewId="0">
      <selection activeCell="C103" sqref="C10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27" t="s">
        <v>155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50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305.46999999999997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45813</v>
      </c>
      <c r="B5" s="32" t="s">
        <v>21</v>
      </c>
      <c r="C5" s="24">
        <v>17.54</v>
      </c>
      <c r="D5" s="30"/>
      <c r="E5" s="30"/>
      <c r="F5" s="30"/>
      <c r="G5" s="22"/>
    </row>
    <row r="6" spans="1:8" hidden="1" x14ac:dyDescent="0.3">
      <c r="A6" s="21">
        <v>45813</v>
      </c>
      <c r="B6" s="34" t="s">
        <v>21</v>
      </c>
      <c r="C6" s="24">
        <v>77.849999999999994</v>
      </c>
    </row>
    <row r="7" spans="1:8" hidden="1" x14ac:dyDescent="0.3">
      <c r="A7" s="26">
        <v>45819</v>
      </c>
      <c r="B7" s="27" t="s">
        <v>4</v>
      </c>
      <c r="C7" s="24">
        <v>-95.39</v>
      </c>
    </row>
    <row r="8" spans="1:8" hidden="1" x14ac:dyDescent="0.3">
      <c r="A8" s="26">
        <v>45819</v>
      </c>
      <c r="B8" s="27" t="s">
        <v>1</v>
      </c>
      <c r="C8" s="24">
        <v>145.6</v>
      </c>
    </row>
    <row r="9" spans="1:8" hidden="1" x14ac:dyDescent="0.3">
      <c r="A9" s="26">
        <v>45819</v>
      </c>
      <c r="B9" s="32" t="s">
        <v>21</v>
      </c>
      <c r="C9" s="24">
        <v>15.85</v>
      </c>
    </row>
    <row r="10" spans="1:8" hidden="1" x14ac:dyDescent="0.3">
      <c r="A10" s="26">
        <v>45819</v>
      </c>
      <c r="B10" s="34" t="s">
        <v>21</v>
      </c>
      <c r="C10" s="24">
        <v>66.680000000000007</v>
      </c>
    </row>
    <row r="11" spans="1:8" hidden="1" x14ac:dyDescent="0.3">
      <c r="A11" s="26">
        <v>45819</v>
      </c>
      <c r="B11" s="46" t="s">
        <v>21</v>
      </c>
      <c r="C11" s="24">
        <v>5.15</v>
      </c>
    </row>
    <row r="12" spans="1:8" hidden="1" x14ac:dyDescent="0.3">
      <c r="A12" s="26">
        <v>45827</v>
      </c>
      <c r="B12" s="31" t="s">
        <v>4</v>
      </c>
      <c r="C12" s="24">
        <v>-233.28</v>
      </c>
    </row>
    <row r="13" spans="1:8" hidden="1" x14ac:dyDescent="0.3">
      <c r="A13" s="26">
        <v>45826</v>
      </c>
      <c r="B13" s="34" t="s">
        <v>21</v>
      </c>
      <c r="C13" s="24">
        <v>26.99</v>
      </c>
    </row>
    <row r="14" spans="1:8" hidden="1" x14ac:dyDescent="0.3">
      <c r="A14" s="26">
        <v>45833</v>
      </c>
      <c r="B14" s="27" t="s">
        <v>4</v>
      </c>
      <c r="C14" s="24">
        <v>-26.99</v>
      </c>
    </row>
    <row r="15" spans="1:8" hidden="1" x14ac:dyDescent="0.3">
      <c r="A15" s="26">
        <v>45833</v>
      </c>
      <c r="B15" s="27" t="s">
        <v>1</v>
      </c>
      <c r="C15" s="24">
        <v>55.66</v>
      </c>
    </row>
    <row r="16" spans="1:8" hidden="1" x14ac:dyDescent="0.3">
      <c r="A16" s="26">
        <v>45833</v>
      </c>
      <c r="B16" s="34" t="s">
        <v>21</v>
      </c>
      <c r="C16" s="24">
        <v>40.78</v>
      </c>
    </row>
    <row r="17" spans="1:3" hidden="1" x14ac:dyDescent="0.3">
      <c r="A17" s="26">
        <v>45840</v>
      </c>
      <c r="B17" s="27" t="s">
        <v>4</v>
      </c>
      <c r="C17" s="24">
        <v>-96.44</v>
      </c>
    </row>
    <row r="18" spans="1:3" hidden="1" x14ac:dyDescent="0.3">
      <c r="A18" s="26">
        <v>45840</v>
      </c>
      <c r="B18" s="32" t="s">
        <v>21</v>
      </c>
      <c r="C18" s="24">
        <v>24.6</v>
      </c>
    </row>
    <row r="19" spans="1:3" hidden="1" x14ac:dyDescent="0.3">
      <c r="A19" s="26">
        <v>45840</v>
      </c>
      <c r="B19" s="34" t="s">
        <v>21</v>
      </c>
      <c r="C19" s="24">
        <v>51.12</v>
      </c>
    </row>
    <row r="20" spans="1:3" hidden="1" x14ac:dyDescent="0.3">
      <c r="A20" s="26">
        <v>45847</v>
      </c>
      <c r="B20" s="27" t="s">
        <v>4</v>
      </c>
      <c r="C20" s="24">
        <v>-75.72</v>
      </c>
    </row>
    <row r="21" spans="1:3" hidden="1" x14ac:dyDescent="0.3">
      <c r="A21" s="26">
        <v>45847</v>
      </c>
      <c r="B21" s="27" t="s">
        <v>1</v>
      </c>
      <c r="C21" s="24">
        <v>104</v>
      </c>
    </row>
    <row r="22" spans="1:3" hidden="1" x14ac:dyDescent="0.3">
      <c r="A22" s="26">
        <v>45847</v>
      </c>
      <c r="B22" s="32" t="s">
        <v>21</v>
      </c>
      <c r="C22" s="24">
        <v>24.84</v>
      </c>
    </row>
    <row r="23" spans="1:3" hidden="1" x14ac:dyDescent="0.3">
      <c r="A23" s="26">
        <v>45847</v>
      </c>
      <c r="B23" s="34" t="s">
        <v>21</v>
      </c>
      <c r="C23" s="24">
        <v>48.28</v>
      </c>
    </row>
    <row r="24" spans="1:3" hidden="1" x14ac:dyDescent="0.3">
      <c r="A24" s="26">
        <v>45854</v>
      </c>
      <c r="B24" s="27" t="s">
        <v>4</v>
      </c>
      <c r="C24" s="24">
        <v>-177.12</v>
      </c>
    </row>
    <row r="25" spans="1:3" hidden="1" x14ac:dyDescent="0.3">
      <c r="A25" s="26">
        <v>45854</v>
      </c>
      <c r="B25" s="32" t="s">
        <v>21</v>
      </c>
      <c r="C25" s="24">
        <v>23.35</v>
      </c>
    </row>
    <row r="26" spans="1:3" hidden="1" x14ac:dyDescent="0.3">
      <c r="A26" s="26">
        <v>45854</v>
      </c>
      <c r="B26" s="34" t="s">
        <v>21</v>
      </c>
      <c r="C26" s="24">
        <v>7.94</v>
      </c>
    </row>
    <row r="27" spans="1:3" hidden="1" x14ac:dyDescent="0.3">
      <c r="A27" s="26">
        <v>45861</v>
      </c>
      <c r="B27" s="27" t="s">
        <v>4</v>
      </c>
      <c r="C27" s="24">
        <v>-31.29</v>
      </c>
    </row>
    <row r="28" spans="1:3" hidden="1" x14ac:dyDescent="0.3">
      <c r="A28" s="26">
        <v>45861</v>
      </c>
      <c r="B28" s="34" t="s">
        <v>21</v>
      </c>
      <c r="C28" s="24">
        <v>67.44</v>
      </c>
    </row>
    <row r="29" spans="1:3" hidden="1" x14ac:dyDescent="0.3">
      <c r="A29" s="26">
        <v>45868</v>
      </c>
      <c r="B29" s="27" t="s">
        <v>4</v>
      </c>
      <c r="C29" s="24">
        <v>-67.44</v>
      </c>
    </row>
    <row r="30" spans="1:3" hidden="1" x14ac:dyDescent="0.3">
      <c r="A30" s="26">
        <v>45868</v>
      </c>
      <c r="B30" s="32" t="s">
        <v>21</v>
      </c>
      <c r="C30" s="24">
        <v>15</v>
      </c>
    </row>
    <row r="31" spans="1:3" hidden="1" x14ac:dyDescent="0.3">
      <c r="A31" s="26">
        <v>45868</v>
      </c>
      <c r="B31" s="34" t="s">
        <v>21</v>
      </c>
      <c r="C31" s="24">
        <v>83.28</v>
      </c>
    </row>
    <row r="32" spans="1:3" hidden="1" x14ac:dyDescent="0.3">
      <c r="A32" s="26">
        <v>45875</v>
      </c>
      <c r="B32" s="27" t="s">
        <v>4</v>
      </c>
      <c r="C32" s="24">
        <v>-98.28</v>
      </c>
    </row>
    <row r="33" spans="1:3" hidden="1" x14ac:dyDescent="0.3">
      <c r="A33" s="26">
        <v>45875</v>
      </c>
      <c r="B33" s="32" t="s">
        <v>21</v>
      </c>
      <c r="C33" s="24">
        <v>9.84</v>
      </c>
    </row>
    <row r="34" spans="1:3" hidden="1" x14ac:dyDescent="0.3">
      <c r="A34" s="26">
        <v>45875</v>
      </c>
      <c r="B34" s="34" t="s">
        <v>21</v>
      </c>
      <c r="C34" s="24">
        <v>97.74</v>
      </c>
    </row>
    <row r="35" spans="1:3" hidden="1" x14ac:dyDescent="0.3">
      <c r="A35" s="26">
        <v>45882</v>
      </c>
      <c r="B35" s="27" t="s">
        <v>4</v>
      </c>
      <c r="C35" s="24">
        <v>-107.58</v>
      </c>
    </row>
    <row r="36" spans="1:3" hidden="1" x14ac:dyDescent="0.3">
      <c r="A36" s="26">
        <v>45882</v>
      </c>
      <c r="B36" s="27" t="s">
        <v>1</v>
      </c>
      <c r="C36" s="24">
        <v>62.4</v>
      </c>
    </row>
    <row r="37" spans="1:3" hidden="1" x14ac:dyDescent="0.3">
      <c r="A37" s="26">
        <v>45882</v>
      </c>
      <c r="B37" s="34" t="s">
        <v>21</v>
      </c>
      <c r="C37" s="24">
        <v>25.18</v>
      </c>
    </row>
    <row r="38" spans="1:3" hidden="1" x14ac:dyDescent="0.3">
      <c r="A38" s="26">
        <v>45888</v>
      </c>
      <c r="B38" s="27" t="s">
        <v>4</v>
      </c>
      <c r="C38" s="24">
        <v>-87.58</v>
      </c>
    </row>
    <row r="39" spans="1:3" hidden="1" x14ac:dyDescent="0.3">
      <c r="A39" s="26">
        <v>45889</v>
      </c>
      <c r="B39" s="32" t="s">
        <v>21</v>
      </c>
      <c r="C39" s="24">
        <v>17.34</v>
      </c>
    </row>
    <row r="40" spans="1:3" hidden="1" x14ac:dyDescent="0.3">
      <c r="A40" s="26">
        <v>45889</v>
      </c>
      <c r="B40" s="34" t="s">
        <v>21</v>
      </c>
      <c r="C40" s="24">
        <v>49.74</v>
      </c>
    </row>
    <row r="41" spans="1:3" hidden="1" x14ac:dyDescent="0.3">
      <c r="A41" s="26">
        <v>45895</v>
      </c>
      <c r="B41" s="34" t="s">
        <v>21</v>
      </c>
      <c r="C41" s="24">
        <v>19.8</v>
      </c>
    </row>
    <row r="42" spans="1:3" hidden="1" x14ac:dyDescent="0.3">
      <c r="A42" s="26">
        <v>45896</v>
      </c>
      <c r="B42" s="27" t="s">
        <v>4</v>
      </c>
      <c r="C42" s="24">
        <v>-86.88</v>
      </c>
    </row>
    <row r="43" spans="1:3" hidden="1" x14ac:dyDescent="0.3">
      <c r="A43" s="26">
        <v>45896</v>
      </c>
      <c r="B43" s="27" t="s">
        <v>1</v>
      </c>
      <c r="C43" s="24">
        <v>187.2</v>
      </c>
    </row>
    <row r="44" spans="1:3" hidden="1" x14ac:dyDescent="0.3">
      <c r="A44" s="26">
        <v>45896</v>
      </c>
      <c r="B44" s="32" t="s">
        <v>21</v>
      </c>
      <c r="C44" s="24">
        <v>33.19</v>
      </c>
    </row>
    <row r="45" spans="1:3" hidden="1" x14ac:dyDescent="0.3">
      <c r="A45" s="26">
        <v>45896</v>
      </c>
      <c r="B45" s="34" t="s">
        <v>21</v>
      </c>
      <c r="C45" s="24">
        <v>70.44</v>
      </c>
    </row>
    <row r="46" spans="1:3" hidden="1" x14ac:dyDescent="0.3">
      <c r="A46" s="26">
        <v>45903</v>
      </c>
      <c r="B46" s="27" t="s">
        <v>4</v>
      </c>
      <c r="C46" s="24">
        <v>-290.95999999999998</v>
      </c>
    </row>
    <row r="47" spans="1:3" hidden="1" x14ac:dyDescent="0.3">
      <c r="A47" s="26">
        <v>45903</v>
      </c>
      <c r="B47" s="27" t="s">
        <v>1</v>
      </c>
      <c r="C47" s="24">
        <v>104</v>
      </c>
    </row>
    <row r="48" spans="1:3" hidden="1" x14ac:dyDescent="0.3">
      <c r="A48" s="26">
        <v>45903</v>
      </c>
      <c r="B48" s="32" t="s">
        <v>21</v>
      </c>
      <c r="C48" s="24">
        <v>9</v>
      </c>
    </row>
    <row r="49" spans="1:3" hidden="1" x14ac:dyDescent="0.3">
      <c r="A49" s="26">
        <v>45903</v>
      </c>
      <c r="B49" s="34" t="s">
        <v>21</v>
      </c>
      <c r="C49" s="24">
        <v>16.04</v>
      </c>
    </row>
    <row r="50" spans="1:3" hidden="1" x14ac:dyDescent="0.3">
      <c r="A50" s="26">
        <v>45910</v>
      </c>
      <c r="B50" s="27" t="s">
        <v>4</v>
      </c>
      <c r="C50" s="24">
        <v>-128.91</v>
      </c>
    </row>
    <row r="51" spans="1:3" hidden="1" x14ac:dyDescent="0.3">
      <c r="A51" s="26">
        <v>45910</v>
      </c>
      <c r="B51" s="32" t="s">
        <v>21</v>
      </c>
      <c r="C51" s="24">
        <v>7.5</v>
      </c>
    </row>
    <row r="52" spans="1:3" hidden="1" x14ac:dyDescent="0.3">
      <c r="A52" s="26">
        <v>45910</v>
      </c>
      <c r="B52" s="34" t="s">
        <v>21</v>
      </c>
      <c r="C52" s="24">
        <v>48.48</v>
      </c>
    </row>
    <row r="53" spans="1:3" hidden="1" x14ac:dyDescent="0.3">
      <c r="A53" s="26">
        <v>45917</v>
      </c>
      <c r="B53" s="27" t="s">
        <v>4</v>
      </c>
      <c r="C53" s="24">
        <v>-55.98</v>
      </c>
    </row>
    <row r="54" spans="1:3" hidden="1" x14ac:dyDescent="0.3">
      <c r="A54" s="26">
        <v>45917</v>
      </c>
      <c r="B54" s="27" t="s">
        <v>1</v>
      </c>
      <c r="C54" s="24">
        <v>34.86</v>
      </c>
    </row>
    <row r="55" spans="1:3" hidden="1" x14ac:dyDescent="0.3">
      <c r="A55" s="26">
        <v>45917</v>
      </c>
      <c r="B55" s="32" t="s">
        <v>21</v>
      </c>
      <c r="C55" s="24">
        <v>19.12</v>
      </c>
    </row>
    <row r="56" spans="1:3" hidden="1" x14ac:dyDescent="0.3">
      <c r="A56" s="26">
        <v>45917</v>
      </c>
      <c r="B56" s="34" t="s">
        <v>21</v>
      </c>
      <c r="C56" s="24">
        <v>69.150000000000006</v>
      </c>
    </row>
    <row r="57" spans="1:3" hidden="1" x14ac:dyDescent="0.3">
      <c r="A57" s="26">
        <v>45924</v>
      </c>
      <c r="B57" s="27" t="s">
        <v>7</v>
      </c>
      <c r="C57" s="24">
        <v>-123.15</v>
      </c>
    </row>
    <row r="58" spans="1:3" hidden="1" x14ac:dyDescent="0.3">
      <c r="A58" s="26">
        <v>45924</v>
      </c>
      <c r="B58" s="27" t="s">
        <v>1</v>
      </c>
      <c r="C58" s="24">
        <v>104</v>
      </c>
    </row>
    <row r="59" spans="1:3" hidden="1" x14ac:dyDescent="0.3">
      <c r="A59" s="26">
        <v>45924</v>
      </c>
      <c r="B59" s="32" t="s">
        <v>21</v>
      </c>
      <c r="C59" s="24">
        <v>31.14</v>
      </c>
    </row>
    <row r="60" spans="1:3" hidden="1" x14ac:dyDescent="0.3">
      <c r="A60" s="26">
        <v>45924</v>
      </c>
      <c r="B60" s="34" t="s">
        <v>21</v>
      </c>
      <c r="C60" s="24">
        <v>102.07</v>
      </c>
    </row>
    <row r="61" spans="1:3" hidden="1" x14ac:dyDescent="0.3">
      <c r="A61" s="26">
        <v>45931</v>
      </c>
      <c r="B61" s="27" t="s">
        <v>7</v>
      </c>
      <c r="C61" s="24">
        <v>-237.23</v>
      </c>
    </row>
    <row r="62" spans="1:3" hidden="1" x14ac:dyDescent="0.3">
      <c r="A62" s="26">
        <v>45931</v>
      </c>
      <c r="B62" s="32" t="s">
        <v>21</v>
      </c>
      <c r="C62" s="24">
        <v>26.54</v>
      </c>
    </row>
    <row r="63" spans="1:3" hidden="1" x14ac:dyDescent="0.3">
      <c r="A63" s="26">
        <v>45931</v>
      </c>
      <c r="B63" s="34" t="s">
        <v>21</v>
      </c>
      <c r="C63" s="24">
        <v>52.09</v>
      </c>
    </row>
    <row r="64" spans="1:3" hidden="1" x14ac:dyDescent="0.3">
      <c r="A64" s="26">
        <v>45938</v>
      </c>
      <c r="B64" s="32" t="s">
        <v>21</v>
      </c>
      <c r="C64" s="24">
        <v>20.88</v>
      </c>
    </row>
    <row r="65" spans="1:3" hidden="1" x14ac:dyDescent="0.3">
      <c r="A65" s="26">
        <v>45938</v>
      </c>
      <c r="B65" s="34" t="s">
        <v>21</v>
      </c>
      <c r="C65" s="24">
        <v>11.9</v>
      </c>
    </row>
    <row r="66" spans="1:3" hidden="1" x14ac:dyDescent="0.3">
      <c r="A66" s="26">
        <v>45945</v>
      </c>
      <c r="B66" s="27" t="s">
        <v>4</v>
      </c>
      <c r="C66" s="24">
        <v>-78.650000000000006</v>
      </c>
    </row>
    <row r="67" spans="1:3" hidden="1" x14ac:dyDescent="0.3">
      <c r="A67" s="26">
        <v>45945</v>
      </c>
      <c r="B67" s="27" t="s">
        <v>7</v>
      </c>
      <c r="C67" s="24">
        <v>-32.799999999999997</v>
      </c>
    </row>
    <row r="68" spans="1:3" hidden="1" x14ac:dyDescent="0.3">
      <c r="A68" s="26">
        <v>45945</v>
      </c>
      <c r="B68" s="27" t="s">
        <v>1</v>
      </c>
      <c r="C68" s="24">
        <v>230</v>
      </c>
    </row>
    <row r="69" spans="1:3" hidden="1" x14ac:dyDescent="0.3">
      <c r="A69" s="26">
        <v>45945</v>
      </c>
      <c r="B69" s="32" t="s">
        <v>21</v>
      </c>
      <c r="C69" s="24">
        <v>31.14</v>
      </c>
    </row>
    <row r="70" spans="1:3" hidden="1" x14ac:dyDescent="0.3">
      <c r="A70" s="26">
        <v>45952</v>
      </c>
      <c r="B70" s="34" t="s">
        <v>21</v>
      </c>
      <c r="C70" s="24">
        <v>97.86</v>
      </c>
    </row>
    <row r="71" spans="1:3" hidden="1" x14ac:dyDescent="0.3">
      <c r="A71" s="26">
        <v>45959</v>
      </c>
      <c r="B71" s="27" t="s">
        <v>4</v>
      </c>
      <c r="C71" s="24">
        <v>-261.14</v>
      </c>
    </row>
    <row r="72" spans="1:3" hidden="1" x14ac:dyDescent="0.3">
      <c r="A72" s="26">
        <v>45959</v>
      </c>
      <c r="B72" s="27" t="s">
        <v>4</v>
      </c>
      <c r="C72" s="24">
        <v>-97.86</v>
      </c>
    </row>
    <row r="73" spans="1:3" hidden="1" x14ac:dyDescent="0.3">
      <c r="A73" s="26">
        <v>45959</v>
      </c>
      <c r="B73" s="32" t="s">
        <v>21</v>
      </c>
      <c r="C73" s="24">
        <v>26.38</v>
      </c>
    </row>
    <row r="74" spans="1:3" hidden="1" x14ac:dyDescent="0.3">
      <c r="A74" s="26">
        <v>45959</v>
      </c>
      <c r="B74" s="34" t="s">
        <v>21</v>
      </c>
      <c r="C74" s="24">
        <v>75.010000000000005</v>
      </c>
    </row>
    <row r="75" spans="1:3" hidden="1" x14ac:dyDescent="0.3">
      <c r="A75" s="26">
        <v>45967</v>
      </c>
      <c r="B75" s="27" t="s">
        <v>4</v>
      </c>
      <c r="C75" s="24">
        <v>-101.31</v>
      </c>
    </row>
    <row r="76" spans="1:3" hidden="1" x14ac:dyDescent="0.3">
      <c r="A76" s="26">
        <v>45967</v>
      </c>
      <c r="B76" s="32" t="s">
        <v>21</v>
      </c>
      <c r="C76" s="24">
        <v>12.1</v>
      </c>
    </row>
    <row r="77" spans="1:3" hidden="1" x14ac:dyDescent="0.3">
      <c r="A77" s="26">
        <v>45967</v>
      </c>
      <c r="B77" s="34" t="s">
        <v>21</v>
      </c>
      <c r="C77" s="24">
        <v>91.9</v>
      </c>
    </row>
    <row r="78" spans="1:3" hidden="1" x14ac:dyDescent="0.3">
      <c r="A78" s="26">
        <v>45973</v>
      </c>
      <c r="B78" s="27" t="s">
        <v>1</v>
      </c>
      <c r="C78" s="24">
        <v>216.27</v>
      </c>
    </row>
    <row r="79" spans="1:3" hidden="1" x14ac:dyDescent="0.3">
      <c r="A79" s="26">
        <v>45979</v>
      </c>
      <c r="B79" s="27" t="s">
        <v>4</v>
      </c>
      <c r="C79" s="24">
        <v>-50.67</v>
      </c>
    </row>
    <row r="80" spans="1:3" hidden="1" x14ac:dyDescent="0.3">
      <c r="A80" s="26">
        <v>45980</v>
      </c>
      <c r="B80" s="27" t="s">
        <v>4</v>
      </c>
      <c r="C80" s="24">
        <v>-126.18</v>
      </c>
    </row>
    <row r="81" spans="1:3" hidden="1" x14ac:dyDescent="0.3">
      <c r="A81" s="26">
        <v>45980</v>
      </c>
      <c r="B81" s="27" t="s">
        <v>4</v>
      </c>
      <c r="C81" s="24">
        <v>-143.82</v>
      </c>
    </row>
    <row r="82" spans="1:3" hidden="1" x14ac:dyDescent="0.3">
      <c r="A82" s="26">
        <v>45980</v>
      </c>
      <c r="B82" s="27" t="s">
        <v>1</v>
      </c>
      <c r="C82" s="24">
        <v>212.83</v>
      </c>
    </row>
    <row r="83" spans="1:3" hidden="1" x14ac:dyDescent="0.3">
      <c r="A83" s="26">
        <v>45987</v>
      </c>
      <c r="B83" s="27" t="s">
        <v>4</v>
      </c>
      <c r="C83" s="24">
        <v>-212.43</v>
      </c>
    </row>
    <row r="84" spans="1:3" x14ac:dyDescent="0.3">
      <c r="A84" s="26">
        <v>45987</v>
      </c>
      <c r="B84" s="27" t="s">
        <v>1</v>
      </c>
      <c r="C84" s="24">
        <v>70.599999999999994</v>
      </c>
    </row>
    <row r="85" spans="1:3" x14ac:dyDescent="0.3">
      <c r="A85" s="26">
        <v>45994</v>
      </c>
      <c r="B85" s="27" t="s">
        <v>4</v>
      </c>
      <c r="C85" s="24">
        <v>-68.989999999999995</v>
      </c>
    </row>
    <row r="86" spans="1:3" x14ac:dyDescent="0.3">
      <c r="A86" s="26">
        <v>45994</v>
      </c>
      <c r="B86" s="27" t="s">
        <v>1</v>
      </c>
      <c r="C86" s="24">
        <v>12.7</v>
      </c>
    </row>
    <row r="87" spans="1:3" x14ac:dyDescent="0.3">
      <c r="A87" s="26">
        <v>46001</v>
      </c>
      <c r="B87" s="27" t="s">
        <v>4</v>
      </c>
      <c r="C87" s="24">
        <v>-14.31</v>
      </c>
    </row>
    <row r="88" spans="1:3" x14ac:dyDescent="0.3">
      <c r="A88" s="26">
        <v>46001</v>
      </c>
      <c r="B88" s="27" t="s">
        <v>1</v>
      </c>
      <c r="C88" s="24">
        <v>192.84</v>
      </c>
    </row>
    <row r="89" spans="1:3" x14ac:dyDescent="0.3">
      <c r="A89" s="26">
        <v>46008</v>
      </c>
      <c r="B89" s="27" t="s">
        <v>4</v>
      </c>
      <c r="C89" s="24">
        <v>-72.31</v>
      </c>
    </row>
    <row r="90" spans="1:3" x14ac:dyDescent="0.3">
      <c r="A90" s="26">
        <v>46008</v>
      </c>
      <c r="B90" s="27" t="s">
        <v>4</v>
      </c>
      <c r="C90" s="24">
        <v>-84.37</v>
      </c>
    </row>
    <row r="91" spans="1:3" x14ac:dyDescent="0.3">
      <c r="A91" s="26">
        <v>46008</v>
      </c>
      <c r="B91" s="27" t="s">
        <v>1</v>
      </c>
      <c r="C91" s="24">
        <v>211.38</v>
      </c>
    </row>
    <row r="92" spans="1:3" x14ac:dyDescent="0.3">
      <c r="A92" s="26">
        <v>46014</v>
      </c>
      <c r="B92" s="27" t="s">
        <v>4</v>
      </c>
      <c r="C92" s="24">
        <v>-247.54</v>
      </c>
    </row>
    <row r="93" spans="1:3" x14ac:dyDescent="0.3">
      <c r="A93" s="26">
        <v>46014</v>
      </c>
      <c r="B93" s="27" t="s">
        <v>1</v>
      </c>
      <c r="C93" s="24">
        <v>4.5999999999999996</v>
      </c>
    </row>
    <row r="94" spans="1:3" x14ac:dyDescent="0.3">
      <c r="A94" s="26">
        <v>46021</v>
      </c>
      <c r="B94" s="27" t="s">
        <v>4</v>
      </c>
      <c r="C94" s="24">
        <v>-4.5999999999999996</v>
      </c>
    </row>
    <row r="95" spans="1:3" x14ac:dyDescent="0.3">
      <c r="A95" s="26">
        <v>46021</v>
      </c>
      <c r="B95" s="27" t="s">
        <v>1</v>
      </c>
      <c r="C95" s="24">
        <v>49.38</v>
      </c>
    </row>
    <row r="96" spans="1:3" x14ac:dyDescent="0.3">
      <c r="A96" s="26">
        <v>46029</v>
      </c>
      <c r="B96" s="27" t="s">
        <v>4</v>
      </c>
      <c r="C96" s="24">
        <v>-49.6</v>
      </c>
    </row>
    <row r="97" spans="1:3" x14ac:dyDescent="0.3">
      <c r="A97" s="26">
        <v>46029</v>
      </c>
      <c r="B97" s="27" t="s">
        <v>1</v>
      </c>
      <c r="C97" s="24">
        <v>75.12</v>
      </c>
    </row>
    <row r="98" spans="1:3" x14ac:dyDescent="0.3">
      <c r="A98" s="26">
        <v>46036</v>
      </c>
      <c r="B98" s="27" t="s">
        <v>4</v>
      </c>
      <c r="C98" s="24">
        <v>-75.12</v>
      </c>
    </row>
    <row r="99" spans="1:3" x14ac:dyDescent="0.3">
      <c r="A99" s="26">
        <v>46036</v>
      </c>
      <c r="B99" s="27" t="s">
        <v>1</v>
      </c>
      <c r="C99" s="24">
        <v>87.41</v>
      </c>
    </row>
    <row r="100" spans="1:3" x14ac:dyDescent="0.3">
      <c r="A100" s="26">
        <v>46043</v>
      </c>
      <c r="B100" s="27" t="s">
        <v>4</v>
      </c>
      <c r="C100" s="24">
        <v>-87.41</v>
      </c>
    </row>
    <row r="101" spans="1:3" x14ac:dyDescent="0.3">
      <c r="A101" s="26">
        <v>46043</v>
      </c>
      <c r="B101" s="27" t="s">
        <v>1</v>
      </c>
      <c r="C101" s="24">
        <v>231.36</v>
      </c>
    </row>
    <row r="102" spans="1:3" x14ac:dyDescent="0.3">
      <c r="A102" s="26">
        <v>46050</v>
      </c>
      <c r="B102" s="27" t="s">
        <v>1</v>
      </c>
      <c r="C102" s="24">
        <v>74.33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A920-1113-4B22-9DD3-24B403EE9437}">
  <sheetPr codeName="Hoja142"/>
  <dimension ref="A1:H1048576"/>
  <sheetViews>
    <sheetView view="pageBreakPreview" zoomScale="70" zoomScaleNormal="100" zoomScaleSheetLayoutView="70" workbookViewId="0">
      <selection activeCell="C76" sqref="C7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219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220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230.94499999999988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45821</v>
      </c>
      <c r="B5" s="27" t="s">
        <v>1</v>
      </c>
      <c r="C5" s="24">
        <v>84.8</v>
      </c>
      <c r="D5" s="30"/>
      <c r="E5" s="30"/>
      <c r="F5" s="30"/>
      <c r="G5" s="22"/>
    </row>
    <row r="6" spans="1:8" hidden="1" x14ac:dyDescent="0.3">
      <c r="A6" s="21">
        <v>45821</v>
      </c>
      <c r="B6" s="32" t="s">
        <v>21</v>
      </c>
      <c r="C6" s="24">
        <v>23.1</v>
      </c>
    </row>
    <row r="7" spans="1:8" hidden="1" x14ac:dyDescent="0.3">
      <c r="A7" s="21">
        <v>45821</v>
      </c>
      <c r="B7" s="34" t="s">
        <v>21</v>
      </c>
      <c r="C7" s="24">
        <v>83.64</v>
      </c>
    </row>
    <row r="8" spans="1:8" hidden="1" x14ac:dyDescent="0.3">
      <c r="A8" s="21">
        <v>45821</v>
      </c>
      <c r="B8" s="46" t="s">
        <v>21</v>
      </c>
      <c r="C8" s="24">
        <v>11.3</v>
      </c>
    </row>
    <row r="9" spans="1:8" hidden="1" x14ac:dyDescent="0.3">
      <c r="A9" s="26">
        <v>45824</v>
      </c>
      <c r="B9" s="27" t="s">
        <v>4</v>
      </c>
      <c r="C9" s="24">
        <v>-202.86</v>
      </c>
    </row>
    <row r="10" spans="1:8" hidden="1" x14ac:dyDescent="0.3">
      <c r="A10" s="26">
        <v>45828</v>
      </c>
      <c r="B10" s="31" t="s">
        <v>1</v>
      </c>
      <c r="C10" s="24">
        <v>41.6</v>
      </c>
    </row>
    <row r="11" spans="1:8" hidden="1" x14ac:dyDescent="0.3">
      <c r="A11" s="26">
        <v>45828</v>
      </c>
      <c r="B11" s="34" t="s">
        <v>21</v>
      </c>
      <c r="C11" s="24">
        <v>159.86000000000001</v>
      </c>
    </row>
    <row r="12" spans="1:8" hidden="1" x14ac:dyDescent="0.3">
      <c r="A12" s="26">
        <v>45832</v>
      </c>
      <c r="B12" s="31" t="s">
        <v>4</v>
      </c>
      <c r="C12" s="24">
        <v>-201.46</v>
      </c>
    </row>
    <row r="13" spans="1:8" hidden="1" x14ac:dyDescent="0.3">
      <c r="A13" s="26">
        <v>45859</v>
      </c>
      <c r="B13" s="27" t="s">
        <v>4</v>
      </c>
      <c r="C13" s="24">
        <v>-168.73</v>
      </c>
    </row>
    <row r="14" spans="1:8" hidden="1" x14ac:dyDescent="0.3">
      <c r="A14" s="26">
        <v>45856</v>
      </c>
      <c r="B14" s="34" t="s">
        <v>21</v>
      </c>
      <c r="C14" s="24">
        <v>151.78</v>
      </c>
    </row>
    <row r="15" spans="1:8" hidden="1" x14ac:dyDescent="0.3">
      <c r="A15" s="26">
        <v>45856</v>
      </c>
      <c r="B15" s="46" t="s">
        <v>21</v>
      </c>
      <c r="C15" s="24">
        <v>16.690000000000001</v>
      </c>
    </row>
    <row r="16" spans="1:8" hidden="1" x14ac:dyDescent="0.3">
      <c r="A16" s="26">
        <v>45863</v>
      </c>
      <c r="B16" s="32" t="s">
        <v>21</v>
      </c>
      <c r="C16" s="24">
        <v>9.84</v>
      </c>
    </row>
    <row r="17" spans="1:3" hidden="1" x14ac:dyDescent="0.3">
      <c r="A17" s="26">
        <v>45863</v>
      </c>
      <c r="B17" s="34" t="s">
        <v>21</v>
      </c>
      <c r="C17" s="24">
        <v>55.09</v>
      </c>
    </row>
    <row r="18" spans="1:3" hidden="1" x14ac:dyDescent="0.3">
      <c r="A18" s="26">
        <v>45870</v>
      </c>
      <c r="B18" s="27" t="s">
        <v>4</v>
      </c>
      <c r="C18" s="24">
        <v>-64.930000000000007</v>
      </c>
    </row>
    <row r="19" spans="1:3" hidden="1" x14ac:dyDescent="0.3">
      <c r="A19" s="26">
        <v>45870</v>
      </c>
      <c r="B19" s="34" t="s">
        <v>21</v>
      </c>
      <c r="C19" s="24">
        <v>107.6</v>
      </c>
    </row>
    <row r="20" spans="1:3" hidden="1" x14ac:dyDescent="0.3">
      <c r="A20" s="26">
        <v>45877</v>
      </c>
      <c r="B20" s="27" t="s">
        <v>4</v>
      </c>
      <c r="C20" s="24">
        <v>-107.6</v>
      </c>
    </row>
    <row r="21" spans="1:3" hidden="1" x14ac:dyDescent="0.3">
      <c r="A21" s="26">
        <v>45880</v>
      </c>
      <c r="B21" s="27" t="s">
        <v>4</v>
      </c>
      <c r="C21" s="24">
        <v>-19.64</v>
      </c>
    </row>
    <row r="22" spans="1:3" hidden="1" x14ac:dyDescent="0.3">
      <c r="A22" s="26">
        <v>45877</v>
      </c>
      <c r="B22" s="34" t="s">
        <v>21</v>
      </c>
      <c r="C22" s="24">
        <v>19.8</v>
      </c>
    </row>
    <row r="23" spans="1:3" hidden="1" x14ac:dyDescent="0.3">
      <c r="A23" s="26">
        <v>45884</v>
      </c>
      <c r="B23" s="32" t="s">
        <v>21</v>
      </c>
      <c r="C23" s="24">
        <v>15.85</v>
      </c>
    </row>
    <row r="24" spans="1:3" hidden="1" x14ac:dyDescent="0.3">
      <c r="A24" s="26">
        <v>45884</v>
      </c>
      <c r="B24" s="34" t="s">
        <v>21</v>
      </c>
      <c r="C24" s="24">
        <v>77.040000000000006</v>
      </c>
    </row>
    <row r="25" spans="1:3" hidden="1" x14ac:dyDescent="0.3">
      <c r="A25" s="26">
        <v>45887</v>
      </c>
      <c r="B25" s="27" t="s">
        <v>4</v>
      </c>
      <c r="C25" s="24">
        <v>-87.66</v>
      </c>
    </row>
    <row r="26" spans="1:3" hidden="1" x14ac:dyDescent="0.3">
      <c r="A26" s="26">
        <v>45887</v>
      </c>
      <c r="B26" s="27" t="s">
        <v>4</v>
      </c>
      <c r="C26" s="24">
        <v>-5.23</v>
      </c>
    </row>
    <row r="27" spans="1:3" hidden="1" x14ac:dyDescent="0.3">
      <c r="A27" s="26">
        <v>45899</v>
      </c>
      <c r="B27" s="32" t="s">
        <v>21</v>
      </c>
      <c r="C27" s="24">
        <v>17.34</v>
      </c>
    </row>
    <row r="28" spans="1:3" hidden="1" x14ac:dyDescent="0.3">
      <c r="A28" s="26">
        <v>45899</v>
      </c>
      <c r="B28" s="34" t="s">
        <v>21</v>
      </c>
      <c r="C28" s="24">
        <v>140.06</v>
      </c>
    </row>
    <row r="29" spans="1:3" hidden="1" x14ac:dyDescent="0.3">
      <c r="A29" s="26">
        <v>45899</v>
      </c>
      <c r="B29" s="46" t="s">
        <v>21</v>
      </c>
      <c r="C29" s="24">
        <v>6.92</v>
      </c>
    </row>
    <row r="30" spans="1:3" hidden="1" x14ac:dyDescent="0.3">
      <c r="A30" s="26">
        <v>45900</v>
      </c>
      <c r="B30" s="27" t="s">
        <v>4</v>
      </c>
      <c r="C30" s="24">
        <v>-164.32</v>
      </c>
    </row>
    <row r="31" spans="1:3" hidden="1" x14ac:dyDescent="0.3">
      <c r="A31" s="26">
        <v>45905</v>
      </c>
      <c r="B31" s="27" t="s">
        <v>4</v>
      </c>
      <c r="C31" s="24">
        <v>-74.69</v>
      </c>
    </row>
    <row r="32" spans="1:3" hidden="1" x14ac:dyDescent="0.3">
      <c r="A32" s="26">
        <v>45905</v>
      </c>
      <c r="B32" s="34" t="s">
        <v>21</v>
      </c>
      <c r="C32" s="24">
        <v>74.69</v>
      </c>
    </row>
    <row r="33" spans="1:3" hidden="1" x14ac:dyDescent="0.3">
      <c r="A33" s="26">
        <v>45919</v>
      </c>
      <c r="B33" s="27" t="s">
        <v>4</v>
      </c>
      <c r="C33" s="24">
        <v>-181.37</v>
      </c>
    </row>
    <row r="34" spans="1:3" hidden="1" x14ac:dyDescent="0.3">
      <c r="A34" s="26">
        <v>45919</v>
      </c>
      <c r="B34" s="27" t="s">
        <v>4</v>
      </c>
      <c r="C34" s="24">
        <v>-181.37</v>
      </c>
    </row>
    <row r="35" spans="1:3" hidden="1" x14ac:dyDescent="0.3">
      <c r="A35" s="26">
        <v>45919</v>
      </c>
      <c r="B35" s="27" t="s">
        <v>4</v>
      </c>
      <c r="C35" s="24">
        <v>-12.01</v>
      </c>
    </row>
    <row r="36" spans="1:3" hidden="1" x14ac:dyDescent="0.3">
      <c r="A36" s="26">
        <v>45919</v>
      </c>
      <c r="B36" s="27" t="s">
        <v>1</v>
      </c>
      <c r="C36" s="24">
        <v>208</v>
      </c>
    </row>
    <row r="37" spans="1:3" hidden="1" x14ac:dyDescent="0.3">
      <c r="A37" s="26">
        <v>45919</v>
      </c>
      <c r="B37" s="32" t="s">
        <v>21</v>
      </c>
      <c r="C37" s="24">
        <v>15</v>
      </c>
    </row>
    <row r="38" spans="1:3" hidden="1" x14ac:dyDescent="0.3">
      <c r="A38" s="26">
        <v>45919</v>
      </c>
      <c r="B38" s="34" t="s">
        <v>21</v>
      </c>
      <c r="C38" s="24">
        <v>151.74</v>
      </c>
    </row>
    <row r="39" spans="1:3" hidden="1" x14ac:dyDescent="0.3">
      <c r="A39" s="26">
        <v>45926</v>
      </c>
      <c r="B39" s="27" t="s">
        <v>4</v>
      </c>
      <c r="C39" s="24">
        <v>-172.68</v>
      </c>
    </row>
    <row r="40" spans="1:3" hidden="1" x14ac:dyDescent="0.3">
      <c r="A40" s="26">
        <v>45926</v>
      </c>
      <c r="B40" s="27" t="s">
        <v>4</v>
      </c>
      <c r="C40" s="24">
        <v>-4.25</v>
      </c>
    </row>
    <row r="41" spans="1:3" hidden="1" x14ac:dyDescent="0.3">
      <c r="A41" s="26">
        <v>45926</v>
      </c>
      <c r="B41" s="27" t="s">
        <v>1</v>
      </c>
      <c r="C41" s="24">
        <v>83.2</v>
      </c>
    </row>
    <row r="42" spans="1:3" hidden="1" x14ac:dyDescent="0.3">
      <c r="A42" s="26">
        <v>45926</v>
      </c>
      <c r="B42" s="32" t="s">
        <v>21</v>
      </c>
      <c r="C42" s="24">
        <v>15.85</v>
      </c>
    </row>
    <row r="43" spans="1:3" hidden="1" x14ac:dyDescent="0.3">
      <c r="A43" s="26">
        <v>45926</v>
      </c>
      <c r="B43" s="34" t="s">
        <v>21</v>
      </c>
      <c r="C43" s="24">
        <v>36.36</v>
      </c>
    </row>
    <row r="44" spans="1:3" hidden="1" x14ac:dyDescent="0.3">
      <c r="A44" s="26">
        <v>45926</v>
      </c>
      <c r="B44" s="46" t="s">
        <v>21</v>
      </c>
      <c r="C44" s="24">
        <v>41.52</v>
      </c>
    </row>
    <row r="45" spans="1:3" hidden="1" x14ac:dyDescent="0.3">
      <c r="A45" s="26">
        <v>45933</v>
      </c>
      <c r="B45" s="32" t="s">
        <v>21</v>
      </c>
      <c r="C45" s="24">
        <v>17.34</v>
      </c>
    </row>
    <row r="46" spans="1:3" hidden="1" x14ac:dyDescent="0.3">
      <c r="A46" s="26">
        <v>45933</v>
      </c>
      <c r="B46" s="34" t="s">
        <v>21</v>
      </c>
      <c r="C46" s="24">
        <v>51.36</v>
      </c>
    </row>
    <row r="47" spans="1:3" hidden="1" x14ac:dyDescent="0.3">
      <c r="A47" s="26">
        <v>45933</v>
      </c>
      <c r="B47" s="46" t="s">
        <v>21</v>
      </c>
      <c r="C47" s="24">
        <v>13.84</v>
      </c>
    </row>
    <row r="48" spans="1:3" hidden="1" x14ac:dyDescent="0.3">
      <c r="A48" s="26">
        <v>45939</v>
      </c>
      <c r="B48" s="27" t="s">
        <v>4</v>
      </c>
      <c r="C48" s="24">
        <v>-82.54</v>
      </c>
    </row>
    <row r="49" spans="1:3" hidden="1" x14ac:dyDescent="0.3">
      <c r="A49" s="26">
        <v>45961</v>
      </c>
      <c r="B49" s="27" t="s">
        <v>1</v>
      </c>
      <c r="C49" s="24">
        <v>46</v>
      </c>
    </row>
    <row r="50" spans="1:3" hidden="1" x14ac:dyDescent="0.3">
      <c r="A50" s="26">
        <v>45961</v>
      </c>
      <c r="B50" s="32" t="s">
        <v>21</v>
      </c>
      <c r="C50" s="24">
        <v>9.84</v>
      </c>
    </row>
    <row r="51" spans="1:3" hidden="1" x14ac:dyDescent="0.3">
      <c r="A51" s="26">
        <v>45961</v>
      </c>
      <c r="B51" s="34" t="s">
        <v>21</v>
      </c>
      <c r="C51" s="24">
        <v>289.02</v>
      </c>
    </row>
    <row r="52" spans="1:3" hidden="1" x14ac:dyDescent="0.3">
      <c r="A52" s="26">
        <v>45961</v>
      </c>
      <c r="B52" s="46" t="s">
        <v>21</v>
      </c>
      <c r="C52" s="24">
        <v>41.52</v>
      </c>
    </row>
    <row r="53" spans="1:3" hidden="1" x14ac:dyDescent="0.3">
      <c r="A53" s="26">
        <v>45964</v>
      </c>
      <c r="B53" s="27" t="s">
        <v>4</v>
      </c>
      <c r="C53" s="24">
        <v>-223.25</v>
      </c>
    </row>
    <row r="54" spans="1:3" hidden="1" x14ac:dyDescent="0.3">
      <c r="A54" s="26">
        <v>45964</v>
      </c>
      <c r="B54" s="27" t="s">
        <v>4</v>
      </c>
      <c r="C54" s="24">
        <v>-163.13</v>
      </c>
    </row>
    <row r="55" spans="1:3" hidden="1" x14ac:dyDescent="0.3">
      <c r="A55" s="26">
        <v>45968</v>
      </c>
      <c r="B55" s="32" t="s">
        <v>21</v>
      </c>
      <c r="C55" s="24">
        <v>4.5999999999999996</v>
      </c>
    </row>
    <row r="56" spans="1:3" hidden="1" x14ac:dyDescent="0.3">
      <c r="A56" s="26">
        <v>45968</v>
      </c>
      <c r="B56" s="34" t="s">
        <v>21</v>
      </c>
      <c r="C56" s="24">
        <v>168.46</v>
      </c>
    </row>
    <row r="57" spans="1:3" hidden="1" x14ac:dyDescent="0.3">
      <c r="A57" s="26">
        <v>45974</v>
      </c>
      <c r="B57" s="27" t="s">
        <v>4</v>
      </c>
      <c r="C57" s="24">
        <v>-173.06</v>
      </c>
    </row>
    <row r="58" spans="1:3" hidden="1" x14ac:dyDescent="0.3">
      <c r="A58" s="26">
        <v>45975</v>
      </c>
      <c r="B58" s="27" t="s">
        <v>1</v>
      </c>
      <c r="C58" s="24">
        <v>53.74</v>
      </c>
    </row>
    <row r="59" spans="1:3" hidden="1" x14ac:dyDescent="0.3">
      <c r="A59" s="26">
        <v>45983</v>
      </c>
      <c r="B59" s="27" t="s">
        <v>4</v>
      </c>
      <c r="C59" s="24">
        <v>-53.4</v>
      </c>
    </row>
    <row r="60" spans="1:3" x14ac:dyDescent="0.3">
      <c r="A60" s="26">
        <v>45982</v>
      </c>
      <c r="B60" s="27" t="s">
        <v>1</v>
      </c>
      <c r="C60" s="24">
        <v>140.26</v>
      </c>
    </row>
    <row r="61" spans="1:3" x14ac:dyDescent="0.3">
      <c r="A61" s="26">
        <v>45985</v>
      </c>
      <c r="B61" s="27" t="s">
        <v>4</v>
      </c>
      <c r="C61" s="24">
        <v>-140.26</v>
      </c>
    </row>
    <row r="62" spans="1:3" x14ac:dyDescent="0.3">
      <c r="A62" s="26">
        <v>45998</v>
      </c>
      <c r="B62" s="27" t="s">
        <v>4</v>
      </c>
      <c r="C62" s="24">
        <v>-156.11000000000001</v>
      </c>
    </row>
    <row r="63" spans="1:3" x14ac:dyDescent="0.3">
      <c r="A63" s="26">
        <v>45996</v>
      </c>
      <c r="B63" s="27" t="s">
        <v>1</v>
      </c>
      <c r="C63" s="24">
        <v>158.69999999999999</v>
      </c>
    </row>
    <row r="64" spans="1:3" x14ac:dyDescent="0.3">
      <c r="A64" s="26">
        <v>46003</v>
      </c>
      <c r="B64" s="27" t="s">
        <v>1</v>
      </c>
      <c r="C64" s="24">
        <v>225.77</v>
      </c>
    </row>
    <row r="65" spans="1:3" x14ac:dyDescent="0.3">
      <c r="A65" s="26">
        <v>46006</v>
      </c>
      <c r="B65" s="27" t="s">
        <v>4</v>
      </c>
      <c r="C65" s="24">
        <v>-184.64500000000001</v>
      </c>
    </row>
    <row r="66" spans="1:3" x14ac:dyDescent="0.3">
      <c r="A66" s="26">
        <v>46017</v>
      </c>
      <c r="B66" s="27" t="s">
        <v>4</v>
      </c>
      <c r="C66" s="24">
        <v>-41.12</v>
      </c>
    </row>
    <row r="67" spans="1:3" x14ac:dyDescent="0.3">
      <c r="A67" s="26">
        <v>46017</v>
      </c>
      <c r="B67" s="27" t="s">
        <v>4</v>
      </c>
      <c r="C67" s="24">
        <v>-171.61</v>
      </c>
    </row>
    <row r="68" spans="1:3" x14ac:dyDescent="0.3">
      <c r="A68" s="26">
        <v>46017</v>
      </c>
      <c r="B68" s="27" t="s">
        <v>4</v>
      </c>
      <c r="C68" s="24">
        <v>-92.35</v>
      </c>
    </row>
    <row r="69" spans="1:3" x14ac:dyDescent="0.3">
      <c r="A69" s="26">
        <v>46017</v>
      </c>
      <c r="B69" s="27" t="s">
        <v>1</v>
      </c>
      <c r="C69" s="24">
        <v>263.95999999999998</v>
      </c>
    </row>
    <row r="70" spans="1:3" x14ac:dyDescent="0.3">
      <c r="A70" s="26">
        <v>46031</v>
      </c>
      <c r="B70" s="27" t="s">
        <v>4</v>
      </c>
      <c r="C70" s="24">
        <v>-153.66</v>
      </c>
    </row>
    <row r="71" spans="1:3" x14ac:dyDescent="0.3">
      <c r="A71" s="26">
        <v>46031</v>
      </c>
      <c r="B71" s="27" t="s">
        <v>4</v>
      </c>
      <c r="C71" s="24">
        <v>-3.82</v>
      </c>
    </row>
    <row r="72" spans="1:3" x14ac:dyDescent="0.3">
      <c r="A72" s="26">
        <v>46031</v>
      </c>
      <c r="B72" s="27" t="s">
        <v>1</v>
      </c>
      <c r="C72" s="24">
        <v>157.47999999999999</v>
      </c>
    </row>
    <row r="73" spans="1:3" x14ac:dyDescent="0.3">
      <c r="A73" s="26">
        <v>46038</v>
      </c>
      <c r="B73" s="27" t="s">
        <v>4</v>
      </c>
      <c r="C73" s="24">
        <v>-134.41999999999999</v>
      </c>
    </row>
    <row r="74" spans="1:3" x14ac:dyDescent="0.3">
      <c r="A74" s="26">
        <v>46038</v>
      </c>
      <c r="B74" s="27" t="s">
        <v>1</v>
      </c>
      <c r="C74" s="24">
        <v>134.41999999999999</v>
      </c>
    </row>
    <row r="75" spans="1:3" x14ac:dyDescent="0.3">
      <c r="A75" s="26">
        <v>46052</v>
      </c>
      <c r="B75" s="27" t="s">
        <v>1</v>
      </c>
      <c r="C75" s="24">
        <v>228.14</v>
      </c>
    </row>
    <row r="1048576" spans="1:1" x14ac:dyDescent="0.3">
      <c r="A1048576" s="2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26462-068C-48EC-BA7E-F114A05E3920}">
  <sheetPr codeName="Hoja28"/>
  <dimension ref="A1:N52"/>
  <sheetViews>
    <sheetView view="pageBreakPreview" topLeftCell="A7" zoomScale="80" zoomScaleNormal="100" zoomScaleSheetLayoutView="80" workbookViewId="0">
      <selection activeCell="B52" sqref="B5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137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171.7</v>
      </c>
      <c r="D3" s="20">
        <f>SUM(D$4:D$1048576)</f>
        <v>1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45818</v>
      </c>
      <c r="B5" s="32" t="s">
        <v>21</v>
      </c>
      <c r="C5" s="24">
        <f>75.15-G5</f>
        <v>67.38000000000001</v>
      </c>
      <c r="D5" s="30"/>
      <c r="E5" s="30"/>
      <c r="F5" s="30"/>
      <c r="G5" s="93">
        <v>7.77</v>
      </c>
      <c r="H5" s="78"/>
    </row>
    <row r="6" spans="1:8" x14ac:dyDescent="0.3">
      <c r="A6" s="21">
        <v>45818</v>
      </c>
      <c r="B6" s="34" t="s">
        <v>21</v>
      </c>
      <c r="C6" s="24">
        <f>187.24-G6</f>
        <v>180.36</v>
      </c>
      <c r="G6" s="94">
        <v>6.88</v>
      </c>
    </row>
    <row r="7" spans="1:8" x14ac:dyDescent="0.3">
      <c r="A7" s="26">
        <v>45827</v>
      </c>
      <c r="B7" s="27" t="s">
        <v>4</v>
      </c>
      <c r="C7" s="24">
        <v>-242.86</v>
      </c>
    </row>
    <row r="8" spans="1:8" x14ac:dyDescent="0.3">
      <c r="A8" s="26">
        <v>45827</v>
      </c>
      <c r="B8" s="27" t="s">
        <v>4</v>
      </c>
      <c r="C8" s="24">
        <v>-4.6900000000000004</v>
      </c>
    </row>
    <row r="9" spans="1:8" x14ac:dyDescent="0.3">
      <c r="A9" s="26">
        <v>45834</v>
      </c>
      <c r="B9" s="34" t="s">
        <v>21</v>
      </c>
      <c r="C9" s="24">
        <f>190.36-G9</f>
        <v>183.23000000000002</v>
      </c>
      <c r="G9" s="94">
        <v>7.13</v>
      </c>
    </row>
    <row r="10" spans="1:8" x14ac:dyDescent="0.3">
      <c r="A10" s="26">
        <v>45854</v>
      </c>
      <c r="B10" s="32" t="s">
        <v>21</v>
      </c>
      <c r="C10" s="24">
        <f>99.14-G10</f>
        <v>58.69</v>
      </c>
      <c r="G10" s="94">
        <v>40.450000000000003</v>
      </c>
    </row>
    <row r="11" spans="1:8" x14ac:dyDescent="0.3">
      <c r="A11" s="26">
        <v>45854</v>
      </c>
      <c r="B11" s="34" t="s">
        <v>21</v>
      </c>
      <c r="C11" s="24">
        <v>398.06</v>
      </c>
    </row>
    <row r="12" spans="1:8" x14ac:dyDescent="0.3">
      <c r="A12" s="26">
        <v>45854</v>
      </c>
      <c r="B12" s="46" t="s">
        <v>21</v>
      </c>
      <c r="C12" s="24">
        <v>28.3</v>
      </c>
    </row>
    <row r="13" spans="1:8" x14ac:dyDescent="0.3">
      <c r="A13" s="26">
        <v>45855</v>
      </c>
      <c r="B13" s="27" t="s">
        <v>23</v>
      </c>
      <c r="G13" s="94">
        <v>-14.64</v>
      </c>
    </row>
    <row r="14" spans="1:8" x14ac:dyDescent="0.3">
      <c r="A14" s="26">
        <v>45855</v>
      </c>
      <c r="B14" s="27" t="s">
        <v>23</v>
      </c>
      <c r="G14" s="94">
        <v>-7.13</v>
      </c>
    </row>
    <row r="15" spans="1:8" x14ac:dyDescent="0.3">
      <c r="A15" s="26">
        <v>45866</v>
      </c>
      <c r="B15" s="27" t="s">
        <v>23</v>
      </c>
      <c r="G15" s="94">
        <v>-40.46</v>
      </c>
    </row>
    <row r="16" spans="1:8" x14ac:dyDescent="0.3">
      <c r="A16" s="26">
        <v>45875</v>
      </c>
      <c r="B16" s="27" t="s">
        <v>4</v>
      </c>
      <c r="C16" s="24">
        <v>-120.42</v>
      </c>
    </row>
    <row r="17" spans="1:14" x14ac:dyDescent="0.3">
      <c r="A17" s="26">
        <v>45875</v>
      </c>
      <c r="B17" s="27" t="s">
        <v>4</v>
      </c>
      <c r="C17" s="24">
        <v>-14.17</v>
      </c>
    </row>
    <row r="18" spans="1:14" x14ac:dyDescent="0.3">
      <c r="A18" s="26">
        <v>45875</v>
      </c>
      <c r="B18" s="27" t="s">
        <v>4</v>
      </c>
      <c r="C18" s="24">
        <v>-468.67</v>
      </c>
    </row>
    <row r="19" spans="1:14" x14ac:dyDescent="0.3">
      <c r="A19" s="26">
        <v>45875</v>
      </c>
      <c r="B19" s="27" t="s">
        <v>4</v>
      </c>
      <c r="C19" s="24">
        <v>-12.91</v>
      </c>
    </row>
    <row r="20" spans="1:14" x14ac:dyDescent="0.3">
      <c r="A20" s="26">
        <v>45875</v>
      </c>
      <c r="B20" s="27" t="s">
        <v>4</v>
      </c>
      <c r="C20" s="24">
        <v>-55.39</v>
      </c>
    </row>
    <row r="21" spans="1:14" x14ac:dyDescent="0.3">
      <c r="A21" s="26">
        <v>45883</v>
      </c>
      <c r="B21" s="32" t="s">
        <v>21</v>
      </c>
      <c r="C21" s="24">
        <f>108.89-G21</f>
        <v>97.63</v>
      </c>
      <c r="G21" s="94">
        <v>11.26</v>
      </c>
      <c r="H21" s="78"/>
    </row>
    <row r="22" spans="1:14" x14ac:dyDescent="0.3">
      <c r="A22" s="26">
        <v>45883</v>
      </c>
      <c r="B22" s="34" t="s">
        <v>21</v>
      </c>
      <c r="C22" s="24">
        <f>252.53-G22</f>
        <v>246.93</v>
      </c>
      <c r="G22" s="94">
        <v>5.6</v>
      </c>
    </row>
    <row r="23" spans="1:14" x14ac:dyDescent="0.3">
      <c r="A23" s="26">
        <v>45883</v>
      </c>
      <c r="B23" s="46" t="s">
        <v>21</v>
      </c>
      <c r="C23" s="24">
        <f>70.28-G23</f>
        <v>63.010000000000005</v>
      </c>
      <c r="G23" s="94">
        <v>7.27</v>
      </c>
    </row>
    <row r="24" spans="1:14" x14ac:dyDescent="0.3">
      <c r="A24" s="26">
        <v>45897</v>
      </c>
      <c r="B24" s="27" t="s">
        <v>4</v>
      </c>
      <c r="C24" s="24">
        <v>-383.25</v>
      </c>
      <c r="G24" s="94">
        <v>-24.13</v>
      </c>
    </row>
    <row r="25" spans="1:14" x14ac:dyDescent="0.3">
      <c r="A25" s="26">
        <v>45897</v>
      </c>
      <c r="B25" s="27" t="s">
        <v>4</v>
      </c>
      <c r="C25" s="24">
        <v>-7.98</v>
      </c>
    </row>
    <row r="26" spans="1:14" x14ac:dyDescent="0.3">
      <c r="A26" s="26">
        <v>45898</v>
      </c>
      <c r="B26" s="32" t="s">
        <v>21</v>
      </c>
      <c r="C26" s="24">
        <f>39.34-G26</f>
        <v>35.28</v>
      </c>
      <c r="G26" s="94">
        <v>4.0599999999999996</v>
      </c>
    </row>
    <row r="27" spans="1:14" x14ac:dyDescent="0.3">
      <c r="A27" s="26">
        <v>45898</v>
      </c>
      <c r="B27" s="34" t="s">
        <v>21</v>
      </c>
      <c r="C27" s="24">
        <f>35.54-G27</f>
        <v>34.049999999999997</v>
      </c>
      <c r="G27" s="94">
        <v>1.49</v>
      </c>
    </row>
    <row r="28" spans="1:14" x14ac:dyDescent="0.3">
      <c r="A28" s="26">
        <v>45904</v>
      </c>
      <c r="B28" s="27" t="s">
        <v>23</v>
      </c>
      <c r="G28" s="94">
        <v>-5.55</v>
      </c>
    </row>
    <row r="29" spans="1:14" x14ac:dyDescent="0.3">
      <c r="A29" s="26">
        <v>45909</v>
      </c>
      <c r="B29" s="27" t="s">
        <v>4</v>
      </c>
      <c r="C29" s="24">
        <v>-68.099999999999994</v>
      </c>
    </row>
    <row r="30" spans="1:14" x14ac:dyDescent="0.3">
      <c r="A30" s="26">
        <v>45909</v>
      </c>
      <c r="B30" s="27" t="s">
        <v>4</v>
      </c>
      <c r="C30" s="24">
        <v>-1.77</v>
      </c>
    </row>
    <row r="31" spans="1:14" x14ac:dyDescent="0.3">
      <c r="A31" s="26">
        <v>45911</v>
      </c>
      <c r="B31" s="34" t="s">
        <v>21</v>
      </c>
      <c r="C31" s="24">
        <f>79-G31</f>
        <v>76.52</v>
      </c>
      <c r="G31" s="94">
        <v>2.48</v>
      </c>
      <c r="H31" s="78"/>
    </row>
    <row r="32" spans="1:14" x14ac:dyDescent="0.3">
      <c r="A32" s="26">
        <v>45918</v>
      </c>
      <c r="B32" s="32" t="s">
        <v>21</v>
      </c>
      <c r="C32" s="24">
        <f>143.82-G32</f>
        <v>128.94999999999999</v>
      </c>
      <c r="D32" s="25">
        <v>1</v>
      </c>
      <c r="G32" s="94">
        <v>14.87</v>
      </c>
      <c r="N32" s="18">
        <f>9098.24/243.1105</f>
        <v>37.424298827076576</v>
      </c>
    </row>
    <row r="33" spans="1:11" x14ac:dyDescent="0.3">
      <c r="A33" s="26">
        <v>45918</v>
      </c>
      <c r="B33" s="34" t="s">
        <v>21</v>
      </c>
      <c r="C33" s="24">
        <f>292.13-G33</f>
        <v>279.65999999999997</v>
      </c>
      <c r="G33" s="94">
        <v>12.47</v>
      </c>
    </row>
    <row r="34" spans="1:11" x14ac:dyDescent="0.3">
      <c r="A34" s="26">
        <v>45937</v>
      </c>
      <c r="B34" s="27" t="s">
        <v>4</v>
      </c>
      <c r="C34" s="24">
        <v>-388.38</v>
      </c>
    </row>
    <row r="35" spans="1:11" x14ac:dyDescent="0.3">
      <c r="A35" s="26">
        <v>45937</v>
      </c>
      <c r="B35" s="27" t="s">
        <v>4</v>
      </c>
      <c r="C35" s="24">
        <v>-8.0500000000000007</v>
      </c>
      <c r="G35" s="94">
        <v>-2.48</v>
      </c>
    </row>
    <row r="36" spans="1:11" x14ac:dyDescent="0.3">
      <c r="A36" s="26">
        <v>45937</v>
      </c>
      <c r="B36" s="27" t="s">
        <v>4</v>
      </c>
      <c r="C36" s="24">
        <v>-75.680000000000007</v>
      </c>
    </row>
    <row r="37" spans="1:11" x14ac:dyDescent="0.3">
      <c r="A37" s="26">
        <v>45937</v>
      </c>
      <c r="B37" s="27" t="s">
        <v>4</v>
      </c>
      <c r="C37" s="24">
        <v>-0.75</v>
      </c>
      <c r="K37" s="87"/>
    </row>
    <row r="38" spans="1:11" x14ac:dyDescent="0.3">
      <c r="A38" s="26">
        <v>45939</v>
      </c>
      <c r="B38" s="32" t="s">
        <v>21</v>
      </c>
      <c r="C38" s="24">
        <f>110.23-G38</f>
        <v>98.83</v>
      </c>
      <c r="G38" s="94">
        <v>11.4</v>
      </c>
    </row>
    <row r="39" spans="1:11" x14ac:dyDescent="0.3">
      <c r="A39" s="26">
        <v>45939</v>
      </c>
      <c r="B39" s="34" t="s">
        <v>21</v>
      </c>
      <c r="C39" s="24">
        <f>293.53-G39</f>
        <v>287.17999999999995</v>
      </c>
      <c r="G39" s="94">
        <v>6.35</v>
      </c>
      <c r="I39" s="87"/>
    </row>
    <row r="40" spans="1:11" x14ac:dyDescent="0.3">
      <c r="A40" s="26">
        <v>45939</v>
      </c>
      <c r="B40" s="34" t="s">
        <v>21</v>
      </c>
      <c r="C40" s="24">
        <v>457.14</v>
      </c>
    </row>
    <row r="41" spans="1:11" x14ac:dyDescent="0.3">
      <c r="A41" s="26">
        <v>45957</v>
      </c>
      <c r="B41" s="27" t="s">
        <v>4</v>
      </c>
      <c r="C41" s="24">
        <v>-457.14</v>
      </c>
    </row>
    <row r="42" spans="1:11" x14ac:dyDescent="0.3">
      <c r="A42" s="26">
        <v>45961</v>
      </c>
      <c r="B42" s="27" t="s">
        <v>4</v>
      </c>
      <c r="C42" s="24">
        <v>-6.7</v>
      </c>
      <c r="G42" s="94">
        <v>-17.75</v>
      </c>
      <c r="J42" s="18">
        <f>4494.18/219.8737</f>
        <v>20.439825226937099</v>
      </c>
    </row>
    <row r="43" spans="1:11" x14ac:dyDescent="0.3">
      <c r="A43" s="26">
        <v>45964</v>
      </c>
      <c r="B43" s="27" t="s">
        <v>4</v>
      </c>
      <c r="C43" s="24">
        <v>-379.94</v>
      </c>
      <c r="G43" s="94">
        <v>-27.34</v>
      </c>
    </row>
    <row r="44" spans="1:11" x14ac:dyDescent="0.3">
      <c r="A44" s="26">
        <v>45988</v>
      </c>
      <c r="B44" s="27" t="s">
        <v>1</v>
      </c>
      <c r="C44" s="24">
        <f>461.48-G44</f>
        <v>424.69</v>
      </c>
      <c r="G44" s="24">
        <v>36.79</v>
      </c>
    </row>
    <row r="45" spans="1:11" x14ac:dyDescent="0.3">
      <c r="A45" s="26">
        <v>46008</v>
      </c>
      <c r="B45" s="27" t="s">
        <v>4</v>
      </c>
      <c r="C45" s="24">
        <v>-415.17</v>
      </c>
    </row>
    <row r="46" spans="1:11" x14ac:dyDescent="0.3">
      <c r="A46" s="26">
        <v>46008</v>
      </c>
      <c r="B46" s="27" t="s">
        <v>4</v>
      </c>
      <c r="C46" s="24">
        <v>-10.97</v>
      </c>
      <c r="G46" s="24">
        <v>-36.79</v>
      </c>
      <c r="J46" s="18">
        <f>3315.82/325.3894</f>
        <v>10.190313513593251</v>
      </c>
    </row>
    <row r="47" spans="1:11" x14ac:dyDescent="0.3">
      <c r="A47" s="26">
        <v>46030</v>
      </c>
      <c r="B47" s="27" t="s">
        <v>1</v>
      </c>
      <c r="C47" s="24">
        <f>158.44-G47</f>
        <v>148.41</v>
      </c>
      <c r="G47" s="24">
        <v>10.029999999999999</v>
      </c>
    </row>
    <row r="48" spans="1:11" x14ac:dyDescent="0.3">
      <c r="A48" s="26">
        <v>46035</v>
      </c>
      <c r="B48" s="27" t="s">
        <v>23</v>
      </c>
      <c r="G48" s="24">
        <v>-10.029999999999999</v>
      </c>
    </row>
    <row r="49" spans="1:14" x14ac:dyDescent="0.3">
      <c r="A49" s="26">
        <v>46043</v>
      </c>
      <c r="B49" s="27" t="s">
        <v>4</v>
      </c>
      <c r="C49" s="24">
        <v>-147.29</v>
      </c>
    </row>
    <row r="50" spans="1:14" x14ac:dyDescent="0.3">
      <c r="A50" s="26">
        <v>46043</v>
      </c>
      <c r="B50" s="27" t="s">
        <v>4</v>
      </c>
      <c r="C50" s="24">
        <v>-3.21</v>
      </c>
    </row>
    <row r="51" spans="1:14" x14ac:dyDescent="0.3">
      <c r="A51" s="26">
        <v>46044</v>
      </c>
      <c r="B51" s="27" t="s">
        <v>1</v>
      </c>
      <c r="C51" s="24">
        <f>164-G51</f>
        <v>150.88999999999999</v>
      </c>
      <c r="G51" s="24">
        <v>13.11</v>
      </c>
      <c r="N51" s="18">
        <f>5186.89/352.7063</f>
        <v>14.705974914539379</v>
      </c>
    </row>
    <row r="52" spans="1:14" x14ac:dyDescent="0.3">
      <c r="A52" s="26">
        <v>46045</v>
      </c>
      <c r="G52" s="24">
        <v>-13.11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1BDBE-6524-49AC-B01F-55F832EA3AC8}">
  <sheetPr codeName="Hoja29"/>
  <dimension ref="A1:H49"/>
  <sheetViews>
    <sheetView view="pageBreakPreview" zoomScale="80" zoomScaleNormal="100" zoomScaleSheetLayoutView="80" workbookViewId="0">
      <selection activeCell="C50" sqref="C5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180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45819</v>
      </c>
      <c r="B5" s="32" t="s">
        <v>21</v>
      </c>
      <c r="C5" s="24">
        <v>41.09</v>
      </c>
      <c r="D5" s="30"/>
      <c r="E5" s="30"/>
      <c r="F5" s="30"/>
      <c r="G5" s="22"/>
    </row>
    <row r="6" spans="1:8" hidden="1" x14ac:dyDescent="0.3">
      <c r="A6" s="21">
        <v>45819</v>
      </c>
      <c r="B6" s="34" t="s">
        <v>21</v>
      </c>
      <c r="C6" s="24">
        <v>229.6</v>
      </c>
    </row>
    <row r="7" spans="1:8" hidden="1" x14ac:dyDescent="0.3">
      <c r="A7" s="21">
        <v>45819</v>
      </c>
      <c r="B7" s="46" t="s">
        <v>21</v>
      </c>
      <c r="C7" s="24">
        <v>28.66</v>
      </c>
    </row>
    <row r="8" spans="1:8" hidden="1" x14ac:dyDescent="0.3">
      <c r="A8" s="26">
        <v>45825</v>
      </c>
      <c r="B8" s="27" t="s">
        <v>4</v>
      </c>
      <c r="C8" s="24">
        <v>-183.63</v>
      </c>
    </row>
    <row r="9" spans="1:8" hidden="1" x14ac:dyDescent="0.3">
      <c r="A9" s="26">
        <v>45834</v>
      </c>
      <c r="B9" s="27" t="s">
        <v>4</v>
      </c>
      <c r="C9" s="24">
        <v>-115.72</v>
      </c>
    </row>
    <row r="10" spans="1:8" hidden="1" x14ac:dyDescent="0.3">
      <c r="A10" s="26">
        <v>45846</v>
      </c>
      <c r="B10" s="32" t="s">
        <v>21</v>
      </c>
      <c r="C10" s="24">
        <v>25.69</v>
      </c>
    </row>
    <row r="11" spans="1:8" hidden="1" x14ac:dyDescent="0.3">
      <c r="A11" s="26">
        <v>45846</v>
      </c>
      <c r="B11" s="34" t="s">
        <v>21</v>
      </c>
      <c r="C11" s="24">
        <v>72.459999999999994</v>
      </c>
    </row>
    <row r="12" spans="1:8" hidden="1" x14ac:dyDescent="0.3">
      <c r="A12" s="26">
        <v>45867</v>
      </c>
      <c r="B12" s="31" t="s">
        <v>4</v>
      </c>
      <c r="C12" s="24">
        <v>-98.15</v>
      </c>
    </row>
    <row r="13" spans="1:8" hidden="1" x14ac:dyDescent="0.3">
      <c r="A13" s="26">
        <v>45874</v>
      </c>
      <c r="B13" s="32" t="s">
        <v>21</v>
      </c>
      <c r="C13" s="24">
        <v>23.35</v>
      </c>
    </row>
    <row r="14" spans="1:8" hidden="1" x14ac:dyDescent="0.3">
      <c r="A14" s="26">
        <v>45874</v>
      </c>
      <c r="B14" s="34" t="s">
        <v>21</v>
      </c>
      <c r="C14" s="24">
        <v>92.42</v>
      </c>
    </row>
    <row r="15" spans="1:8" hidden="1" x14ac:dyDescent="0.3">
      <c r="A15" s="26">
        <v>45874</v>
      </c>
      <c r="B15" s="46" t="s">
        <v>21</v>
      </c>
      <c r="C15" s="24">
        <v>11.3</v>
      </c>
    </row>
    <row r="16" spans="1:8" hidden="1" x14ac:dyDescent="0.3">
      <c r="A16" s="26">
        <v>45889</v>
      </c>
      <c r="B16" s="27" t="s">
        <v>4</v>
      </c>
      <c r="C16" s="24">
        <v>-127.46</v>
      </c>
    </row>
    <row r="17" spans="1:3" hidden="1" x14ac:dyDescent="0.3">
      <c r="A17" s="26">
        <v>45895</v>
      </c>
      <c r="B17" s="27" t="s">
        <v>4</v>
      </c>
      <c r="C17" s="24">
        <v>-95.75</v>
      </c>
    </row>
    <row r="18" spans="1:3" hidden="1" x14ac:dyDescent="0.3">
      <c r="A18" s="26">
        <v>45895</v>
      </c>
      <c r="B18" s="32" t="s">
        <v>21</v>
      </c>
      <c r="C18" s="24">
        <v>24.84</v>
      </c>
    </row>
    <row r="19" spans="1:3" hidden="1" x14ac:dyDescent="0.3">
      <c r="A19" s="26">
        <v>45895</v>
      </c>
      <c r="B19" s="34" t="s">
        <v>21</v>
      </c>
      <c r="C19" s="24">
        <v>152.79</v>
      </c>
    </row>
    <row r="20" spans="1:3" hidden="1" x14ac:dyDescent="0.3">
      <c r="A20" s="26">
        <v>45895</v>
      </c>
      <c r="B20" s="27" t="s">
        <v>1</v>
      </c>
      <c r="C20" s="24">
        <v>12.8</v>
      </c>
    </row>
    <row r="21" spans="1:3" hidden="1" x14ac:dyDescent="0.3">
      <c r="A21" s="26">
        <v>45897</v>
      </c>
      <c r="B21" s="27" t="s">
        <v>4</v>
      </c>
      <c r="C21" s="24">
        <v>-59.69</v>
      </c>
    </row>
    <row r="22" spans="1:3" hidden="1" x14ac:dyDescent="0.3">
      <c r="A22" s="26">
        <v>45898</v>
      </c>
      <c r="B22" s="27" t="s">
        <v>4</v>
      </c>
      <c r="C22" s="24">
        <v>-31.95</v>
      </c>
    </row>
    <row r="23" spans="1:3" hidden="1" x14ac:dyDescent="0.3">
      <c r="A23" s="26">
        <v>45898</v>
      </c>
      <c r="B23" s="27" t="s">
        <v>4</v>
      </c>
      <c r="C23" s="24">
        <v>-3.06</v>
      </c>
    </row>
    <row r="24" spans="1:3" hidden="1" x14ac:dyDescent="0.3">
      <c r="A24" s="26">
        <v>45902</v>
      </c>
      <c r="B24" s="34" t="s">
        <v>21</v>
      </c>
      <c r="C24" s="24">
        <v>67.989999999999995</v>
      </c>
    </row>
    <row r="25" spans="1:3" hidden="1" x14ac:dyDescent="0.3">
      <c r="A25" s="26">
        <v>45902</v>
      </c>
      <c r="B25" s="46" t="s">
        <v>21</v>
      </c>
      <c r="C25" s="24">
        <v>14.76</v>
      </c>
    </row>
    <row r="26" spans="1:3" hidden="1" x14ac:dyDescent="0.3">
      <c r="A26" s="26">
        <v>45916</v>
      </c>
      <c r="B26" s="32" t="s">
        <v>21</v>
      </c>
      <c r="C26" s="24">
        <v>25.69</v>
      </c>
    </row>
    <row r="27" spans="1:3" hidden="1" x14ac:dyDescent="0.3">
      <c r="A27" s="26">
        <v>45916</v>
      </c>
      <c r="B27" s="34" t="s">
        <v>21</v>
      </c>
      <c r="C27" s="24">
        <v>38.24</v>
      </c>
    </row>
    <row r="28" spans="1:3" hidden="1" x14ac:dyDescent="0.3">
      <c r="A28" s="26">
        <v>45917</v>
      </c>
      <c r="B28" s="27" t="s">
        <v>4</v>
      </c>
      <c r="C28" s="24">
        <v>-82.75</v>
      </c>
    </row>
    <row r="29" spans="1:3" hidden="1" x14ac:dyDescent="0.3">
      <c r="A29" s="26">
        <v>45923</v>
      </c>
      <c r="B29" s="27" t="s">
        <v>4</v>
      </c>
      <c r="C29" s="24">
        <v>-67.55</v>
      </c>
    </row>
    <row r="30" spans="1:3" hidden="1" x14ac:dyDescent="0.3">
      <c r="A30" s="26">
        <v>45923</v>
      </c>
      <c r="B30" s="32" t="s">
        <v>21</v>
      </c>
      <c r="C30" s="24">
        <v>29.35</v>
      </c>
    </row>
    <row r="31" spans="1:3" hidden="1" x14ac:dyDescent="0.3">
      <c r="A31" s="26">
        <v>45923</v>
      </c>
      <c r="B31" s="34" t="s">
        <v>21</v>
      </c>
      <c r="C31" s="24">
        <v>115.98</v>
      </c>
    </row>
    <row r="32" spans="1:3" hidden="1" x14ac:dyDescent="0.3">
      <c r="A32" s="26">
        <v>45930</v>
      </c>
      <c r="B32" s="32" t="s">
        <v>21</v>
      </c>
      <c r="C32" s="24">
        <v>24.84</v>
      </c>
    </row>
    <row r="33" spans="1:3" hidden="1" x14ac:dyDescent="0.3">
      <c r="A33" s="26">
        <v>45930</v>
      </c>
      <c r="B33" s="32" t="s">
        <v>21</v>
      </c>
      <c r="C33" s="24">
        <v>9</v>
      </c>
    </row>
    <row r="34" spans="1:3" hidden="1" x14ac:dyDescent="0.3">
      <c r="A34" s="26">
        <v>45930</v>
      </c>
      <c r="B34" s="34" t="s">
        <v>21</v>
      </c>
      <c r="C34" s="24">
        <v>183.26</v>
      </c>
    </row>
    <row r="35" spans="1:3" hidden="1" x14ac:dyDescent="0.3">
      <c r="A35" s="26">
        <v>45930</v>
      </c>
      <c r="B35" s="46" t="s">
        <v>21</v>
      </c>
      <c r="C35" s="24">
        <v>40.81</v>
      </c>
    </row>
    <row r="36" spans="1:3" hidden="1" x14ac:dyDescent="0.3">
      <c r="A36" s="26">
        <v>45945</v>
      </c>
      <c r="B36" s="27" t="s">
        <v>4</v>
      </c>
      <c r="C36" s="24">
        <v>-63.06</v>
      </c>
    </row>
    <row r="37" spans="1:3" hidden="1" x14ac:dyDescent="0.3">
      <c r="A37" s="26">
        <v>45965</v>
      </c>
      <c r="B37" s="27" t="s">
        <v>4</v>
      </c>
      <c r="C37" s="24">
        <v>-254.04</v>
      </c>
    </row>
    <row r="38" spans="1:3" hidden="1" x14ac:dyDescent="0.3">
      <c r="A38" s="26">
        <v>45969</v>
      </c>
      <c r="B38" s="27" t="s">
        <v>4</v>
      </c>
      <c r="C38" s="24">
        <v>-18.850000000000001</v>
      </c>
    </row>
    <row r="39" spans="1:3" hidden="1" x14ac:dyDescent="0.3">
      <c r="A39" s="26">
        <v>45972</v>
      </c>
      <c r="B39" s="27" t="s">
        <v>4</v>
      </c>
      <c r="C39" s="24">
        <v>-63.06</v>
      </c>
    </row>
    <row r="40" spans="1:3" hidden="1" x14ac:dyDescent="0.3">
      <c r="A40" s="26">
        <v>45972</v>
      </c>
      <c r="B40" s="27" t="s">
        <v>1</v>
      </c>
      <c r="C40" s="24">
        <v>307.77</v>
      </c>
    </row>
    <row r="41" spans="1:3" hidden="1" x14ac:dyDescent="0.3">
      <c r="A41" s="26">
        <v>45987</v>
      </c>
      <c r="B41" s="27" t="s">
        <v>4</v>
      </c>
      <c r="C41" s="24">
        <v>-307.97000000000003</v>
      </c>
    </row>
    <row r="42" spans="1:3" x14ac:dyDescent="0.3">
      <c r="A42" s="26">
        <v>45993</v>
      </c>
      <c r="B42" s="27" t="s">
        <v>1</v>
      </c>
      <c r="C42" s="24">
        <v>246.3</v>
      </c>
    </row>
    <row r="43" spans="1:3" x14ac:dyDescent="0.3">
      <c r="A43" s="26">
        <v>46007</v>
      </c>
      <c r="B43" s="27" t="s">
        <v>4</v>
      </c>
      <c r="C43" s="24">
        <v>-246.29</v>
      </c>
    </row>
    <row r="44" spans="1:3" x14ac:dyDescent="0.3">
      <c r="A44" s="26">
        <v>46007</v>
      </c>
      <c r="B44" s="27" t="s">
        <v>1</v>
      </c>
      <c r="C44" s="24">
        <v>356.92</v>
      </c>
    </row>
    <row r="45" spans="1:3" x14ac:dyDescent="0.3">
      <c r="A45" s="26">
        <v>46013</v>
      </c>
      <c r="B45" s="27" t="s">
        <v>1</v>
      </c>
      <c r="C45" s="24">
        <v>90.04</v>
      </c>
    </row>
    <row r="46" spans="1:3" x14ac:dyDescent="0.3">
      <c r="A46" s="26">
        <v>46013</v>
      </c>
      <c r="B46" s="27" t="s">
        <v>4</v>
      </c>
      <c r="C46" s="24">
        <v>-178.46</v>
      </c>
    </row>
    <row r="47" spans="1:3" x14ac:dyDescent="0.3">
      <c r="A47" s="26">
        <v>46029</v>
      </c>
      <c r="B47" s="27" t="s">
        <v>4</v>
      </c>
      <c r="C47" s="24">
        <v>-100</v>
      </c>
    </row>
    <row r="48" spans="1:3" x14ac:dyDescent="0.3">
      <c r="A48" s="26">
        <v>46036</v>
      </c>
      <c r="B48" s="27" t="s">
        <v>4</v>
      </c>
      <c r="C48" s="24">
        <v>-68.510000000000005</v>
      </c>
    </row>
    <row r="49" spans="1:3" x14ac:dyDescent="0.3">
      <c r="A49" s="26">
        <v>46042</v>
      </c>
      <c r="B49" s="27" t="s">
        <v>4</v>
      </c>
      <c r="C49" s="24">
        <v>-100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54ED-1125-44FD-8637-700C5A1587A4}">
  <dimension ref="A1:H95"/>
  <sheetViews>
    <sheetView view="pageBreakPreview" zoomScale="70" zoomScaleNormal="100" zoomScaleSheetLayoutView="70" workbookViewId="0">
      <selection activeCell="B1" sqref="B1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9" style="24" bestFit="1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520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41.729999999999919</v>
      </c>
      <c r="D3" s="20">
        <f>SUM(D$4:D$1048576)</f>
        <v>1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45820</v>
      </c>
      <c r="B5" s="27" t="s">
        <v>21</v>
      </c>
      <c r="C5" s="24">
        <v>147.9</v>
      </c>
      <c r="D5" s="30"/>
      <c r="E5" s="30"/>
      <c r="F5" s="30"/>
      <c r="G5" s="22"/>
    </row>
    <row r="6" spans="1:8" hidden="1" x14ac:dyDescent="0.3">
      <c r="A6" s="21">
        <v>45820</v>
      </c>
      <c r="B6" s="32" t="s">
        <v>1</v>
      </c>
      <c r="C6" s="24">
        <v>47.1</v>
      </c>
    </row>
    <row r="7" spans="1:8" hidden="1" x14ac:dyDescent="0.3">
      <c r="A7" s="21">
        <v>45820</v>
      </c>
      <c r="B7" s="32" t="s">
        <v>21</v>
      </c>
      <c r="C7" s="24">
        <v>11.76</v>
      </c>
      <c r="H7" s="17" t="s">
        <v>282</v>
      </c>
    </row>
    <row r="8" spans="1:8" hidden="1" x14ac:dyDescent="0.3">
      <c r="A8" s="21">
        <v>45821</v>
      </c>
      <c r="B8" s="27" t="s">
        <v>4</v>
      </c>
      <c r="C8" s="24">
        <v>-201.02</v>
      </c>
    </row>
    <row r="9" spans="1:8" hidden="1" x14ac:dyDescent="0.3">
      <c r="A9" s="21">
        <v>45821</v>
      </c>
      <c r="B9" s="27" t="s">
        <v>4</v>
      </c>
      <c r="C9" s="24">
        <v>-5.74</v>
      </c>
    </row>
    <row r="10" spans="1:8" hidden="1" x14ac:dyDescent="0.3">
      <c r="A10" s="21">
        <v>45825</v>
      </c>
      <c r="B10" s="27" t="s">
        <v>4</v>
      </c>
      <c r="C10" s="24">
        <v>-1400</v>
      </c>
    </row>
    <row r="11" spans="1:8" hidden="1" x14ac:dyDescent="0.3">
      <c r="A11" s="26">
        <v>45826</v>
      </c>
      <c r="B11" s="31" t="s">
        <v>1</v>
      </c>
      <c r="C11" s="24">
        <v>1594.4</v>
      </c>
    </row>
    <row r="12" spans="1:8" hidden="1" x14ac:dyDescent="0.3">
      <c r="A12" s="26">
        <v>45828</v>
      </c>
      <c r="B12" s="34" t="s">
        <v>21</v>
      </c>
      <c r="C12" s="24">
        <v>26.76</v>
      </c>
    </row>
    <row r="13" spans="1:8" hidden="1" x14ac:dyDescent="0.3">
      <c r="A13" s="26">
        <v>45834</v>
      </c>
      <c r="B13" s="27" t="s">
        <v>1</v>
      </c>
      <c r="C13" s="24">
        <v>882.4</v>
      </c>
    </row>
    <row r="14" spans="1:8" hidden="1" x14ac:dyDescent="0.3">
      <c r="A14" s="26">
        <v>45838</v>
      </c>
      <c r="B14" s="27" t="s">
        <v>4</v>
      </c>
      <c r="C14" s="24">
        <v>-882.4</v>
      </c>
    </row>
    <row r="15" spans="1:8" hidden="1" x14ac:dyDescent="0.3">
      <c r="A15" s="26">
        <v>45841</v>
      </c>
      <c r="B15" s="27" t="s">
        <v>4</v>
      </c>
      <c r="C15" s="24">
        <v>-221.16</v>
      </c>
    </row>
    <row r="16" spans="1:8" hidden="1" x14ac:dyDescent="0.3">
      <c r="A16" s="26">
        <v>45841</v>
      </c>
      <c r="B16" s="27" t="s">
        <v>4</v>
      </c>
      <c r="C16" s="24">
        <v>-221.45</v>
      </c>
    </row>
    <row r="17" spans="1:8" hidden="1" x14ac:dyDescent="0.3">
      <c r="A17" s="26">
        <v>45841</v>
      </c>
      <c r="B17" s="27" t="s">
        <v>1</v>
      </c>
      <c r="C17" s="24">
        <v>173.9</v>
      </c>
    </row>
    <row r="18" spans="1:8" hidden="1" x14ac:dyDescent="0.3">
      <c r="A18" s="26">
        <v>45841</v>
      </c>
      <c r="B18" s="32" t="s">
        <v>21</v>
      </c>
      <c r="C18" s="24">
        <v>47.55</v>
      </c>
    </row>
    <row r="19" spans="1:8" hidden="1" x14ac:dyDescent="0.3">
      <c r="A19" s="26">
        <v>45847</v>
      </c>
      <c r="B19" s="27" t="s">
        <v>4</v>
      </c>
      <c r="C19" s="24">
        <v>-1239.04</v>
      </c>
    </row>
    <row r="20" spans="1:8" hidden="1" x14ac:dyDescent="0.3">
      <c r="A20" s="26">
        <v>45847</v>
      </c>
      <c r="B20" s="27" t="s">
        <v>4</v>
      </c>
      <c r="C20" s="24">
        <v>-7.5</v>
      </c>
    </row>
    <row r="21" spans="1:8" hidden="1" x14ac:dyDescent="0.3">
      <c r="A21" s="26">
        <v>45847</v>
      </c>
      <c r="B21" s="27" t="s">
        <v>1</v>
      </c>
      <c r="C21" s="24">
        <v>1197.5</v>
      </c>
    </row>
    <row r="22" spans="1:8" hidden="1" x14ac:dyDescent="0.3">
      <c r="A22" s="26">
        <v>45847</v>
      </c>
      <c r="B22" s="32" t="s">
        <v>21</v>
      </c>
      <c r="C22" s="24">
        <v>49.05</v>
      </c>
    </row>
    <row r="23" spans="1:8" hidden="1" x14ac:dyDescent="0.3">
      <c r="A23" s="26">
        <v>45848</v>
      </c>
      <c r="B23" s="34" t="s">
        <v>21</v>
      </c>
      <c r="C23" s="24">
        <v>20</v>
      </c>
    </row>
    <row r="24" spans="1:8" hidden="1" x14ac:dyDescent="0.3">
      <c r="A24" s="26">
        <v>45849</v>
      </c>
      <c r="B24" s="27" t="s">
        <v>4</v>
      </c>
      <c r="C24" s="24">
        <v>-20</v>
      </c>
    </row>
    <row r="25" spans="1:8" hidden="1" x14ac:dyDescent="0.3">
      <c r="A25" s="26">
        <v>45854</v>
      </c>
      <c r="B25" s="27" t="s">
        <v>4</v>
      </c>
      <c r="C25" s="24">
        <v>-1063.9000000000001</v>
      </c>
    </row>
    <row r="26" spans="1:8" hidden="1" x14ac:dyDescent="0.3">
      <c r="A26" s="26">
        <v>45854</v>
      </c>
      <c r="B26" s="27" t="s">
        <v>1</v>
      </c>
      <c r="C26" s="24">
        <v>1032.2</v>
      </c>
    </row>
    <row r="27" spans="1:8" hidden="1" x14ac:dyDescent="0.3">
      <c r="A27" s="26">
        <v>45854</v>
      </c>
      <c r="B27" s="32" t="s">
        <v>21</v>
      </c>
      <c r="C27" s="24">
        <v>31.7</v>
      </c>
    </row>
    <row r="28" spans="1:8" hidden="1" x14ac:dyDescent="0.3">
      <c r="A28" s="26">
        <v>45862</v>
      </c>
      <c r="B28" s="27" t="s">
        <v>4</v>
      </c>
      <c r="C28" s="24">
        <v>-433.36</v>
      </c>
    </row>
    <row r="29" spans="1:8" hidden="1" x14ac:dyDescent="0.3">
      <c r="A29" s="26">
        <v>45862</v>
      </c>
      <c r="B29" s="27" t="s">
        <v>1</v>
      </c>
      <c r="C29" s="24">
        <v>392</v>
      </c>
    </row>
    <row r="30" spans="1:8" hidden="1" x14ac:dyDescent="0.3">
      <c r="A30" s="26">
        <v>45862</v>
      </c>
      <c r="B30" s="32" t="s">
        <v>21</v>
      </c>
      <c r="C30" s="24">
        <v>41.3</v>
      </c>
    </row>
    <row r="31" spans="1:8" x14ac:dyDescent="0.3">
      <c r="A31" s="26">
        <v>46003</v>
      </c>
      <c r="B31" s="27" t="s">
        <v>21</v>
      </c>
      <c r="C31" s="24">
        <v>41.78</v>
      </c>
      <c r="D31" s="25">
        <v>1</v>
      </c>
      <c r="H31" s="18"/>
    </row>
    <row r="32" spans="1:8" x14ac:dyDescent="0.3">
      <c r="B32" s="71"/>
      <c r="H32" s="18"/>
    </row>
    <row r="33" spans="2:8" x14ac:dyDescent="0.3">
      <c r="H33" s="18"/>
    </row>
    <row r="34" spans="2:8" x14ac:dyDescent="0.3">
      <c r="B34" s="71"/>
      <c r="H34" s="18"/>
    </row>
    <row r="35" spans="2:8" x14ac:dyDescent="0.3">
      <c r="B35" s="71"/>
      <c r="H35" s="18"/>
    </row>
    <row r="36" spans="2:8" x14ac:dyDescent="0.3">
      <c r="H36" s="18"/>
    </row>
    <row r="37" spans="2:8" x14ac:dyDescent="0.3">
      <c r="H37" s="18"/>
    </row>
    <row r="38" spans="2:8" x14ac:dyDescent="0.3">
      <c r="H38" s="18"/>
    </row>
    <row r="39" spans="2:8" x14ac:dyDescent="0.3">
      <c r="H39" s="18"/>
    </row>
    <row r="40" spans="2:8" x14ac:dyDescent="0.3">
      <c r="H40" s="18"/>
    </row>
    <row r="41" spans="2:8" x14ac:dyDescent="0.3">
      <c r="B41" s="71"/>
      <c r="H41" s="18"/>
    </row>
    <row r="42" spans="2:8" x14ac:dyDescent="0.3">
      <c r="H42" s="18"/>
    </row>
    <row r="43" spans="2:8" x14ac:dyDescent="0.3">
      <c r="H43" s="18"/>
    </row>
    <row r="44" spans="2:8" x14ac:dyDescent="0.3">
      <c r="H44" s="18"/>
    </row>
    <row r="45" spans="2:8" x14ac:dyDescent="0.3">
      <c r="H45" s="18"/>
    </row>
    <row r="46" spans="2:8" x14ac:dyDescent="0.3">
      <c r="H46" s="18"/>
    </row>
    <row r="47" spans="2:8" x14ac:dyDescent="0.3">
      <c r="B47" s="71"/>
      <c r="H47" s="18"/>
    </row>
    <row r="48" spans="2:8" x14ac:dyDescent="0.3">
      <c r="H48" s="18"/>
    </row>
    <row r="49" spans="2:8" x14ac:dyDescent="0.3">
      <c r="H49" s="18"/>
    </row>
    <row r="50" spans="2:8" x14ac:dyDescent="0.3">
      <c r="B50" s="71"/>
      <c r="H50" s="18"/>
    </row>
    <row r="51" spans="2:8" x14ac:dyDescent="0.3">
      <c r="H51" s="18"/>
    </row>
    <row r="52" spans="2:8" x14ac:dyDescent="0.3">
      <c r="H52" s="18"/>
    </row>
    <row r="53" spans="2:8" x14ac:dyDescent="0.3">
      <c r="B53" s="71"/>
      <c r="H53" s="18"/>
    </row>
    <row r="54" spans="2:8" x14ac:dyDescent="0.3">
      <c r="H54" s="18"/>
    </row>
    <row r="55" spans="2:8" x14ac:dyDescent="0.3">
      <c r="H55" s="18"/>
    </row>
    <row r="56" spans="2:8" x14ac:dyDescent="0.3">
      <c r="H56" s="18"/>
    </row>
    <row r="57" spans="2:8" x14ac:dyDescent="0.3">
      <c r="B57" s="71"/>
      <c r="H57" s="18"/>
    </row>
    <row r="58" spans="2:8" x14ac:dyDescent="0.3">
      <c r="B58" s="71"/>
      <c r="H58" s="18"/>
    </row>
    <row r="59" spans="2:8" x14ac:dyDescent="0.3">
      <c r="H59" s="18"/>
    </row>
    <row r="60" spans="2:8" x14ac:dyDescent="0.3">
      <c r="H60" s="18"/>
    </row>
    <row r="61" spans="2:8" x14ac:dyDescent="0.3">
      <c r="H61" s="18"/>
    </row>
    <row r="62" spans="2:8" x14ac:dyDescent="0.3">
      <c r="H62" s="18"/>
    </row>
    <row r="63" spans="2:8" x14ac:dyDescent="0.3">
      <c r="B63" s="71"/>
      <c r="H63" s="18"/>
    </row>
    <row r="64" spans="2:8" x14ac:dyDescent="0.3">
      <c r="H64" s="18"/>
    </row>
    <row r="65" spans="2:8" x14ac:dyDescent="0.3">
      <c r="H65" s="18"/>
    </row>
    <row r="66" spans="2:8" x14ac:dyDescent="0.3">
      <c r="H66" s="18"/>
    </row>
    <row r="67" spans="2:8" x14ac:dyDescent="0.3">
      <c r="H67" s="18"/>
    </row>
    <row r="68" spans="2:8" x14ac:dyDescent="0.3">
      <c r="B68" s="71"/>
      <c r="H68" s="18"/>
    </row>
    <row r="69" spans="2:8" x14ac:dyDescent="0.3">
      <c r="H69" s="18"/>
    </row>
    <row r="70" spans="2:8" x14ac:dyDescent="0.3">
      <c r="H70" s="18"/>
    </row>
    <row r="71" spans="2:8" x14ac:dyDescent="0.3">
      <c r="B71" s="71"/>
      <c r="H71" s="18"/>
    </row>
    <row r="72" spans="2:8" x14ac:dyDescent="0.3">
      <c r="H72" s="18"/>
    </row>
    <row r="73" spans="2:8" x14ac:dyDescent="0.3">
      <c r="B73" s="71"/>
      <c r="H73" s="18"/>
    </row>
    <row r="74" spans="2:8" x14ac:dyDescent="0.3">
      <c r="B74" s="71"/>
      <c r="H74" s="18"/>
    </row>
    <row r="75" spans="2:8" x14ac:dyDescent="0.3">
      <c r="H75" s="18"/>
    </row>
    <row r="76" spans="2:8" x14ac:dyDescent="0.3">
      <c r="H76" s="18"/>
    </row>
    <row r="77" spans="2:8" x14ac:dyDescent="0.3">
      <c r="H77" s="18"/>
    </row>
    <row r="78" spans="2:8" x14ac:dyDescent="0.3">
      <c r="H78" s="18"/>
    </row>
    <row r="79" spans="2:8" x14ac:dyDescent="0.3">
      <c r="H79" s="18"/>
    </row>
    <row r="80" spans="2:8" x14ac:dyDescent="0.3">
      <c r="B80" s="71"/>
      <c r="H80" s="18"/>
    </row>
    <row r="81" spans="8:8" x14ac:dyDescent="0.3">
      <c r="H81" s="18"/>
    </row>
    <row r="82" spans="8:8" x14ac:dyDescent="0.3">
      <c r="H82" s="18"/>
    </row>
    <row r="83" spans="8:8" x14ac:dyDescent="0.3">
      <c r="H83" s="18"/>
    </row>
    <row r="84" spans="8:8" x14ac:dyDescent="0.3">
      <c r="H84" s="18"/>
    </row>
    <row r="85" spans="8:8" x14ac:dyDescent="0.3">
      <c r="H85" s="18"/>
    </row>
    <row r="86" spans="8:8" x14ac:dyDescent="0.3">
      <c r="H86" s="18"/>
    </row>
    <row r="87" spans="8:8" x14ac:dyDescent="0.3">
      <c r="H87" s="18"/>
    </row>
    <row r="88" spans="8:8" x14ac:dyDescent="0.3">
      <c r="H88" s="18"/>
    </row>
    <row r="89" spans="8:8" x14ac:dyDescent="0.3">
      <c r="H89" s="18"/>
    </row>
    <row r="90" spans="8:8" x14ac:dyDescent="0.3">
      <c r="H90" s="18"/>
    </row>
    <row r="91" spans="8:8" x14ac:dyDescent="0.3">
      <c r="H91" s="18"/>
    </row>
    <row r="92" spans="8:8" x14ac:dyDescent="0.3">
      <c r="H92" s="18"/>
    </row>
    <row r="93" spans="8:8" x14ac:dyDescent="0.3">
      <c r="H93" s="18"/>
    </row>
    <row r="94" spans="8:8" x14ac:dyDescent="0.3">
      <c r="H94" s="18"/>
    </row>
    <row r="95" spans="8:8" x14ac:dyDescent="0.3">
      <c r="H95" s="18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BD4DF-2D30-4F92-9C06-02F3353F3A66}">
  <sheetPr codeName="Hoja31"/>
  <dimension ref="A1:J118"/>
  <sheetViews>
    <sheetView view="pageBreakPreview" topLeftCell="A87" zoomScale="90" zoomScaleNormal="100" zoomScaleSheetLayoutView="90" workbookViewId="0">
      <selection activeCell="C119" sqref="C11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9" style="24" bestFit="1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212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206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344.35999999999933</v>
      </c>
      <c r="D3" s="20">
        <f>SUM(D$4:D$1048576)</f>
        <v>6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45820</v>
      </c>
      <c r="B5" s="27" t="s">
        <v>21</v>
      </c>
      <c r="C5" s="24">
        <v>147.9</v>
      </c>
      <c r="D5" s="30"/>
      <c r="E5" s="30"/>
      <c r="F5" s="30"/>
      <c r="G5" s="22"/>
    </row>
    <row r="6" spans="1:8" hidden="1" x14ac:dyDescent="0.3">
      <c r="A6" s="21">
        <v>45820</v>
      </c>
      <c r="B6" s="32" t="s">
        <v>1</v>
      </c>
      <c r="C6" s="24">
        <v>47.1</v>
      </c>
    </row>
    <row r="7" spans="1:8" hidden="1" x14ac:dyDescent="0.3">
      <c r="A7" s="21">
        <v>45820</v>
      </c>
      <c r="B7" s="32" t="s">
        <v>21</v>
      </c>
      <c r="C7" s="24">
        <v>11.76</v>
      </c>
      <c r="H7" s="17" t="s">
        <v>282</v>
      </c>
    </row>
    <row r="8" spans="1:8" hidden="1" x14ac:dyDescent="0.3">
      <c r="A8" s="21">
        <v>45821</v>
      </c>
      <c r="B8" s="27" t="s">
        <v>4</v>
      </c>
      <c r="C8" s="24">
        <v>-201.02</v>
      </c>
    </row>
    <row r="9" spans="1:8" hidden="1" x14ac:dyDescent="0.3">
      <c r="A9" s="21">
        <v>45821</v>
      </c>
      <c r="B9" s="27" t="s">
        <v>4</v>
      </c>
      <c r="C9" s="24">
        <v>-5.74</v>
      </c>
    </row>
    <row r="10" spans="1:8" hidden="1" x14ac:dyDescent="0.3">
      <c r="A10" s="21">
        <v>45825</v>
      </c>
      <c r="B10" s="27" t="s">
        <v>4</v>
      </c>
      <c r="C10" s="24">
        <v>-1400</v>
      </c>
    </row>
    <row r="11" spans="1:8" hidden="1" x14ac:dyDescent="0.3">
      <c r="A11" s="26">
        <v>45826</v>
      </c>
      <c r="B11" s="31" t="s">
        <v>1</v>
      </c>
      <c r="C11" s="24">
        <v>1594.4</v>
      </c>
    </row>
    <row r="12" spans="1:8" hidden="1" x14ac:dyDescent="0.3">
      <c r="A12" s="26">
        <v>45828</v>
      </c>
      <c r="B12" s="34" t="s">
        <v>21</v>
      </c>
      <c r="C12" s="24">
        <v>26.76</v>
      </c>
    </row>
    <row r="13" spans="1:8" hidden="1" x14ac:dyDescent="0.3">
      <c r="A13" s="26">
        <v>45834</v>
      </c>
      <c r="B13" s="27" t="s">
        <v>1</v>
      </c>
      <c r="C13" s="24">
        <v>882.4</v>
      </c>
    </row>
    <row r="14" spans="1:8" hidden="1" x14ac:dyDescent="0.3">
      <c r="A14" s="26">
        <v>45838</v>
      </c>
      <c r="B14" s="27" t="s">
        <v>4</v>
      </c>
      <c r="C14" s="24">
        <v>-882.4</v>
      </c>
    </row>
    <row r="15" spans="1:8" hidden="1" x14ac:dyDescent="0.3">
      <c r="A15" s="26">
        <v>45841</v>
      </c>
      <c r="B15" s="27" t="s">
        <v>4</v>
      </c>
      <c r="C15" s="24">
        <v>-221.16</v>
      </c>
    </row>
    <row r="16" spans="1:8" hidden="1" x14ac:dyDescent="0.3">
      <c r="A16" s="26">
        <v>45841</v>
      </c>
      <c r="B16" s="27" t="s">
        <v>4</v>
      </c>
      <c r="C16" s="24">
        <v>-221.45</v>
      </c>
    </row>
    <row r="17" spans="1:4" hidden="1" x14ac:dyDescent="0.3">
      <c r="A17" s="26">
        <v>45841</v>
      </c>
      <c r="B17" s="27" t="s">
        <v>1</v>
      </c>
      <c r="C17" s="24">
        <v>173.9</v>
      </c>
    </row>
    <row r="18" spans="1:4" hidden="1" x14ac:dyDescent="0.3">
      <c r="A18" s="26">
        <v>45841</v>
      </c>
      <c r="B18" s="32" t="s">
        <v>21</v>
      </c>
      <c r="C18" s="24">
        <v>47.55</v>
      </c>
    </row>
    <row r="19" spans="1:4" hidden="1" x14ac:dyDescent="0.3">
      <c r="A19" s="26">
        <v>45847</v>
      </c>
      <c r="B19" s="27" t="s">
        <v>4</v>
      </c>
      <c r="C19" s="24">
        <v>-1239.04</v>
      </c>
    </row>
    <row r="20" spans="1:4" hidden="1" x14ac:dyDescent="0.3">
      <c r="A20" s="26">
        <v>45847</v>
      </c>
      <c r="B20" s="27" t="s">
        <v>4</v>
      </c>
      <c r="C20" s="24">
        <v>-7.5</v>
      </c>
    </row>
    <row r="21" spans="1:4" hidden="1" x14ac:dyDescent="0.3">
      <c r="A21" s="26">
        <v>45847</v>
      </c>
      <c r="B21" s="27" t="s">
        <v>1</v>
      </c>
      <c r="C21" s="24">
        <v>1197.5</v>
      </c>
    </row>
    <row r="22" spans="1:4" hidden="1" x14ac:dyDescent="0.3">
      <c r="A22" s="26">
        <v>45847</v>
      </c>
      <c r="B22" s="32" t="s">
        <v>21</v>
      </c>
      <c r="C22" s="24">
        <v>49.05</v>
      </c>
    </row>
    <row r="23" spans="1:4" hidden="1" x14ac:dyDescent="0.3">
      <c r="A23" s="26">
        <v>45848</v>
      </c>
      <c r="B23" s="34" t="s">
        <v>21</v>
      </c>
      <c r="C23" s="24">
        <v>20</v>
      </c>
    </row>
    <row r="24" spans="1:4" hidden="1" x14ac:dyDescent="0.3">
      <c r="A24" s="26">
        <v>45849</v>
      </c>
      <c r="B24" s="27" t="s">
        <v>4</v>
      </c>
      <c r="C24" s="24">
        <v>-20</v>
      </c>
    </row>
    <row r="25" spans="1:4" hidden="1" x14ac:dyDescent="0.3">
      <c r="A25" s="26">
        <v>45854</v>
      </c>
      <c r="B25" s="27" t="s">
        <v>4</v>
      </c>
      <c r="C25" s="24">
        <v>-1063.9000000000001</v>
      </c>
    </row>
    <row r="26" spans="1:4" hidden="1" x14ac:dyDescent="0.3">
      <c r="A26" s="26">
        <v>45854</v>
      </c>
      <c r="B26" s="27" t="s">
        <v>1</v>
      </c>
      <c r="C26" s="24">
        <v>1032.2</v>
      </c>
    </row>
    <row r="27" spans="1:4" hidden="1" x14ac:dyDescent="0.3">
      <c r="A27" s="26">
        <v>45854</v>
      </c>
      <c r="B27" s="32" t="s">
        <v>21</v>
      </c>
      <c r="C27" s="24">
        <v>31.7</v>
      </c>
    </row>
    <row r="28" spans="1:4" hidden="1" x14ac:dyDescent="0.3">
      <c r="A28" s="26">
        <v>45862</v>
      </c>
      <c r="B28" s="27" t="s">
        <v>4</v>
      </c>
      <c r="C28" s="24">
        <v>-433.36</v>
      </c>
    </row>
    <row r="29" spans="1:4" hidden="1" x14ac:dyDescent="0.3">
      <c r="A29" s="26">
        <v>45862</v>
      </c>
      <c r="B29" s="27" t="s">
        <v>1</v>
      </c>
      <c r="C29" s="24">
        <v>392</v>
      </c>
    </row>
    <row r="30" spans="1:4" hidden="1" x14ac:dyDescent="0.3">
      <c r="A30" s="26">
        <v>45862</v>
      </c>
      <c r="B30" s="32" t="s">
        <v>21</v>
      </c>
      <c r="C30" s="24">
        <v>41.3</v>
      </c>
    </row>
    <row r="31" spans="1:4" x14ac:dyDescent="0.3">
      <c r="A31" s="26">
        <v>45869</v>
      </c>
      <c r="B31" s="27" t="s">
        <v>1</v>
      </c>
      <c r="C31" s="24">
        <v>561.6</v>
      </c>
      <c r="D31" s="25">
        <v>10</v>
      </c>
    </row>
    <row r="32" spans="1:4" x14ac:dyDescent="0.3">
      <c r="A32" s="26">
        <v>45869</v>
      </c>
      <c r="B32" s="32" t="s">
        <v>21</v>
      </c>
      <c r="C32" s="24">
        <v>31.7</v>
      </c>
    </row>
    <row r="33" spans="1:7" x14ac:dyDescent="0.3">
      <c r="A33" s="26">
        <v>45876</v>
      </c>
      <c r="B33" s="27" t="s">
        <v>4</v>
      </c>
      <c r="C33" s="24">
        <v>-66.36</v>
      </c>
    </row>
    <row r="34" spans="1:7" x14ac:dyDescent="0.3">
      <c r="A34" s="26">
        <v>45876</v>
      </c>
      <c r="B34" s="32" t="s">
        <v>21</v>
      </c>
      <c r="C34" s="24">
        <v>15</v>
      </c>
    </row>
    <row r="35" spans="1:7" x14ac:dyDescent="0.3">
      <c r="A35" s="26">
        <v>45876</v>
      </c>
      <c r="B35" s="34" t="s">
        <v>21</v>
      </c>
      <c r="C35" s="24">
        <v>51.36</v>
      </c>
    </row>
    <row r="36" spans="1:7" x14ac:dyDescent="0.3">
      <c r="A36" s="26">
        <v>45877</v>
      </c>
      <c r="B36" s="27" t="s">
        <v>4</v>
      </c>
      <c r="C36" s="24">
        <v>-588.97</v>
      </c>
      <c r="D36" s="25">
        <v>-10</v>
      </c>
    </row>
    <row r="37" spans="1:7" x14ac:dyDescent="0.3">
      <c r="A37" s="26">
        <v>45882</v>
      </c>
      <c r="B37" s="27" t="s">
        <v>1</v>
      </c>
      <c r="C37" s="24">
        <f>813.4-G37</f>
        <v>729.26</v>
      </c>
      <c r="G37" s="24">
        <v>84.14</v>
      </c>
    </row>
    <row r="38" spans="1:7" x14ac:dyDescent="0.3">
      <c r="A38" s="26">
        <v>45884</v>
      </c>
      <c r="B38" s="27" t="s">
        <v>4</v>
      </c>
      <c r="C38" s="24">
        <v>-730.57</v>
      </c>
      <c r="G38" s="24">
        <v>-84.14</v>
      </c>
    </row>
    <row r="39" spans="1:7" x14ac:dyDescent="0.3">
      <c r="A39" s="26">
        <v>45890</v>
      </c>
      <c r="B39" s="27" t="s">
        <v>23</v>
      </c>
      <c r="G39" s="24">
        <v>-138.15</v>
      </c>
    </row>
    <row r="40" spans="1:7" x14ac:dyDescent="0.3">
      <c r="A40" s="26">
        <v>45890</v>
      </c>
      <c r="B40" s="27" t="s">
        <v>1</v>
      </c>
      <c r="C40" s="24">
        <f>1335.5-G40</f>
        <v>1197.3499999999999</v>
      </c>
      <c r="G40" s="24">
        <v>138.15</v>
      </c>
    </row>
    <row r="41" spans="1:7" x14ac:dyDescent="0.3">
      <c r="A41" s="26">
        <v>45890</v>
      </c>
      <c r="B41" s="32" t="s">
        <v>21</v>
      </c>
      <c r="C41" s="24">
        <v>32.1</v>
      </c>
    </row>
    <row r="42" spans="1:7" x14ac:dyDescent="0.3">
      <c r="A42" s="26">
        <v>45891</v>
      </c>
      <c r="B42" s="27" t="s">
        <v>4</v>
      </c>
      <c r="C42" s="24">
        <v>-1230.7</v>
      </c>
    </row>
    <row r="43" spans="1:7" x14ac:dyDescent="0.3">
      <c r="A43" s="26">
        <v>45897</v>
      </c>
      <c r="B43" s="27" t="s">
        <v>4</v>
      </c>
      <c r="C43" s="24">
        <v>-1000</v>
      </c>
    </row>
    <row r="44" spans="1:7" x14ac:dyDescent="0.3">
      <c r="A44" s="26">
        <v>45897</v>
      </c>
      <c r="B44" s="27" t="s">
        <v>1</v>
      </c>
      <c r="C44" s="24">
        <v>1166.4000000000001</v>
      </c>
    </row>
    <row r="45" spans="1:7" x14ac:dyDescent="0.3">
      <c r="A45" s="26">
        <v>45898</v>
      </c>
      <c r="B45" s="27" t="s">
        <v>4</v>
      </c>
      <c r="C45" s="24">
        <v>-166.4</v>
      </c>
    </row>
    <row r="46" spans="1:7" x14ac:dyDescent="0.3">
      <c r="A46" s="26">
        <v>45904</v>
      </c>
      <c r="B46" s="27" t="s">
        <v>1</v>
      </c>
      <c r="C46" s="24">
        <f>1077.1-G46</f>
        <v>965.68</v>
      </c>
      <c r="G46" s="24">
        <v>111.42</v>
      </c>
    </row>
    <row r="47" spans="1:7" x14ac:dyDescent="0.3">
      <c r="A47" s="26">
        <v>45904</v>
      </c>
      <c r="B47" s="32" t="s">
        <v>21</v>
      </c>
      <c r="C47" s="24">
        <v>88.85</v>
      </c>
      <c r="G47" s="24">
        <v>-111.42</v>
      </c>
    </row>
    <row r="48" spans="1:7" x14ac:dyDescent="0.3">
      <c r="A48" s="26">
        <v>45908</v>
      </c>
      <c r="B48" s="27" t="s">
        <v>4</v>
      </c>
      <c r="C48" s="24">
        <v>-973.96</v>
      </c>
    </row>
    <row r="49" spans="1:10" x14ac:dyDescent="0.3">
      <c r="A49" s="26">
        <v>45911</v>
      </c>
      <c r="B49" s="27" t="s">
        <v>1</v>
      </c>
      <c r="C49" s="24">
        <v>1484.4</v>
      </c>
    </row>
    <row r="50" spans="1:10" x14ac:dyDescent="0.3">
      <c r="A50" s="26">
        <v>45911</v>
      </c>
      <c r="B50" s="32" t="s">
        <v>21</v>
      </c>
      <c r="C50" s="24">
        <v>24.6</v>
      </c>
    </row>
    <row r="51" spans="1:10" x14ac:dyDescent="0.3">
      <c r="A51" s="26">
        <v>45915</v>
      </c>
      <c r="B51" s="27" t="s">
        <v>4</v>
      </c>
      <c r="C51" s="24">
        <v>-1509</v>
      </c>
    </row>
    <row r="52" spans="1:10" x14ac:dyDescent="0.3">
      <c r="A52" s="26">
        <v>45918</v>
      </c>
      <c r="B52" s="27" t="s">
        <v>1</v>
      </c>
      <c r="C52" s="24">
        <v>672</v>
      </c>
    </row>
    <row r="53" spans="1:10" x14ac:dyDescent="0.3">
      <c r="A53" s="26">
        <v>45918</v>
      </c>
      <c r="B53" s="32" t="s">
        <v>21</v>
      </c>
      <c r="C53" s="24">
        <v>47.55</v>
      </c>
    </row>
    <row r="54" spans="1:10" x14ac:dyDescent="0.3">
      <c r="A54" s="26">
        <v>45922</v>
      </c>
      <c r="B54" s="27" t="s">
        <v>4</v>
      </c>
      <c r="C54" s="24">
        <v>-651.26</v>
      </c>
    </row>
    <row r="55" spans="1:10" x14ac:dyDescent="0.3">
      <c r="A55" s="26">
        <v>45924</v>
      </c>
      <c r="B55" s="27" t="s">
        <v>4</v>
      </c>
      <c r="C55" s="24">
        <v>-1352.54</v>
      </c>
    </row>
    <row r="56" spans="1:10" x14ac:dyDescent="0.3">
      <c r="A56" s="26">
        <v>45924</v>
      </c>
      <c r="B56" s="27" t="s">
        <v>1</v>
      </c>
      <c r="C56" s="24">
        <v>1304.8</v>
      </c>
    </row>
    <row r="57" spans="1:10" x14ac:dyDescent="0.3">
      <c r="A57" s="26">
        <v>45924</v>
      </c>
      <c r="B57" s="32" t="s">
        <v>21</v>
      </c>
      <c r="C57" s="24">
        <v>47.55</v>
      </c>
    </row>
    <row r="58" spans="1:10" x14ac:dyDescent="0.3">
      <c r="A58" s="26">
        <v>45924</v>
      </c>
      <c r="B58" s="34" t="s">
        <v>21</v>
      </c>
      <c r="C58" s="24">
        <v>35.380000000000003</v>
      </c>
    </row>
    <row r="59" spans="1:10" x14ac:dyDescent="0.3">
      <c r="A59" s="26">
        <v>45931</v>
      </c>
      <c r="B59" s="27" t="s">
        <v>1</v>
      </c>
      <c r="C59" s="24">
        <v>1179.9000000000001</v>
      </c>
    </row>
    <row r="60" spans="1:10" x14ac:dyDescent="0.3">
      <c r="A60" s="26">
        <v>45932</v>
      </c>
      <c r="B60" s="27" t="s">
        <v>4</v>
      </c>
      <c r="C60" s="24">
        <v>-628.34</v>
      </c>
    </row>
    <row r="61" spans="1:10" x14ac:dyDescent="0.3">
      <c r="A61" s="26">
        <v>45932</v>
      </c>
      <c r="B61" s="27" t="s">
        <v>4</v>
      </c>
      <c r="C61" s="24">
        <v>-551.55999999999995</v>
      </c>
    </row>
    <row r="62" spans="1:10" x14ac:dyDescent="0.3">
      <c r="A62" s="26">
        <v>45937</v>
      </c>
      <c r="B62" s="27" t="s">
        <v>1</v>
      </c>
      <c r="C62" s="24">
        <f>1736.36-G62</f>
        <v>1556.7399999999998</v>
      </c>
      <c r="G62" s="24">
        <v>179.62</v>
      </c>
      <c r="J62" s="87"/>
    </row>
    <row r="63" spans="1:10" x14ac:dyDescent="0.3">
      <c r="A63" s="26">
        <v>45937</v>
      </c>
      <c r="B63" s="32" t="s">
        <v>21</v>
      </c>
      <c r="C63" s="24">
        <v>77.86</v>
      </c>
    </row>
    <row r="64" spans="1:10" x14ac:dyDescent="0.3">
      <c r="A64" s="26">
        <v>45939</v>
      </c>
      <c r="B64" s="27" t="s">
        <v>4</v>
      </c>
      <c r="C64" s="24">
        <v>-1636.77</v>
      </c>
    </row>
    <row r="65" spans="1:10" x14ac:dyDescent="0.3">
      <c r="A65" s="26">
        <v>45947</v>
      </c>
      <c r="B65" s="27" t="s">
        <v>1</v>
      </c>
      <c r="C65" s="24">
        <v>1508.32</v>
      </c>
    </row>
    <row r="66" spans="1:10" x14ac:dyDescent="0.3">
      <c r="A66" s="26">
        <v>45950</v>
      </c>
      <c r="B66" s="27" t="s">
        <v>4</v>
      </c>
      <c r="C66" s="24">
        <v>-1508.32</v>
      </c>
    </row>
    <row r="67" spans="1:10" x14ac:dyDescent="0.3">
      <c r="A67" s="26">
        <v>45952</v>
      </c>
      <c r="B67" s="27" t="s">
        <v>1</v>
      </c>
      <c r="C67" s="24">
        <f>998.8-G67</f>
        <v>895.48</v>
      </c>
      <c r="G67" s="24">
        <v>103.32</v>
      </c>
      <c r="J67" s="87"/>
    </row>
    <row r="68" spans="1:10" x14ac:dyDescent="0.3">
      <c r="A68" s="26">
        <v>45952</v>
      </c>
      <c r="B68" s="32" t="s">
        <v>21</v>
      </c>
      <c r="C68" s="24">
        <v>58.74</v>
      </c>
    </row>
    <row r="69" spans="1:10" x14ac:dyDescent="0.3">
      <c r="A69" s="26">
        <v>45953</v>
      </c>
      <c r="B69" s="27" t="s">
        <v>4</v>
      </c>
      <c r="C69" s="24">
        <v>-800.06</v>
      </c>
    </row>
    <row r="70" spans="1:10" x14ac:dyDescent="0.3">
      <c r="A70" s="26">
        <v>45953</v>
      </c>
      <c r="B70" s="27" t="s">
        <v>4</v>
      </c>
      <c r="C70" s="24">
        <v>-108.48</v>
      </c>
    </row>
    <row r="71" spans="1:10" x14ac:dyDescent="0.3">
      <c r="A71" s="26">
        <v>45953</v>
      </c>
      <c r="B71" s="34" t="s">
        <v>21</v>
      </c>
      <c r="C71" s="24">
        <v>42.5</v>
      </c>
    </row>
    <row r="72" spans="1:10" x14ac:dyDescent="0.3">
      <c r="A72" s="26">
        <v>45960</v>
      </c>
      <c r="B72" s="27" t="s">
        <v>1</v>
      </c>
      <c r="C72" s="24">
        <v>2132.4699999999998</v>
      </c>
    </row>
    <row r="73" spans="1:10" x14ac:dyDescent="0.3">
      <c r="A73" s="26">
        <v>45960</v>
      </c>
      <c r="B73" s="32" t="s">
        <v>21</v>
      </c>
      <c r="C73" s="24">
        <v>191.44</v>
      </c>
    </row>
    <row r="74" spans="1:10" x14ac:dyDescent="0.3">
      <c r="A74" s="26">
        <v>45960</v>
      </c>
      <c r="B74" s="32" t="s">
        <v>21</v>
      </c>
      <c r="C74" s="24">
        <v>10.32</v>
      </c>
    </row>
    <row r="75" spans="1:10" x14ac:dyDescent="0.3">
      <c r="A75" s="26">
        <v>45961</v>
      </c>
      <c r="B75" s="27" t="s">
        <v>4</v>
      </c>
      <c r="C75" s="24">
        <v>-1000</v>
      </c>
    </row>
    <row r="76" spans="1:10" x14ac:dyDescent="0.3">
      <c r="A76" s="26">
        <v>45964</v>
      </c>
      <c r="B76" s="27" t="s">
        <v>4</v>
      </c>
      <c r="C76" s="24">
        <v>-950</v>
      </c>
    </row>
    <row r="77" spans="1:10" x14ac:dyDescent="0.3">
      <c r="A77" s="26">
        <v>45966</v>
      </c>
      <c r="B77" s="27" t="s">
        <v>4</v>
      </c>
      <c r="C77" s="24">
        <v>-10.32</v>
      </c>
    </row>
    <row r="78" spans="1:10" x14ac:dyDescent="0.3">
      <c r="A78" s="26">
        <v>45966</v>
      </c>
      <c r="B78" s="27" t="s">
        <v>4</v>
      </c>
      <c r="C78" s="24">
        <v>-423.91</v>
      </c>
    </row>
    <row r="79" spans="1:10" x14ac:dyDescent="0.3">
      <c r="A79" s="26">
        <v>45967</v>
      </c>
      <c r="B79" s="27" t="s">
        <v>1</v>
      </c>
      <c r="C79" s="24">
        <v>848.05</v>
      </c>
    </row>
    <row r="80" spans="1:10" x14ac:dyDescent="0.3">
      <c r="A80" s="26">
        <v>45967</v>
      </c>
      <c r="B80" s="32" t="s">
        <v>21</v>
      </c>
      <c r="C80" s="24">
        <v>13.8</v>
      </c>
    </row>
    <row r="81" spans="1:10" x14ac:dyDescent="0.3">
      <c r="A81" s="26">
        <v>45971</v>
      </c>
      <c r="B81" s="27" t="s">
        <v>4</v>
      </c>
      <c r="C81" s="24">
        <v>-861.85</v>
      </c>
    </row>
    <row r="82" spans="1:10" x14ac:dyDescent="0.3">
      <c r="A82" s="26">
        <v>45973</v>
      </c>
      <c r="B82" s="27" t="s">
        <v>1</v>
      </c>
      <c r="C82" s="24">
        <f>1358.8-G82</f>
        <v>1221.5999999999999</v>
      </c>
      <c r="G82" s="24">
        <v>137.19999999999999</v>
      </c>
      <c r="J82" s="87"/>
    </row>
    <row r="83" spans="1:10" x14ac:dyDescent="0.3">
      <c r="A83" s="26">
        <v>45978</v>
      </c>
      <c r="B83" s="27" t="s">
        <v>4</v>
      </c>
      <c r="C83" s="24">
        <v>-1223.58</v>
      </c>
    </row>
    <row r="84" spans="1:10" x14ac:dyDescent="0.3">
      <c r="A84" s="26">
        <v>45982</v>
      </c>
      <c r="B84" s="27" t="s">
        <v>1</v>
      </c>
      <c r="C84" s="24">
        <v>575</v>
      </c>
    </row>
    <row r="85" spans="1:10" x14ac:dyDescent="0.3">
      <c r="A85" s="26">
        <v>45985</v>
      </c>
      <c r="B85" s="27" t="s">
        <v>4</v>
      </c>
      <c r="C85" s="24">
        <v>-571.38</v>
      </c>
    </row>
    <row r="86" spans="1:10" x14ac:dyDescent="0.3">
      <c r="A86" s="26">
        <v>45989</v>
      </c>
      <c r="B86" s="27" t="s">
        <v>4</v>
      </c>
      <c r="C86" s="24">
        <v>-579.66999999999996</v>
      </c>
      <c r="G86" s="24">
        <v>-138.79</v>
      </c>
    </row>
    <row r="87" spans="1:10" x14ac:dyDescent="0.3">
      <c r="A87" s="26">
        <v>45989</v>
      </c>
      <c r="B87" s="27" t="s">
        <v>1</v>
      </c>
      <c r="C87" s="24">
        <f>1795.31-G87</f>
        <v>1656.52</v>
      </c>
      <c r="G87" s="24">
        <v>138.79</v>
      </c>
    </row>
    <row r="88" spans="1:10" x14ac:dyDescent="0.3">
      <c r="A88" s="26">
        <v>45993</v>
      </c>
      <c r="B88" s="27" t="s">
        <v>4</v>
      </c>
      <c r="C88" s="24">
        <v>-1076.96</v>
      </c>
    </row>
    <row r="89" spans="1:10" x14ac:dyDescent="0.3">
      <c r="A89" s="26">
        <v>45995</v>
      </c>
      <c r="B89" s="27" t="s">
        <v>514</v>
      </c>
      <c r="C89" s="24">
        <v>623.05999999999995</v>
      </c>
    </row>
    <row r="90" spans="1:10" x14ac:dyDescent="0.3">
      <c r="A90" s="26">
        <v>45996</v>
      </c>
      <c r="B90" s="27" t="s">
        <v>4</v>
      </c>
      <c r="C90" s="24">
        <v>-1177.07</v>
      </c>
    </row>
    <row r="91" spans="1:10" x14ac:dyDescent="0.3">
      <c r="A91" s="26">
        <v>45998</v>
      </c>
      <c r="B91" s="27" t="s">
        <v>1</v>
      </c>
      <c r="C91" s="24">
        <v>3478.7</v>
      </c>
      <c r="D91" s="25">
        <v>22</v>
      </c>
    </row>
    <row r="92" spans="1:10" x14ac:dyDescent="0.3">
      <c r="A92" s="26">
        <v>46001</v>
      </c>
      <c r="B92" s="27" t="s">
        <v>4</v>
      </c>
      <c r="C92" s="24">
        <v>-950</v>
      </c>
    </row>
    <row r="93" spans="1:10" x14ac:dyDescent="0.3">
      <c r="A93" s="26">
        <v>46002</v>
      </c>
      <c r="B93" s="27" t="s">
        <v>1</v>
      </c>
      <c r="C93" s="24">
        <f>764.66-G93</f>
        <v>687.26</v>
      </c>
      <c r="G93" s="24">
        <v>77.400000000000006</v>
      </c>
      <c r="J93" s="87"/>
    </row>
    <row r="94" spans="1:10" x14ac:dyDescent="0.3">
      <c r="A94" s="26">
        <v>46003</v>
      </c>
      <c r="B94" s="27" t="s">
        <v>4</v>
      </c>
      <c r="C94" s="24">
        <v>-1900</v>
      </c>
    </row>
    <row r="95" spans="1:10" x14ac:dyDescent="0.3">
      <c r="A95" s="26">
        <v>46003</v>
      </c>
      <c r="B95" s="27" t="s">
        <v>1</v>
      </c>
      <c r="C95" s="24">
        <v>29.12</v>
      </c>
    </row>
    <row r="96" spans="1:10" x14ac:dyDescent="0.3">
      <c r="A96" s="26">
        <v>46008</v>
      </c>
      <c r="B96" s="27" t="s">
        <v>4</v>
      </c>
      <c r="C96" s="24">
        <v>-578</v>
      </c>
    </row>
    <row r="97" spans="1:7" x14ac:dyDescent="0.3">
      <c r="A97" s="26">
        <v>46009</v>
      </c>
      <c r="B97" s="27" t="s">
        <v>4</v>
      </c>
      <c r="C97" s="24">
        <v>-933.92</v>
      </c>
    </row>
    <row r="98" spans="1:7" x14ac:dyDescent="0.3">
      <c r="A98" s="26">
        <v>46009</v>
      </c>
      <c r="B98" s="27" t="s">
        <v>1</v>
      </c>
      <c r="C98" s="24">
        <v>1003.45</v>
      </c>
      <c r="D98" s="25">
        <v>-16</v>
      </c>
    </row>
    <row r="99" spans="1:7" x14ac:dyDescent="0.3">
      <c r="A99" s="26">
        <v>46010</v>
      </c>
      <c r="B99" s="27" t="s">
        <v>4</v>
      </c>
      <c r="C99" s="24">
        <v>-1003.45</v>
      </c>
    </row>
    <row r="100" spans="1:7" x14ac:dyDescent="0.3">
      <c r="A100" s="26">
        <v>46013</v>
      </c>
      <c r="B100" s="27" t="s">
        <v>23</v>
      </c>
      <c r="G100" s="24">
        <v>-179.62</v>
      </c>
    </row>
    <row r="101" spans="1:7" x14ac:dyDescent="0.3">
      <c r="A101" s="26">
        <v>46013</v>
      </c>
      <c r="B101" s="27" t="s">
        <v>23</v>
      </c>
      <c r="G101" s="24">
        <v>-103.31</v>
      </c>
    </row>
    <row r="102" spans="1:7" x14ac:dyDescent="0.3">
      <c r="A102" s="26">
        <v>46013</v>
      </c>
      <c r="B102" s="27" t="s">
        <v>23</v>
      </c>
      <c r="G102" s="24">
        <v>-137.19999999999999</v>
      </c>
    </row>
    <row r="103" spans="1:7" x14ac:dyDescent="0.3">
      <c r="A103" s="26">
        <v>46013</v>
      </c>
      <c r="B103" s="27" t="s">
        <v>23</v>
      </c>
      <c r="G103" s="24">
        <v>-77.41</v>
      </c>
    </row>
    <row r="104" spans="1:7" x14ac:dyDescent="0.3">
      <c r="A104" s="26">
        <v>46014</v>
      </c>
      <c r="B104" s="27" t="s">
        <v>4</v>
      </c>
      <c r="C104" s="24">
        <v>-684.79</v>
      </c>
    </row>
    <row r="105" spans="1:7" x14ac:dyDescent="0.3">
      <c r="A105" s="26">
        <v>46014</v>
      </c>
      <c r="B105" s="27" t="s">
        <v>1</v>
      </c>
      <c r="C105" s="24">
        <v>1192.29</v>
      </c>
    </row>
    <row r="106" spans="1:7" x14ac:dyDescent="0.3">
      <c r="A106" s="26">
        <v>46015</v>
      </c>
      <c r="B106" s="27" t="s">
        <v>1</v>
      </c>
      <c r="C106" s="24">
        <v>52.82</v>
      </c>
    </row>
    <row r="107" spans="1:7" x14ac:dyDescent="0.3">
      <c r="A107" s="26">
        <v>46017</v>
      </c>
      <c r="B107" s="27" t="s">
        <v>4</v>
      </c>
      <c r="C107" s="24">
        <v>-847.54</v>
      </c>
    </row>
    <row r="108" spans="1:7" x14ac:dyDescent="0.3">
      <c r="A108" s="26">
        <v>46017</v>
      </c>
      <c r="B108" s="27" t="s">
        <v>1</v>
      </c>
      <c r="C108" s="24">
        <v>971.79</v>
      </c>
    </row>
    <row r="109" spans="1:7" x14ac:dyDescent="0.3">
      <c r="A109" s="26">
        <v>46020</v>
      </c>
      <c r="B109" s="27" t="s">
        <v>4</v>
      </c>
      <c r="C109" s="24">
        <v>-124.25</v>
      </c>
    </row>
    <row r="110" spans="1:7" x14ac:dyDescent="0.3">
      <c r="A110" s="26">
        <v>46021</v>
      </c>
      <c r="B110" s="27" t="s">
        <v>1</v>
      </c>
      <c r="C110" s="24">
        <f>955.97-G110</f>
        <v>881.92000000000007</v>
      </c>
      <c r="G110" s="24">
        <v>74.05</v>
      </c>
    </row>
    <row r="111" spans="1:7" x14ac:dyDescent="0.3">
      <c r="A111" s="26">
        <v>46021</v>
      </c>
      <c r="B111" s="27" t="s">
        <v>23</v>
      </c>
      <c r="G111" s="24">
        <v>-74.05</v>
      </c>
    </row>
    <row r="112" spans="1:7" x14ac:dyDescent="0.3">
      <c r="A112" s="26">
        <v>46024</v>
      </c>
      <c r="B112" s="27" t="s">
        <v>4</v>
      </c>
      <c r="C112" s="24">
        <v>-919.86</v>
      </c>
    </row>
    <row r="113" spans="1:9" x14ac:dyDescent="0.3">
      <c r="A113" s="26">
        <v>46031</v>
      </c>
      <c r="B113" s="27" t="s">
        <v>1</v>
      </c>
      <c r="C113" s="24">
        <v>1217.3599999999999</v>
      </c>
    </row>
    <row r="114" spans="1:9" x14ac:dyDescent="0.3">
      <c r="A114" s="26">
        <v>46031</v>
      </c>
      <c r="B114" s="27" t="s">
        <v>1</v>
      </c>
      <c r="C114" s="24">
        <v>10</v>
      </c>
    </row>
    <row r="115" spans="1:9" x14ac:dyDescent="0.3">
      <c r="A115" s="26">
        <v>46036</v>
      </c>
      <c r="B115" s="27" t="s">
        <v>4</v>
      </c>
      <c r="C115" s="24">
        <v>-1367.42</v>
      </c>
      <c r="I115" s="18" t="s">
        <v>122</v>
      </c>
    </row>
    <row r="116" spans="1:9" x14ac:dyDescent="0.3">
      <c r="A116" s="26">
        <v>46036</v>
      </c>
      <c r="B116" s="27" t="s">
        <v>1</v>
      </c>
      <c r="C116" s="24">
        <v>140.06</v>
      </c>
    </row>
    <row r="117" spans="1:9" x14ac:dyDescent="0.3">
      <c r="A117" s="26">
        <v>46052</v>
      </c>
      <c r="B117" s="27" t="s">
        <v>1</v>
      </c>
      <c r="C117" s="24">
        <v>27.84</v>
      </c>
      <c r="I117" s="18" t="s">
        <v>122</v>
      </c>
    </row>
    <row r="118" spans="1:9" x14ac:dyDescent="0.3">
      <c r="A118" s="26">
        <v>46056</v>
      </c>
      <c r="B118" s="27" t="s">
        <v>1</v>
      </c>
      <c r="C118" s="24">
        <v>291.68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AF70-5A50-43E0-A58D-B64C8374F350}">
  <sheetPr codeName="Hoja143"/>
  <dimension ref="A1:H42"/>
  <sheetViews>
    <sheetView view="pageBreakPreview" zoomScale="80" zoomScaleNormal="100" zoomScaleSheetLayoutView="80" workbookViewId="0">
      <selection activeCell="C43" sqref="C4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292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253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78.289999999999992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45825</v>
      </c>
      <c r="B5" s="72" t="s">
        <v>1</v>
      </c>
      <c r="C5" s="24">
        <v>10</v>
      </c>
      <c r="D5" s="30"/>
      <c r="E5" s="30"/>
      <c r="F5" s="30"/>
      <c r="G5" s="22"/>
    </row>
    <row r="6" spans="1:8" hidden="1" x14ac:dyDescent="0.3">
      <c r="A6" s="21">
        <v>45825</v>
      </c>
      <c r="B6" s="73" t="s">
        <v>1</v>
      </c>
      <c r="C6" s="24">
        <v>21.3</v>
      </c>
    </row>
    <row r="7" spans="1:8" hidden="1" x14ac:dyDescent="0.3">
      <c r="A7" s="26">
        <v>45839</v>
      </c>
      <c r="B7" s="27" t="s">
        <v>4</v>
      </c>
      <c r="C7" s="24">
        <v>-31.3</v>
      </c>
    </row>
    <row r="8" spans="1:8" hidden="1" x14ac:dyDescent="0.3">
      <c r="A8" s="26">
        <v>45839</v>
      </c>
      <c r="B8" s="72" t="s">
        <v>1</v>
      </c>
      <c r="C8" s="24">
        <v>9.6</v>
      </c>
    </row>
    <row r="9" spans="1:8" hidden="1" x14ac:dyDescent="0.3">
      <c r="A9" s="26">
        <v>45839</v>
      </c>
      <c r="B9" s="73" t="s">
        <v>1</v>
      </c>
      <c r="C9" s="24">
        <v>12.28</v>
      </c>
    </row>
    <row r="10" spans="1:8" hidden="1" x14ac:dyDescent="0.3">
      <c r="A10" s="26">
        <v>45853</v>
      </c>
      <c r="B10" s="31" t="s">
        <v>4</v>
      </c>
      <c r="C10" s="24">
        <v>-21.88</v>
      </c>
    </row>
    <row r="11" spans="1:8" hidden="1" x14ac:dyDescent="0.3">
      <c r="A11" s="26">
        <v>45853</v>
      </c>
      <c r="B11" s="73" t="s">
        <v>1</v>
      </c>
      <c r="C11" s="24">
        <v>23.33</v>
      </c>
    </row>
    <row r="12" spans="1:8" hidden="1" x14ac:dyDescent="0.3">
      <c r="A12" s="26">
        <v>45867</v>
      </c>
      <c r="B12" s="31" t="s">
        <v>4</v>
      </c>
      <c r="C12" s="24">
        <v>-23.33</v>
      </c>
    </row>
    <row r="13" spans="1:8" hidden="1" x14ac:dyDescent="0.3">
      <c r="A13" s="26">
        <v>45867</v>
      </c>
      <c r="B13" s="72" t="s">
        <v>1</v>
      </c>
      <c r="C13" s="24">
        <v>9.6</v>
      </c>
    </row>
    <row r="14" spans="1:8" hidden="1" x14ac:dyDescent="0.3">
      <c r="A14" s="26">
        <v>45867</v>
      </c>
      <c r="B14" s="73" t="s">
        <v>1</v>
      </c>
      <c r="C14" s="24">
        <v>19.86</v>
      </c>
    </row>
    <row r="15" spans="1:8" hidden="1" x14ac:dyDescent="0.3">
      <c r="A15" s="26">
        <v>45888</v>
      </c>
      <c r="B15" s="27" t="s">
        <v>4</v>
      </c>
      <c r="C15" s="24">
        <v>-29.46</v>
      </c>
    </row>
    <row r="16" spans="1:8" hidden="1" x14ac:dyDescent="0.3">
      <c r="A16" s="26">
        <v>45888</v>
      </c>
      <c r="B16" s="72" t="s">
        <v>1</v>
      </c>
      <c r="C16" s="24">
        <v>15.85</v>
      </c>
    </row>
    <row r="17" spans="1:3" hidden="1" x14ac:dyDescent="0.3">
      <c r="A17" s="26">
        <v>45888</v>
      </c>
      <c r="B17" s="73" t="s">
        <v>1</v>
      </c>
      <c r="C17" s="24">
        <v>15.22</v>
      </c>
    </row>
    <row r="18" spans="1:3" hidden="1" x14ac:dyDescent="0.3">
      <c r="A18" s="26">
        <v>45903</v>
      </c>
      <c r="B18" s="27" t="s">
        <v>4</v>
      </c>
      <c r="C18" s="24">
        <v>-30.8</v>
      </c>
    </row>
    <row r="19" spans="1:3" hidden="1" x14ac:dyDescent="0.3">
      <c r="A19" s="26">
        <v>45902</v>
      </c>
      <c r="B19" s="72" t="s">
        <v>1</v>
      </c>
      <c r="C19" s="24">
        <v>14.1</v>
      </c>
    </row>
    <row r="20" spans="1:3" hidden="1" x14ac:dyDescent="0.3">
      <c r="A20" s="26">
        <v>45902</v>
      </c>
      <c r="B20" s="73" t="s">
        <v>1</v>
      </c>
      <c r="C20" s="24">
        <v>20.46</v>
      </c>
    </row>
    <row r="21" spans="1:3" hidden="1" x14ac:dyDescent="0.3">
      <c r="A21" s="26">
        <v>45916</v>
      </c>
      <c r="B21" s="27" t="s">
        <v>4</v>
      </c>
      <c r="C21" s="24">
        <v>-34.56</v>
      </c>
    </row>
    <row r="22" spans="1:3" hidden="1" x14ac:dyDescent="0.3">
      <c r="A22" s="26">
        <v>45923</v>
      </c>
      <c r="B22" s="72" t="s">
        <v>1</v>
      </c>
      <c r="C22" s="24">
        <v>4.5</v>
      </c>
    </row>
    <row r="23" spans="1:3" hidden="1" x14ac:dyDescent="0.3">
      <c r="A23" s="26">
        <v>45923</v>
      </c>
      <c r="B23" s="73" t="s">
        <v>1</v>
      </c>
      <c r="C23" s="24">
        <v>12.5</v>
      </c>
    </row>
    <row r="24" spans="1:3" hidden="1" x14ac:dyDescent="0.3">
      <c r="A24" s="26">
        <v>45938</v>
      </c>
      <c r="B24" s="27" t="s">
        <v>4</v>
      </c>
      <c r="C24" s="24">
        <v>-16.82</v>
      </c>
    </row>
    <row r="25" spans="1:3" hidden="1" x14ac:dyDescent="0.3">
      <c r="A25" s="26">
        <v>45937</v>
      </c>
      <c r="B25" s="73" t="s">
        <v>1</v>
      </c>
      <c r="C25" s="24">
        <v>10.1</v>
      </c>
    </row>
    <row r="26" spans="1:3" hidden="1" x14ac:dyDescent="0.3">
      <c r="A26" s="26">
        <v>45951</v>
      </c>
      <c r="B26" s="27" t="s">
        <v>4</v>
      </c>
      <c r="C26" s="24">
        <v>-10.55</v>
      </c>
    </row>
    <row r="27" spans="1:3" hidden="1" x14ac:dyDescent="0.3">
      <c r="A27" s="26">
        <v>45951</v>
      </c>
      <c r="B27" s="72" t="s">
        <v>1</v>
      </c>
      <c r="C27" s="24">
        <v>9.6</v>
      </c>
    </row>
    <row r="28" spans="1:3" hidden="1" x14ac:dyDescent="0.3">
      <c r="A28" s="26">
        <v>45951</v>
      </c>
      <c r="B28" s="73" t="s">
        <v>1</v>
      </c>
      <c r="C28" s="24">
        <v>11.45</v>
      </c>
    </row>
    <row r="29" spans="1:3" hidden="1" x14ac:dyDescent="0.3">
      <c r="A29" s="26">
        <v>45965</v>
      </c>
      <c r="B29" s="72" t="s">
        <v>1</v>
      </c>
      <c r="C29" s="24">
        <v>20.88</v>
      </c>
    </row>
    <row r="30" spans="1:3" hidden="1" x14ac:dyDescent="0.3">
      <c r="A30" s="26">
        <v>45965</v>
      </c>
      <c r="B30" s="73" t="s">
        <v>1</v>
      </c>
      <c r="C30" s="24">
        <v>7.62</v>
      </c>
    </row>
    <row r="31" spans="1:3" hidden="1" x14ac:dyDescent="0.3">
      <c r="A31" s="26">
        <v>45972</v>
      </c>
      <c r="B31" s="27" t="s">
        <v>4</v>
      </c>
      <c r="C31" s="24">
        <v>-21.05</v>
      </c>
    </row>
    <row r="32" spans="1:3" hidden="1" x14ac:dyDescent="0.3">
      <c r="A32" s="26">
        <v>45979</v>
      </c>
      <c r="B32" s="27" t="s">
        <v>1</v>
      </c>
      <c r="C32" s="24">
        <v>27.23</v>
      </c>
    </row>
    <row r="33" spans="1:3" hidden="1" x14ac:dyDescent="0.3">
      <c r="A33" s="26">
        <v>45987</v>
      </c>
      <c r="B33" s="27" t="s">
        <v>4</v>
      </c>
      <c r="C33" s="24">
        <v>-28.5</v>
      </c>
    </row>
    <row r="34" spans="1:3" hidden="1" x14ac:dyDescent="0.3">
      <c r="A34" s="26">
        <v>45993</v>
      </c>
      <c r="B34" s="27" t="s">
        <v>4</v>
      </c>
      <c r="C34" s="24">
        <v>-27.23</v>
      </c>
    </row>
    <row r="35" spans="1:3" x14ac:dyDescent="0.3">
      <c r="A35" s="26">
        <v>45993</v>
      </c>
      <c r="B35" s="27" t="s">
        <v>1</v>
      </c>
      <c r="C35" s="24">
        <v>21.56</v>
      </c>
    </row>
    <row r="36" spans="1:3" x14ac:dyDescent="0.3">
      <c r="A36" s="26">
        <v>46007</v>
      </c>
      <c r="B36" s="27" t="s">
        <v>4</v>
      </c>
      <c r="C36" s="24">
        <v>-21.56</v>
      </c>
    </row>
    <row r="37" spans="1:3" x14ac:dyDescent="0.3">
      <c r="A37" s="26">
        <v>46007</v>
      </c>
      <c r="B37" s="27" t="s">
        <v>1</v>
      </c>
      <c r="C37" s="24">
        <v>34.54</v>
      </c>
    </row>
    <row r="38" spans="1:3" x14ac:dyDescent="0.3">
      <c r="A38" s="26">
        <v>46031</v>
      </c>
      <c r="B38" s="27" t="s">
        <v>1</v>
      </c>
      <c r="C38" s="24">
        <v>31.41</v>
      </c>
    </row>
    <row r="39" spans="1:3" x14ac:dyDescent="0.3">
      <c r="A39" s="26">
        <v>46029</v>
      </c>
      <c r="B39" s="27" t="s">
        <v>4</v>
      </c>
      <c r="C39" s="24">
        <v>-34.54</v>
      </c>
    </row>
    <row r="40" spans="1:3" x14ac:dyDescent="0.3">
      <c r="A40" s="26">
        <v>46042</v>
      </c>
      <c r="B40" s="27" t="s">
        <v>4</v>
      </c>
      <c r="C40" s="24">
        <v>-31.41</v>
      </c>
    </row>
    <row r="41" spans="1:3" x14ac:dyDescent="0.3">
      <c r="A41" s="26">
        <v>46042</v>
      </c>
      <c r="B41" s="27" t="s">
        <v>1</v>
      </c>
      <c r="C41" s="24">
        <v>48.42</v>
      </c>
    </row>
    <row r="42" spans="1:3" x14ac:dyDescent="0.3">
      <c r="A42" s="26">
        <v>46056</v>
      </c>
      <c r="B42" s="27" t="s">
        <v>1</v>
      </c>
      <c r="C42" s="24">
        <v>29.87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2C67F-6C21-40B7-9BB1-0199F61F18EF}">
  <dimension ref="A1:H86"/>
  <sheetViews>
    <sheetView view="pageBreakPreview" zoomScale="85" zoomScaleNormal="100" zoomScaleSheetLayoutView="85" workbookViewId="0">
      <selection activeCell="C79" sqref="C7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336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337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45845</v>
      </c>
      <c r="B5" s="27" t="s">
        <v>4</v>
      </c>
      <c r="C5" s="24">
        <v>-204.65</v>
      </c>
      <c r="D5" s="30"/>
      <c r="E5" s="30"/>
      <c r="F5" s="30"/>
      <c r="G5" s="22"/>
    </row>
    <row r="6" spans="1:8" hidden="1" x14ac:dyDescent="0.3">
      <c r="A6" s="21">
        <v>45845</v>
      </c>
      <c r="B6" s="27" t="s">
        <v>4</v>
      </c>
      <c r="C6" s="24">
        <v>-204.65</v>
      </c>
    </row>
    <row r="7" spans="1:8" hidden="1" x14ac:dyDescent="0.3">
      <c r="A7" s="21">
        <v>45842</v>
      </c>
      <c r="B7" s="27" t="s">
        <v>21</v>
      </c>
      <c r="C7" s="24">
        <v>61.2</v>
      </c>
    </row>
    <row r="8" spans="1:8" hidden="1" x14ac:dyDescent="0.3">
      <c r="A8" s="21">
        <v>45842</v>
      </c>
      <c r="B8" s="32" t="s">
        <v>1</v>
      </c>
      <c r="C8" s="24">
        <v>55.69</v>
      </c>
    </row>
    <row r="9" spans="1:8" hidden="1" x14ac:dyDescent="0.3">
      <c r="A9" s="21">
        <v>45842</v>
      </c>
      <c r="B9" s="34" t="s">
        <v>1</v>
      </c>
      <c r="C9" s="24">
        <v>269.01</v>
      </c>
    </row>
    <row r="10" spans="1:8" hidden="1" x14ac:dyDescent="0.3">
      <c r="A10" s="21">
        <v>45842</v>
      </c>
      <c r="B10" s="45" t="s">
        <v>1</v>
      </c>
      <c r="C10" s="24">
        <v>23.4</v>
      </c>
    </row>
    <row r="11" spans="1:8" hidden="1" x14ac:dyDescent="0.3">
      <c r="A11" s="26">
        <v>45868</v>
      </c>
      <c r="B11" s="27" t="s">
        <v>1</v>
      </c>
      <c r="C11" s="24">
        <v>20.8</v>
      </c>
    </row>
    <row r="12" spans="1:8" hidden="1" x14ac:dyDescent="0.3">
      <c r="A12" s="26">
        <v>45868</v>
      </c>
      <c r="B12" s="32" t="s">
        <v>1</v>
      </c>
      <c r="C12" s="24">
        <v>15.85</v>
      </c>
    </row>
    <row r="13" spans="1:8" hidden="1" x14ac:dyDescent="0.3">
      <c r="A13" s="26">
        <v>45868</v>
      </c>
      <c r="B13" s="45" t="s">
        <v>1</v>
      </c>
      <c r="C13" s="24">
        <v>9.9</v>
      </c>
    </row>
    <row r="14" spans="1:8" hidden="1" x14ac:dyDescent="0.3">
      <c r="A14" s="26">
        <v>45875</v>
      </c>
      <c r="B14" s="27" t="s">
        <v>7</v>
      </c>
      <c r="C14" s="24">
        <v>-46.58</v>
      </c>
    </row>
    <row r="15" spans="1:8" hidden="1" x14ac:dyDescent="0.3">
      <c r="A15" s="26">
        <v>45875</v>
      </c>
      <c r="B15" s="27" t="s">
        <v>1</v>
      </c>
      <c r="C15" s="24">
        <v>41.6</v>
      </c>
    </row>
    <row r="16" spans="1:8" hidden="1" x14ac:dyDescent="0.3">
      <c r="A16" s="26">
        <v>45875</v>
      </c>
      <c r="B16" s="34" t="s">
        <v>1</v>
      </c>
      <c r="C16" s="24">
        <v>19.8</v>
      </c>
    </row>
    <row r="17" spans="1:3" hidden="1" x14ac:dyDescent="0.3">
      <c r="A17" s="26">
        <v>45882</v>
      </c>
      <c r="B17" s="27" t="s">
        <v>7</v>
      </c>
      <c r="C17" s="24">
        <v>-61.38</v>
      </c>
    </row>
    <row r="18" spans="1:3" hidden="1" x14ac:dyDescent="0.3">
      <c r="A18" s="26">
        <v>45882</v>
      </c>
      <c r="B18" s="27" t="s">
        <v>1</v>
      </c>
      <c r="C18" s="24">
        <v>20.8</v>
      </c>
    </row>
    <row r="19" spans="1:3" hidden="1" x14ac:dyDescent="0.3">
      <c r="A19" s="26">
        <v>45882</v>
      </c>
      <c r="B19" s="32" t="s">
        <v>1</v>
      </c>
      <c r="C19" s="24">
        <v>15.85</v>
      </c>
    </row>
    <row r="20" spans="1:3" hidden="1" x14ac:dyDescent="0.3">
      <c r="A20" s="26">
        <v>45889</v>
      </c>
      <c r="B20" s="27" t="s">
        <v>4</v>
      </c>
      <c r="C20" s="24">
        <v>-36.64</v>
      </c>
    </row>
    <row r="21" spans="1:3" hidden="1" x14ac:dyDescent="0.3">
      <c r="A21" s="26">
        <v>45889</v>
      </c>
      <c r="B21" s="34" t="s">
        <v>1</v>
      </c>
      <c r="C21" s="24">
        <v>19.8</v>
      </c>
    </row>
    <row r="22" spans="1:3" hidden="1" x14ac:dyDescent="0.3">
      <c r="A22" s="26">
        <v>45889</v>
      </c>
      <c r="B22" s="45" t="s">
        <v>1</v>
      </c>
      <c r="C22" s="24">
        <v>9.9</v>
      </c>
    </row>
    <row r="23" spans="1:3" hidden="1" x14ac:dyDescent="0.3">
      <c r="A23" s="26">
        <v>45890</v>
      </c>
      <c r="B23" s="27" t="s">
        <v>4</v>
      </c>
      <c r="C23" s="24">
        <v>-29.7</v>
      </c>
    </row>
    <row r="24" spans="1:3" hidden="1" x14ac:dyDescent="0.3">
      <c r="A24" s="26">
        <v>45897</v>
      </c>
      <c r="B24" s="27" t="s">
        <v>4</v>
      </c>
      <c r="C24" s="24">
        <v>-68.13</v>
      </c>
    </row>
    <row r="25" spans="1:3" hidden="1" x14ac:dyDescent="0.3">
      <c r="A25" s="26">
        <v>45897</v>
      </c>
      <c r="B25" s="27" t="s">
        <v>1</v>
      </c>
      <c r="C25" s="24">
        <v>20.8</v>
      </c>
    </row>
    <row r="26" spans="1:3" hidden="1" x14ac:dyDescent="0.3">
      <c r="A26" s="26">
        <v>45897</v>
      </c>
      <c r="B26" s="32" t="s">
        <v>1</v>
      </c>
      <c r="C26" s="24">
        <v>15.85</v>
      </c>
    </row>
    <row r="27" spans="1:3" hidden="1" x14ac:dyDescent="0.3">
      <c r="A27" s="26">
        <v>45897</v>
      </c>
      <c r="B27" s="34" t="s">
        <v>1</v>
      </c>
      <c r="C27" s="24">
        <v>19.8</v>
      </c>
    </row>
    <row r="28" spans="1:3" hidden="1" x14ac:dyDescent="0.3">
      <c r="A28" s="26">
        <v>45897</v>
      </c>
      <c r="B28" s="45" t="s">
        <v>1</v>
      </c>
      <c r="C28" s="24">
        <v>11.68</v>
      </c>
    </row>
    <row r="29" spans="1:3" hidden="1" x14ac:dyDescent="0.3">
      <c r="A29" s="26">
        <v>45903</v>
      </c>
      <c r="B29" s="27" t="s">
        <v>4</v>
      </c>
      <c r="C29" s="24">
        <v>-50.44</v>
      </c>
    </row>
    <row r="30" spans="1:3" hidden="1" x14ac:dyDescent="0.3">
      <c r="A30" s="26">
        <v>45903</v>
      </c>
      <c r="B30" s="27" t="s">
        <v>1</v>
      </c>
      <c r="C30" s="24">
        <v>20.8</v>
      </c>
    </row>
    <row r="31" spans="1:3" hidden="1" x14ac:dyDescent="0.3">
      <c r="A31" s="26">
        <v>45903</v>
      </c>
      <c r="B31" s="32" t="s">
        <v>1</v>
      </c>
      <c r="C31" s="24">
        <v>9.84</v>
      </c>
    </row>
    <row r="32" spans="1:3" hidden="1" x14ac:dyDescent="0.3">
      <c r="A32" s="26">
        <v>45903</v>
      </c>
      <c r="B32" s="34" t="s">
        <v>1</v>
      </c>
      <c r="C32" s="24">
        <v>19.8</v>
      </c>
    </row>
    <row r="33" spans="1:3" hidden="1" x14ac:dyDescent="0.3">
      <c r="A33" s="26">
        <v>45910</v>
      </c>
      <c r="B33" s="27" t="s">
        <v>4</v>
      </c>
      <c r="C33" s="24">
        <v>-56.45</v>
      </c>
    </row>
    <row r="34" spans="1:3" hidden="1" x14ac:dyDescent="0.3">
      <c r="A34" s="26">
        <v>45910</v>
      </c>
      <c r="B34" s="27" t="s">
        <v>1</v>
      </c>
      <c r="C34" s="24">
        <v>20.8</v>
      </c>
    </row>
    <row r="35" spans="1:3" hidden="1" x14ac:dyDescent="0.3">
      <c r="A35" s="26">
        <v>45910</v>
      </c>
      <c r="B35" s="32" t="s">
        <v>1</v>
      </c>
      <c r="C35" s="24">
        <v>15.85</v>
      </c>
    </row>
    <row r="36" spans="1:3" hidden="1" x14ac:dyDescent="0.3">
      <c r="A36" s="26">
        <v>45910</v>
      </c>
      <c r="B36" s="34" t="s">
        <v>1</v>
      </c>
      <c r="C36" s="24">
        <v>19.8</v>
      </c>
    </row>
    <row r="37" spans="1:3" hidden="1" x14ac:dyDescent="0.3">
      <c r="A37" s="26">
        <v>45918</v>
      </c>
      <c r="B37" s="27" t="s">
        <v>4</v>
      </c>
      <c r="C37" s="24">
        <v>-85.91</v>
      </c>
    </row>
    <row r="38" spans="1:3" hidden="1" x14ac:dyDescent="0.3">
      <c r="A38" s="26">
        <v>45918</v>
      </c>
      <c r="B38" s="27" t="s">
        <v>1</v>
      </c>
      <c r="C38" s="24">
        <v>20.8</v>
      </c>
    </row>
    <row r="39" spans="1:3" hidden="1" x14ac:dyDescent="0.3">
      <c r="A39" s="26">
        <v>45918</v>
      </c>
      <c r="B39" s="32" t="s">
        <v>1</v>
      </c>
      <c r="C39" s="24">
        <v>25.69</v>
      </c>
    </row>
    <row r="40" spans="1:3" hidden="1" x14ac:dyDescent="0.3">
      <c r="A40" s="26">
        <v>45918</v>
      </c>
      <c r="B40" s="34" t="s">
        <v>1</v>
      </c>
      <c r="C40" s="24">
        <v>19.8</v>
      </c>
    </row>
    <row r="41" spans="1:3" hidden="1" x14ac:dyDescent="0.3">
      <c r="A41" s="26">
        <v>45918</v>
      </c>
      <c r="B41" s="45" t="s">
        <v>1</v>
      </c>
      <c r="C41" s="24">
        <v>19.62</v>
      </c>
    </row>
    <row r="42" spans="1:3" hidden="1" x14ac:dyDescent="0.3">
      <c r="A42" s="26">
        <v>45924</v>
      </c>
      <c r="B42" s="27" t="s">
        <v>4</v>
      </c>
      <c r="C42" s="24">
        <v>-58.18</v>
      </c>
    </row>
    <row r="43" spans="1:3" hidden="1" x14ac:dyDescent="0.3">
      <c r="A43" s="26">
        <v>45924</v>
      </c>
      <c r="B43" s="27" t="s">
        <v>1</v>
      </c>
      <c r="C43" s="24">
        <v>20.8</v>
      </c>
    </row>
    <row r="44" spans="1:3" hidden="1" x14ac:dyDescent="0.3">
      <c r="A44" s="26">
        <v>45924</v>
      </c>
      <c r="B44" s="34" t="s">
        <v>1</v>
      </c>
      <c r="C44" s="24">
        <v>37.380000000000003</v>
      </c>
    </row>
    <row r="45" spans="1:3" hidden="1" x14ac:dyDescent="0.3">
      <c r="A45" s="26">
        <v>45938</v>
      </c>
      <c r="B45" s="27" t="s">
        <v>1</v>
      </c>
      <c r="C45" s="24">
        <v>46</v>
      </c>
    </row>
    <row r="46" spans="1:3" hidden="1" x14ac:dyDescent="0.3">
      <c r="A46" s="26">
        <v>45938</v>
      </c>
      <c r="B46" s="32" t="s">
        <v>1</v>
      </c>
      <c r="C46" s="24">
        <v>9.84</v>
      </c>
    </row>
    <row r="47" spans="1:3" hidden="1" x14ac:dyDescent="0.3">
      <c r="A47" s="26">
        <v>45939</v>
      </c>
      <c r="B47" s="27" t="s">
        <v>4</v>
      </c>
      <c r="C47" s="24">
        <v>-55.84</v>
      </c>
    </row>
    <row r="48" spans="1:3" hidden="1" x14ac:dyDescent="0.3">
      <c r="A48" s="26">
        <v>45952</v>
      </c>
      <c r="B48" s="27" t="s">
        <v>4</v>
      </c>
      <c r="C48" s="24">
        <v>-91.82</v>
      </c>
    </row>
    <row r="49" spans="1:3" hidden="1" x14ac:dyDescent="0.3">
      <c r="A49" s="26">
        <v>45952</v>
      </c>
      <c r="B49" s="27" t="s">
        <v>1</v>
      </c>
      <c r="C49" s="24">
        <v>23</v>
      </c>
    </row>
    <row r="50" spans="1:3" hidden="1" x14ac:dyDescent="0.3">
      <c r="A50" s="26">
        <v>45952</v>
      </c>
      <c r="B50" s="34" t="s">
        <v>1</v>
      </c>
      <c r="C50" s="24">
        <v>49.2</v>
      </c>
    </row>
    <row r="51" spans="1:3" hidden="1" x14ac:dyDescent="0.3">
      <c r="A51" s="26">
        <v>45952</v>
      </c>
      <c r="B51" s="45" t="s">
        <v>1</v>
      </c>
      <c r="C51" s="24">
        <v>19.62</v>
      </c>
    </row>
    <row r="52" spans="1:3" hidden="1" x14ac:dyDescent="0.3">
      <c r="A52" s="26">
        <v>45959</v>
      </c>
      <c r="B52" s="27" t="s">
        <v>4</v>
      </c>
      <c r="C52" s="24">
        <v>-70.319999999999993</v>
      </c>
    </row>
    <row r="53" spans="1:3" hidden="1" x14ac:dyDescent="0.3">
      <c r="A53" s="26">
        <v>45959</v>
      </c>
      <c r="B53" s="27" t="s">
        <v>1</v>
      </c>
      <c r="C53" s="24">
        <v>23</v>
      </c>
    </row>
    <row r="54" spans="1:3" hidden="1" x14ac:dyDescent="0.3">
      <c r="A54" s="26">
        <v>45959</v>
      </c>
      <c r="B54" s="32" t="s">
        <v>1</v>
      </c>
      <c r="C54" s="24">
        <v>14.44</v>
      </c>
    </row>
    <row r="55" spans="1:3" hidden="1" x14ac:dyDescent="0.3">
      <c r="A55" s="26">
        <v>45959</v>
      </c>
      <c r="B55" s="34" t="s">
        <v>1</v>
      </c>
      <c r="C55" s="24">
        <v>32.880000000000003</v>
      </c>
    </row>
    <row r="56" spans="1:3" hidden="1" x14ac:dyDescent="0.3">
      <c r="A56" s="26">
        <v>45966</v>
      </c>
      <c r="B56" s="27" t="s">
        <v>1</v>
      </c>
      <c r="C56" s="24">
        <v>46</v>
      </c>
    </row>
    <row r="57" spans="1:3" hidden="1" x14ac:dyDescent="0.3">
      <c r="A57" s="26">
        <v>45966</v>
      </c>
      <c r="B57" s="32" t="s">
        <v>1</v>
      </c>
      <c r="C57" s="24">
        <v>16.38</v>
      </c>
    </row>
    <row r="58" spans="1:3" hidden="1" x14ac:dyDescent="0.3">
      <c r="A58" s="26">
        <v>45968</v>
      </c>
      <c r="B58" s="27" t="s">
        <v>4</v>
      </c>
      <c r="C58" s="24">
        <v>-62.38</v>
      </c>
    </row>
    <row r="59" spans="1:3" hidden="1" x14ac:dyDescent="0.3">
      <c r="A59" s="26">
        <v>45981</v>
      </c>
      <c r="B59" s="27" t="s">
        <v>4</v>
      </c>
      <c r="C59" s="24">
        <v>-110.7</v>
      </c>
    </row>
    <row r="60" spans="1:3" hidden="1" x14ac:dyDescent="0.3">
      <c r="A60" s="26">
        <v>45980</v>
      </c>
      <c r="B60" s="27" t="s">
        <v>1</v>
      </c>
      <c r="C60" s="24">
        <v>110.7</v>
      </c>
    </row>
    <row r="61" spans="1:3" x14ac:dyDescent="0.3">
      <c r="A61" s="26">
        <v>45987</v>
      </c>
      <c r="B61" s="27" t="s">
        <v>4</v>
      </c>
      <c r="C61" s="24">
        <v>-65.92</v>
      </c>
    </row>
    <row r="62" spans="1:3" x14ac:dyDescent="0.3">
      <c r="A62" s="26">
        <v>45987</v>
      </c>
      <c r="B62" s="27" t="s">
        <v>1</v>
      </c>
      <c r="C62" s="24">
        <v>65.92</v>
      </c>
    </row>
    <row r="63" spans="1:3" x14ac:dyDescent="0.3">
      <c r="A63" s="26">
        <v>46001</v>
      </c>
      <c r="B63" s="27" t="s">
        <v>4</v>
      </c>
      <c r="C63" s="24">
        <v>-66.739999999999995</v>
      </c>
    </row>
    <row r="64" spans="1:3" x14ac:dyDescent="0.3">
      <c r="A64" s="26">
        <v>46001</v>
      </c>
      <c r="B64" s="27" t="s">
        <v>1</v>
      </c>
      <c r="C64" s="24">
        <v>66.739999999999995</v>
      </c>
    </row>
    <row r="65" spans="1:3" x14ac:dyDescent="0.3">
      <c r="A65" s="26">
        <v>46008</v>
      </c>
      <c r="B65" s="27" t="s">
        <v>1</v>
      </c>
      <c r="C65" s="24">
        <v>49.22</v>
      </c>
    </row>
    <row r="66" spans="1:3" x14ac:dyDescent="0.3">
      <c r="A66" s="26">
        <v>46010</v>
      </c>
      <c r="B66" s="27" t="s">
        <v>4</v>
      </c>
      <c r="C66" s="24">
        <v>-49.22</v>
      </c>
    </row>
    <row r="67" spans="1:3" x14ac:dyDescent="0.3">
      <c r="A67" s="26">
        <v>46014</v>
      </c>
      <c r="B67" s="27" t="s">
        <v>1</v>
      </c>
      <c r="C67" s="24">
        <v>66.64</v>
      </c>
    </row>
    <row r="68" spans="1:3" x14ac:dyDescent="0.3">
      <c r="A68" s="26">
        <v>46015</v>
      </c>
      <c r="B68" s="27" t="s">
        <v>4</v>
      </c>
      <c r="C68" s="24">
        <v>-66.64</v>
      </c>
    </row>
    <row r="69" spans="1:3" x14ac:dyDescent="0.3">
      <c r="A69" s="26">
        <v>46020</v>
      </c>
      <c r="B69" s="27" t="s">
        <v>4</v>
      </c>
      <c r="C69" s="24">
        <v>-39.380000000000003</v>
      </c>
    </row>
    <row r="70" spans="1:3" x14ac:dyDescent="0.3">
      <c r="A70" s="26">
        <v>46020</v>
      </c>
      <c r="B70" s="27" t="s">
        <v>1</v>
      </c>
      <c r="C70" s="24">
        <v>39.380000000000003</v>
      </c>
    </row>
    <row r="71" spans="1:3" x14ac:dyDescent="0.3">
      <c r="A71" s="26">
        <v>46029</v>
      </c>
      <c r="B71" s="27" t="s">
        <v>1</v>
      </c>
      <c r="C71" s="24">
        <v>42.35</v>
      </c>
    </row>
    <row r="72" spans="1:3" x14ac:dyDescent="0.3">
      <c r="A72" s="26">
        <v>46030</v>
      </c>
      <c r="B72" s="27" t="s">
        <v>4</v>
      </c>
      <c r="C72" s="24">
        <v>-42.35</v>
      </c>
    </row>
    <row r="73" spans="1:3" x14ac:dyDescent="0.3">
      <c r="A73" s="26">
        <v>46036</v>
      </c>
      <c r="B73" s="27" t="s">
        <v>1</v>
      </c>
      <c r="C73" s="24">
        <v>47.15</v>
      </c>
    </row>
    <row r="74" spans="1:3" x14ac:dyDescent="0.3">
      <c r="A74" s="26">
        <v>46038</v>
      </c>
      <c r="B74" s="27" t="s">
        <v>4</v>
      </c>
      <c r="C74" s="24">
        <v>-47.15</v>
      </c>
    </row>
    <row r="75" spans="1:3" x14ac:dyDescent="0.3">
      <c r="A75" s="26">
        <v>46043</v>
      </c>
      <c r="B75" s="27" t="s">
        <v>4</v>
      </c>
      <c r="C75" s="24">
        <v>-84.84</v>
      </c>
    </row>
    <row r="76" spans="1:3" x14ac:dyDescent="0.3">
      <c r="A76" s="26">
        <v>46043</v>
      </c>
      <c r="B76" s="27" t="s">
        <v>1</v>
      </c>
      <c r="C76" s="24">
        <v>84.84</v>
      </c>
    </row>
    <row r="77" spans="1:3" x14ac:dyDescent="0.3">
      <c r="A77" s="26">
        <v>46050</v>
      </c>
      <c r="B77" s="27" t="s">
        <v>1</v>
      </c>
      <c r="C77" s="24">
        <v>36.119999999999997</v>
      </c>
    </row>
    <row r="78" spans="1:3" x14ac:dyDescent="0.3">
      <c r="A78" s="26">
        <v>46055</v>
      </c>
      <c r="B78" s="27" t="s">
        <v>4</v>
      </c>
      <c r="C78" s="24">
        <v>-36.119999999999997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594CD-8CAD-44DA-8E05-F9847E56C38E}">
  <dimension ref="A1:H86"/>
  <sheetViews>
    <sheetView view="pageBreakPreview" zoomScale="80" zoomScaleNormal="100" zoomScaleSheetLayoutView="80" workbookViewId="0">
      <selection activeCell="C36" sqref="C3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312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147.59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45834</v>
      </c>
      <c r="B5" s="27" t="s">
        <v>21</v>
      </c>
      <c r="C5" s="24">
        <v>122.4</v>
      </c>
      <c r="D5" s="30"/>
      <c r="E5" s="30"/>
      <c r="F5" s="30"/>
      <c r="G5" s="22"/>
    </row>
    <row r="6" spans="1:8" hidden="1" x14ac:dyDescent="0.3">
      <c r="A6" s="21">
        <v>45834</v>
      </c>
      <c r="B6" s="32" t="s">
        <v>1</v>
      </c>
      <c r="C6" s="24">
        <v>15.85</v>
      </c>
    </row>
    <row r="7" spans="1:8" hidden="1" x14ac:dyDescent="0.3">
      <c r="A7" s="21">
        <v>45840</v>
      </c>
      <c r="B7" s="27" t="s">
        <v>4</v>
      </c>
      <c r="C7" s="24">
        <v>-55.26</v>
      </c>
    </row>
    <row r="8" spans="1:8" hidden="1" x14ac:dyDescent="0.3">
      <c r="A8" s="26">
        <v>45852</v>
      </c>
      <c r="B8" s="27" t="s">
        <v>4</v>
      </c>
      <c r="C8" s="24">
        <v>-50.01</v>
      </c>
    </row>
    <row r="9" spans="1:8" hidden="1" x14ac:dyDescent="0.3">
      <c r="A9" s="26">
        <v>45854</v>
      </c>
      <c r="B9" s="27" t="s">
        <v>4</v>
      </c>
      <c r="C9" s="24">
        <v>-33</v>
      </c>
    </row>
    <row r="10" spans="1:8" hidden="1" x14ac:dyDescent="0.3">
      <c r="A10" s="26">
        <v>45854</v>
      </c>
      <c r="B10" s="27" t="s">
        <v>1</v>
      </c>
      <c r="C10" s="24">
        <v>122.4</v>
      </c>
    </row>
    <row r="11" spans="1:8" hidden="1" x14ac:dyDescent="0.3">
      <c r="A11" s="26">
        <v>45854</v>
      </c>
      <c r="B11" s="32" t="s">
        <v>1</v>
      </c>
      <c r="C11" s="24">
        <v>15.85</v>
      </c>
    </row>
    <row r="12" spans="1:8" hidden="1" x14ac:dyDescent="0.3">
      <c r="A12" s="26">
        <v>45866</v>
      </c>
      <c r="B12" s="27" t="s">
        <v>4</v>
      </c>
      <c r="C12" s="24">
        <v>-50</v>
      </c>
    </row>
    <row r="13" spans="1:8" hidden="1" x14ac:dyDescent="0.3">
      <c r="A13" s="26">
        <v>45880</v>
      </c>
      <c r="B13" s="27" t="s">
        <v>4</v>
      </c>
      <c r="C13" s="24">
        <v>-50</v>
      </c>
    </row>
    <row r="14" spans="1:8" hidden="1" x14ac:dyDescent="0.3">
      <c r="A14" s="26">
        <v>45883</v>
      </c>
      <c r="B14" s="27" t="s">
        <v>4</v>
      </c>
      <c r="C14" s="24">
        <v>-38.25</v>
      </c>
    </row>
    <row r="15" spans="1:8" hidden="1" x14ac:dyDescent="0.3">
      <c r="A15" s="26">
        <v>45883</v>
      </c>
      <c r="B15" s="27" t="s">
        <v>1</v>
      </c>
      <c r="C15" s="24">
        <v>159.19999999999999</v>
      </c>
    </row>
    <row r="16" spans="1:8" hidden="1" x14ac:dyDescent="0.3">
      <c r="A16" s="26">
        <v>45883</v>
      </c>
      <c r="B16" s="32" t="s">
        <v>1</v>
      </c>
      <c r="C16" s="24">
        <v>15.85</v>
      </c>
    </row>
    <row r="17" spans="1:3" hidden="1" x14ac:dyDescent="0.3">
      <c r="A17" s="26">
        <v>45905</v>
      </c>
      <c r="B17" s="27" t="s">
        <v>4</v>
      </c>
      <c r="C17" s="24">
        <v>-99.28</v>
      </c>
    </row>
    <row r="18" spans="1:3" hidden="1" x14ac:dyDescent="0.3">
      <c r="A18" s="26">
        <v>45905</v>
      </c>
      <c r="B18" s="27" t="s">
        <v>4</v>
      </c>
      <c r="C18" s="24">
        <v>-70</v>
      </c>
    </row>
    <row r="19" spans="1:3" hidden="1" x14ac:dyDescent="0.3">
      <c r="A19" s="26">
        <v>45905</v>
      </c>
      <c r="B19" s="27" t="s">
        <v>1</v>
      </c>
      <c r="C19" s="24">
        <v>122.4</v>
      </c>
    </row>
    <row r="20" spans="1:3" hidden="1" x14ac:dyDescent="0.3">
      <c r="A20" s="26">
        <v>45905</v>
      </c>
      <c r="B20" s="32" t="s">
        <v>1</v>
      </c>
      <c r="C20" s="24">
        <v>15.85</v>
      </c>
    </row>
    <row r="21" spans="1:3" hidden="1" x14ac:dyDescent="0.3">
      <c r="A21" s="26">
        <v>45959</v>
      </c>
      <c r="B21" s="27" t="s">
        <v>4</v>
      </c>
      <c r="C21" s="24">
        <v>-115</v>
      </c>
    </row>
    <row r="22" spans="1:3" hidden="1" x14ac:dyDescent="0.3">
      <c r="A22" s="26">
        <v>45959</v>
      </c>
      <c r="B22" s="27" t="s">
        <v>4</v>
      </c>
      <c r="C22" s="24">
        <v>-20</v>
      </c>
    </row>
    <row r="23" spans="1:3" hidden="1" x14ac:dyDescent="0.3">
      <c r="A23" s="26">
        <v>45960</v>
      </c>
      <c r="B23" s="27" t="s">
        <v>4</v>
      </c>
      <c r="C23" s="24">
        <v>-6</v>
      </c>
    </row>
    <row r="24" spans="1:3" hidden="1" x14ac:dyDescent="0.3">
      <c r="A24" s="26">
        <v>45960</v>
      </c>
      <c r="B24" s="27" t="s">
        <v>4</v>
      </c>
      <c r="C24" s="24">
        <v>-3</v>
      </c>
    </row>
    <row r="25" spans="1:3" hidden="1" x14ac:dyDescent="0.3">
      <c r="A25" s="26">
        <v>45961</v>
      </c>
      <c r="B25" s="27" t="s">
        <v>1</v>
      </c>
      <c r="C25" s="24">
        <v>156.06</v>
      </c>
    </row>
    <row r="26" spans="1:3" hidden="1" x14ac:dyDescent="0.3">
      <c r="A26" s="26">
        <v>45961</v>
      </c>
      <c r="B26" s="32" t="s">
        <v>1</v>
      </c>
      <c r="C26" s="24">
        <v>16.38</v>
      </c>
    </row>
    <row r="27" spans="1:3" hidden="1" x14ac:dyDescent="0.3">
      <c r="A27" s="26">
        <v>45972</v>
      </c>
      <c r="B27" s="27" t="s">
        <v>4</v>
      </c>
      <c r="C27" s="24">
        <v>-45</v>
      </c>
    </row>
    <row r="28" spans="1:3" hidden="1" x14ac:dyDescent="0.3">
      <c r="A28" s="26">
        <v>45985</v>
      </c>
      <c r="B28" s="27" t="s">
        <v>4</v>
      </c>
      <c r="C28" s="24">
        <v>-60</v>
      </c>
    </row>
    <row r="29" spans="1:3" hidden="1" x14ac:dyDescent="0.3">
      <c r="A29" s="26">
        <v>45985</v>
      </c>
      <c r="B29" s="27" t="s">
        <v>4</v>
      </c>
      <c r="C29" s="24">
        <v>-67.44</v>
      </c>
    </row>
    <row r="30" spans="1:3" x14ac:dyDescent="0.3">
      <c r="A30" s="26">
        <v>45989</v>
      </c>
      <c r="B30" s="27" t="s">
        <v>1</v>
      </c>
      <c r="C30" s="24">
        <v>199.59</v>
      </c>
    </row>
    <row r="31" spans="1:3" x14ac:dyDescent="0.3">
      <c r="A31" s="26">
        <v>45995</v>
      </c>
      <c r="B31" s="27" t="s">
        <v>4</v>
      </c>
      <c r="C31" s="24">
        <v>-70</v>
      </c>
    </row>
    <row r="32" spans="1:3" x14ac:dyDescent="0.3">
      <c r="A32" s="26">
        <v>46002</v>
      </c>
      <c r="B32" s="27" t="s">
        <v>4</v>
      </c>
      <c r="C32" s="24">
        <v>-75</v>
      </c>
    </row>
    <row r="33" spans="1:3" x14ac:dyDescent="0.3">
      <c r="A33" s="26">
        <v>46002</v>
      </c>
      <c r="B33" s="27" t="s">
        <v>4</v>
      </c>
      <c r="C33" s="24">
        <v>-54.59</v>
      </c>
    </row>
    <row r="34" spans="1:3" x14ac:dyDescent="0.3">
      <c r="A34" s="26">
        <v>46003</v>
      </c>
      <c r="B34" s="27" t="s">
        <v>1</v>
      </c>
      <c r="C34" s="24">
        <v>222.59</v>
      </c>
    </row>
    <row r="35" spans="1:3" x14ac:dyDescent="0.3">
      <c r="A35" s="26">
        <v>46044</v>
      </c>
      <c r="B35" s="27" t="s">
        <v>4</v>
      </c>
      <c r="C35" s="24">
        <v>-75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46443-331A-4C43-A482-94601AD4DCCA}">
  <dimension ref="A1:H57"/>
  <sheetViews>
    <sheetView view="pageBreakPreview" zoomScale="80" zoomScaleNormal="100" zoomScaleSheetLayoutView="80" workbookViewId="0">
      <selection activeCell="C58" sqref="C5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437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436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1521.3400000000001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45912</v>
      </c>
      <c r="B5" s="27" t="s">
        <v>4</v>
      </c>
      <c r="C5" s="24">
        <v>-136.82</v>
      </c>
      <c r="D5" s="30"/>
      <c r="E5" s="30"/>
      <c r="F5" s="30"/>
      <c r="G5" s="22"/>
    </row>
    <row r="6" spans="1:8" hidden="1" x14ac:dyDescent="0.3">
      <c r="A6" s="21">
        <v>45912</v>
      </c>
      <c r="B6" s="35" t="s">
        <v>21</v>
      </c>
      <c r="C6" s="24">
        <v>46.7</v>
      </c>
    </row>
    <row r="7" spans="1:8" hidden="1" x14ac:dyDescent="0.3">
      <c r="A7" s="21">
        <v>45912</v>
      </c>
      <c r="B7" s="50" t="s">
        <v>21</v>
      </c>
      <c r="C7" s="24">
        <v>90.12</v>
      </c>
    </row>
    <row r="8" spans="1:8" hidden="1" x14ac:dyDescent="0.3">
      <c r="A8" s="26">
        <v>45919</v>
      </c>
      <c r="B8" s="27" t="s">
        <v>4</v>
      </c>
      <c r="C8" s="24">
        <v>-131.75</v>
      </c>
    </row>
    <row r="9" spans="1:8" hidden="1" x14ac:dyDescent="0.3">
      <c r="A9" s="26">
        <v>45919</v>
      </c>
      <c r="B9" s="35" t="s">
        <v>21</v>
      </c>
      <c r="C9" s="24">
        <v>30</v>
      </c>
    </row>
    <row r="10" spans="1:8" hidden="1" x14ac:dyDescent="0.3">
      <c r="A10" s="26">
        <v>45919</v>
      </c>
      <c r="B10" s="50" t="s">
        <v>21</v>
      </c>
      <c r="C10" s="24">
        <v>92.74</v>
      </c>
    </row>
    <row r="11" spans="1:8" hidden="1" x14ac:dyDescent="0.3">
      <c r="A11" s="26">
        <v>45919</v>
      </c>
      <c r="B11" s="45" t="s">
        <v>21</v>
      </c>
      <c r="C11" s="24">
        <v>9</v>
      </c>
    </row>
    <row r="12" spans="1:8" hidden="1" x14ac:dyDescent="0.3">
      <c r="A12" s="26">
        <v>45926</v>
      </c>
      <c r="B12" s="50" t="s">
        <v>21</v>
      </c>
      <c r="C12" s="24">
        <v>79.16</v>
      </c>
    </row>
    <row r="13" spans="1:8" hidden="1" x14ac:dyDescent="0.3">
      <c r="A13" s="26">
        <v>45926</v>
      </c>
      <c r="B13" s="27" t="s">
        <v>4</v>
      </c>
      <c r="C13" s="24">
        <v>-79.16</v>
      </c>
    </row>
    <row r="14" spans="1:8" hidden="1" x14ac:dyDescent="0.3">
      <c r="A14" s="26">
        <v>45933</v>
      </c>
      <c r="B14" s="27" t="s">
        <v>4</v>
      </c>
      <c r="C14" s="24">
        <v>-7.5</v>
      </c>
    </row>
    <row r="15" spans="1:8" hidden="1" x14ac:dyDescent="0.3">
      <c r="A15" s="26">
        <v>45940</v>
      </c>
      <c r="B15" s="27" t="s">
        <v>4</v>
      </c>
      <c r="C15" s="24">
        <v>-84.67</v>
      </c>
    </row>
    <row r="16" spans="1:8" hidden="1" x14ac:dyDescent="0.3">
      <c r="A16" s="26">
        <v>45940</v>
      </c>
      <c r="B16" s="35" t="s">
        <v>21</v>
      </c>
      <c r="C16" s="24">
        <v>30</v>
      </c>
    </row>
    <row r="17" spans="1:3" hidden="1" x14ac:dyDescent="0.3">
      <c r="A17" s="26">
        <v>45940</v>
      </c>
      <c r="B17" s="50" t="s">
        <v>21</v>
      </c>
      <c r="C17" s="24">
        <v>96.43</v>
      </c>
    </row>
    <row r="18" spans="1:3" hidden="1" x14ac:dyDescent="0.3">
      <c r="A18" s="26">
        <v>45947</v>
      </c>
      <c r="B18" s="27" t="s">
        <v>4</v>
      </c>
      <c r="C18" s="24">
        <v>-41.76</v>
      </c>
    </row>
    <row r="19" spans="1:3" hidden="1" x14ac:dyDescent="0.3">
      <c r="A19" s="26">
        <v>45947</v>
      </c>
      <c r="B19" s="27" t="s">
        <v>4</v>
      </c>
      <c r="C19" s="24">
        <v>-95.71</v>
      </c>
    </row>
    <row r="20" spans="1:3" hidden="1" x14ac:dyDescent="0.3">
      <c r="A20" s="26">
        <v>45947</v>
      </c>
      <c r="B20" s="50" t="s">
        <v>21</v>
      </c>
      <c r="C20" s="24">
        <v>210.87</v>
      </c>
    </row>
    <row r="21" spans="1:3" hidden="1" x14ac:dyDescent="0.3">
      <c r="A21" s="26">
        <v>45954</v>
      </c>
      <c r="B21" s="27" t="s">
        <v>4</v>
      </c>
      <c r="C21" s="24">
        <v>-107.65</v>
      </c>
    </row>
    <row r="22" spans="1:3" hidden="1" x14ac:dyDescent="0.3">
      <c r="A22" s="26">
        <v>45954</v>
      </c>
      <c r="B22" s="27" t="s">
        <v>4</v>
      </c>
      <c r="C22" s="24">
        <v>-161.74</v>
      </c>
    </row>
    <row r="23" spans="1:3" hidden="1" x14ac:dyDescent="0.3">
      <c r="A23" s="26">
        <v>45954</v>
      </c>
      <c r="B23" s="35" t="s">
        <v>21</v>
      </c>
      <c r="C23" s="24">
        <v>37.5</v>
      </c>
    </row>
    <row r="24" spans="1:3" hidden="1" x14ac:dyDescent="0.3">
      <c r="A24" s="26">
        <v>45954</v>
      </c>
      <c r="B24" s="50" t="s">
        <v>21</v>
      </c>
      <c r="C24" s="24">
        <v>274.25</v>
      </c>
    </row>
    <row r="25" spans="1:3" hidden="1" x14ac:dyDescent="0.3">
      <c r="A25" s="26">
        <v>45954</v>
      </c>
      <c r="B25" s="45" t="s">
        <v>21</v>
      </c>
      <c r="C25" s="24">
        <v>40.1</v>
      </c>
    </row>
    <row r="26" spans="1:3" hidden="1" x14ac:dyDescent="0.3">
      <c r="A26" s="26">
        <v>45968</v>
      </c>
      <c r="B26" s="27" t="s">
        <v>4</v>
      </c>
      <c r="C26" s="24">
        <v>-190.1</v>
      </c>
    </row>
    <row r="27" spans="1:3" hidden="1" x14ac:dyDescent="0.3">
      <c r="A27" s="26">
        <v>45968</v>
      </c>
      <c r="B27" s="35" t="s">
        <v>21</v>
      </c>
      <c r="C27" s="24">
        <v>33.4</v>
      </c>
    </row>
    <row r="28" spans="1:3" hidden="1" x14ac:dyDescent="0.3">
      <c r="A28" s="26">
        <v>45968</v>
      </c>
      <c r="B28" s="50" t="s">
        <v>21</v>
      </c>
      <c r="C28" s="24">
        <v>320.89999999999998</v>
      </c>
    </row>
    <row r="29" spans="1:3" hidden="1" x14ac:dyDescent="0.3">
      <c r="A29" s="26">
        <v>45968</v>
      </c>
      <c r="B29" s="45" t="s">
        <v>21</v>
      </c>
      <c r="C29" s="24">
        <v>8.76</v>
      </c>
    </row>
    <row r="30" spans="1:3" hidden="1" x14ac:dyDescent="0.3">
      <c r="A30" s="26">
        <v>45975</v>
      </c>
      <c r="B30" s="27" t="s">
        <v>4</v>
      </c>
      <c r="C30" s="24">
        <v>-363.07</v>
      </c>
    </row>
    <row r="31" spans="1:3" hidden="1" x14ac:dyDescent="0.3">
      <c r="A31" s="26">
        <v>45975</v>
      </c>
      <c r="B31" s="27" t="s">
        <v>1</v>
      </c>
      <c r="C31" s="24">
        <v>299.39999999999998</v>
      </c>
    </row>
    <row r="32" spans="1:3" hidden="1" x14ac:dyDescent="0.3">
      <c r="A32" s="26">
        <v>45982</v>
      </c>
      <c r="B32" s="27" t="s">
        <v>4</v>
      </c>
      <c r="C32" s="24">
        <v>-189.21</v>
      </c>
    </row>
    <row r="33" spans="1:3" hidden="1" x14ac:dyDescent="0.3">
      <c r="A33" s="26">
        <v>45982</v>
      </c>
      <c r="B33" s="27" t="s">
        <v>1</v>
      </c>
      <c r="C33" s="24">
        <v>254.84</v>
      </c>
    </row>
    <row r="34" spans="1:3" hidden="1" x14ac:dyDescent="0.3">
      <c r="A34" s="26">
        <v>45985</v>
      </c>
      <c r="B34" s="27" t="s">
        <v>4</v>
      </c>
      <c r="C34" s="24">
        <v>-108.98</v>
      </c>
    </row>
    <row r="35" spans="1:3" hidden="1" x14ac:dyDescent="0.3">
      <c r="A35" s="26">
        <v>45989</v>
      </c>
      <c r="B35" s="27" t="s">
        <v>4</v>
      </c>
      <c r="C35" s="24">
        <v>-256.05</v>
      </c>
    </row>
    <row r="36" spans="1:3" x14ac:dyDescent="0.3">
      <c r="A36" s="26">
        <v>45989</v>
      </c>
      <c r="B36" s="27" t="s">
        <v>1</v>
      </c>
      <c r="C36" s="24">
        <v>446.47</v>
      </c>
    </row>
    <row r="37" spans="1:3" x14ac:dyDescent="0.3">
      <c r="A37" s="26">
        <v>45992</v>
      </c>
      <c r="B37" s="27" t="s">
        <v>4</v>
      </c>
      <c r="C37" s="24">
        <v>-146.47</v>
      </c>
    </row>
    <row r="38" spans="1:3" x14ac:dyDescent="0.3">
      <c r="A38" s="26">
        <v>45996</v>
      </c>
      <c r="B38" s="27" t="s">
        <v>4</v>
      </c>
      <c r="C38" s="24">
        <v>-196.18</v>
      </c>
    </row>
    <row r="39" spans="1:3" x14ac:dyDescent="0.3">
      <c r="A39" s="26">
        <v>45996</v>
      </c>
      <c r="B39" s="27" t="s">
        <v>4</v>
      </c>
      <c r="C39" s="24">
        <v>-103.82</v>
      </c>
    </row>
    <row r="40" spans="1:3" x14ac:dyDescent="0.3">
      <c r="A40" s="26">
        <v>45996</v>
      </c>
      <c r="B40" s="27" t="s">
        <v>1</v>
      </c>
      <c r="C40" s="24">
        <v>359.79</v>
      </c>
    </row>
    <row r="41" spans="1:3" x14ac:dyDescent="0.3">
      <c r="A41" s="26">
        <v>46003</v>
      </c>
      <c r="B41" s="27" t="s">
        <v>4</v>
      </c>
      <c r="C41" s="24">
        <v>-149.38999999999999</v>
      </c>
    </row>
    <row r="42" spans="1:3" x14ac:dyDescent="0.3">
      <c r="A42" s="26">
        <v>46003</v>
      </c>
      <c r="B42" s="27" t="s">
        <v>1</v>
      </c>
      <c r="C42" s="24">
        <v>423.71</v>
      </c>
    </row>
    <row r="43" spans="1:3" x14ac:dyDescent="0.3">
      <c r="A43" s="26">
        <v>46010</v>
      </c>
      <c r="B43" s="27" t="s">
        <v>4</v>
      </c>
      <c r="C43" s="24">
        <v>-297.33</v>
      </c>
    </row>
    <row r="44" spans="1:3" x14ac:dyDescent="0.3">
      <c r="A44" s="26">
        <v>46010</v>
      </c>
      <c r="B44" s="27" t="s">
        <v>1</v>
      </c>
      <c r="C44" s="24">
        <v>383.22</v>
      </c>
    </row>
    <row r="45" spans="1:3" x14ac:dyDescent="0.3">
      <c r="A45" s="26">
        <v>46020</v>
      </c>
      <c r="B45" s="27" t="s">
        <v>4</v>
      </c>
      <c r="C45" s="24">
        <v>-91.53</v>
      </c>
    </row>
    <row r="46" spans="1:3" x14ac:dyDescent="0.3">
      <c r="A46" s="26">
        <v>46024</v>
      </c>
      <c r="B46" s="27" t="s">
        <v>4</v>
      </c>
      <c r="C46" s="24">
        <v>-165.91</v>
      </c>
    </row>
    <row r="47" spans="1:3" x14ac:dyDescent="0.3">
      <c r="A47" s="26">
        <v>46024</v>
      </c>
      <c r="B47" s="27" t="s">
        <v>4</v>
      </c>
      <c r="C47" s="24">
        <v>-66.36</v>
      </c>
    </row>
    <row r="48" spans="1:3" x14ac:dyDescent="0.3">
      <c r="A48" s="26">
        <v>46024</v>
      </c>
      <c r="B48" s="27" t="s">
        <v>4</v>
      </c>
      <c r="C48" s="24">
        <v>-165.91</v>
      </c>
    </row>
    <row r="49" spans="1:3" x14ac:dyDescent="0.3">
      <c r="A49" s="26">
        <v>46031</v>
      </c>
      <c r="B49" s="27" t="s">
        <v>4</v>
      </c>
      <c r="C49" s="24">
        <v>-104.49</v>
      </c>
    </row>
    <row r="50" spans="1:3" x14ac:dyDescent="0.3">
      <c r="A50" s="26">
        <v>46031</v>
      </c>
      <c r="B50" s="27" t="s">
        <v>1</v>
      </c>
      <c r="C50" s="24">
        <v>469.77</v>
      </c>
    </row>
    <row r="51" spans="1:3" x14ac:dyDescent="0.3">
      <c r="A51" s="26">
        <v>46038</v>
      </c>
      <c r="B51" s="27" t="s">
        <v>4</v>
      </c>
      <c r="C51" s="24">
        <v>-351.14</v>
      </c>
    </row>
    <row r="52" spans="1:3" x14ac:dyDescent="0.3">
      <c r="A52" s="26">
        <v>46038</v>
      </c>
      <c r="B52" s="27" t="s">
        <v>1</v>
      </c>
      <c r="C52" s="24">
        <v>410.18</v>
      </c>
    </row>
    <row r="53" spans="1:3" x14ac:dyDescent="0.3">
      <c r="A53" s="26">
        <v>46043</v>
      </c>
      <c r="B53" s="27" t="s">
        <v>4</v>
      </c>
      <c r="C53" s="24">
        <v>-143.97999999999999</v>
      </c>
    </row>
    <row r="54" spans="1:3" x14ac:dyDescent="0.3">
      <c r="A54" s="26">
        <v>46043</v>
      </c>
      <c r="B54" s="27" t="s">
        <v>4</v>
      </c>
      <c r="C54" s="24">
        <v>-97.91</v>
      </c>
    </row>
    <row r="55" spans="1:3" x14ac:dyDescent="0.3">
      <c r="A55" s="26">
        <v>46045</v>
      </c>
      <c r="B55" s="27" t="s">
        <v>4</v>
      </c>
      <c r="C55" s="24">
        <v>-412.72</v>
      </c>
    </row>
    <row r="56" spans="1:3" x14ac:dyDescent="0.3">
      <c r="A56" s="26">
        <v>46045</v>
      </c>
      <c r="B56" s="27" t="s">
        <v>1</v>
      </c>
      <c r="C56" s="24">
        <v>597.1</v>
      </c>
    </row>
    <row r="57" spans="1:3" x14ac:dyDescent="0.3">
      <c r="A57" s="26">
        <v>46052</v>
      </c>
      <c r="B57" s="27" t="s">
        <v>1</v>
      </c>
      <c r="C57" s="24">
        <v>924.24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E8873-CE4B-4593-AE35-7821CEC12F7A}">
  <sheetPr codeName="Hoja32"/>
  <dimension ref="A1:H76"/>
  <sheetViews>
    <sheetView view="pageBreakPreview" zoomScale="80" zoomScaleNormal="100" zoomScaleSheetLayoutView="80" workbookViewId="0">
      <selection activeCell="C77" sqref="C7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48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120.57999999999997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45813</v>
      </c>
      <c r="B5" s="32" t="s">
        <v>21</v>
      </c>
      <c r="C5" s="24">
        <v>12.8</v>
      </c>
      <c r="D5" s="30"/>
      <c r="E5" s="30"/>
      <c r="F5" s="30"/>
      <c r="G5" s="22"/>
    </row>
    <row r="6" spans="1:8" hidden="1" x14ac:dyDescent="0.3">
      <c r="A6" s="21">
        <v>45813</v>
      </c>
      <c r="B6" s="34" t="s">
        <v>21</v>
      </c>
      <c r="C6" s="24">
        <v>103.69</v>
      </c>
    </row>
    <row r="7" spans="1:8" hidden="1" x14ac:dyDescent="0.3">
      <c r="A7" s="26">
        <v>45819</v>
      </c>
      <c r="B7" s="27" t="s">
        <v>4</v>
      </c>
      <c r="C7" s="24">
        <v>-116.5</v>
      </c>
    </row>
    <row r="8" spans="1:8" hidden="1" x14ac:dyDescent="0.3">
      <c r="A8" s="26">
        <v>45825</v>
      </c>
      <c r="B8" s="32" t="s">
        <v>21</v>
      </c>
      <c r="C8" s="24">
        <v>23.55</v>
      </c>
    </row>
    <row r="9" spans="1:8" hidden="1" x14ac:dyDescent="0.3">
      <c r="A9" s="26">
        <v>45825</v>
      </c>
      <c r="B9" s="34" t="s">
        <v>21</v>
      </c>
      <c r="C9" s="24">
        <v>135.74</v>
      </c>
    </row>
    <row r="10" spans="1:8" hidden="1" x14ac:dyDescent="0.3">
      <c r="A10" s="26">
        <v>45825</v>
      </c>
      <c r="B10" s="46" t="s">
        <v>21</v>
      </c>
      <c r="C10" s="24">
        <v>9.6300000000000008</v>
      </c>
    </row>
    <row r="11" spans="1:8" hidden="1" x14ac:dyDescent="0.3">
      <c r="A11" s="26">
        <v>45832</v>
      </c>
      <c r="B11" s="27" t="s">
        <v>4</v>
      </c>
      <c r="C11" s="24">
        <v>-104.31</v>
      </c>
    </row>
    <row r="12" spans="1:8" hidden="1" x14ac:dyDescent="0.3">
      <c r="A12" s="26">
        <v>45832</v>
      </c>
      <c r="B12" s="27" t="s">
        <v>4</v>
      </c>
      <c r="C12" s="24">
        <v>-64.61</v>
      </c>
    </row>
    <row r="13" spans="1:8" hidden="1" x14ac:dyDescent="0.3">
      <c r="A13" s="26">
        <v>45832</v>
      </c>
      <c r="B13" s="34" t="s">
        <v>21</v>
      </c>
      <c r="C13" s="24">
        <v>96.07</v>
      </c>
    </row>
    <row r="14" spans="1:8" hidden="1" x14ac:dyDescent="0.3">
      <c r="A14" s="26">
        <v>45832</v>
      </c>
      <c r="B14" s="46" t="s">
        <v>21</v>
      </c>
      <c r="C14" s="24">
        <v>8.25</v>
      </c>
    </row>
    <row r="15" spans="1:8" hidden="1" x14ac:dyDescent="0.3">
      <c r="A15" s="26">
        <v>45839</v>
      </c>
      <c r="B15" s="27" t="s">
        <v>4</v>
      </c>
      <c r="C15" s="24">
        <v>-104.33</v>
      </c>
    </row>
    <row r="16" spans="1:8" hidden="1" x14ac:dyDescent="0.3">
      <c r="A16" s="26">
        <v>45839</v>
      </c>
      <c r="B16" s="32" t="s">
        <v>21</v>
      </c>
      <c r="C16" s="24">
        <v>9.84</v>
      </c>
    </row>
    <row r="17" spans="1:3" hidden="1" x14ac:dyDescent="0.3">
      <c r="A17" s="26">
        <v>45839</v>
      </c>
      <c r="B17" s="34" t="s">
        <v>21</v>
      </c>
      <c r="C17" s="24">
        <v>61.52</v>
      </c>
    </row>
    <row r="18" spans="1:3" hidden="1" x14ac:dyDescent="0.3">
      <c r="A18" s="26">
        <v>45846</v>
      </c>
      <c r="B18" s="27" t="s">
        <v>4</v>
      </c>
      <c r="C18" s="24">
        <v>-71.36</v>
      </c>
    </row>
    <row r="19" spans="1:3" hidden="1" x14ac:dyDescent="0.3">
      <c r="A19" s="26">
        <v>45853</v>
      </c>
      <c r="B19" s="32" t="s">
        <v>21</v>
      </c>
      <c r="C19" s="24">
        <v>10.48</v>
      </c>
    </row>
    <row r="20" spans="1:3" hidden="1" x14ac:dyDescent="0.3">
      <c r="A20" s="26">
        <v>45853</v>
      </c>
      <c r="B20" s="34" t="s">
        <v>21</v>
      </c>
      <c r="C20" s="24">
        <v>179.16</v>
      </c>
    </row>
    <row r="21" spans="1:3" hidden="1" x14ac:dyDescent="0.3">
      <c r="A21" s="26">
        <v>45853</v>
      </c>
      <c r="B21" s="46" t="s">
        <v>21</v>
      </c>
      <c r="C21" s="24">
        <v>14.58</v>
      </c>
    </row>
    <row r="22" spans="1:3" hidden="1" x14ac:dyDescent="0.3">
      <c r="A22" s="26">
        <v>45860</v>
      </c>
      <c r="B22" s="27" t="s">
        <v>4</v>
      </c>
      <c r="C22" s="24">
        <v>-116.99</v>
      </c>
    </row>
    <row r="23" spans="1:3" hidden="1" x14ac:dyDescent="0.3">
      <c r="A23" s="26">
        <v>45860</v>
      </c>
      <c r="B23" s="27" t="s">
        <v>4</v>
      </c>
      <c r="C23" s="24">
        <v>-87.24</v>
      </c>
    </row>
    <row r="24" spans="1:3" hidden="1" x14ac:dyDescent="0.3">
      <c r="A24" s="26">
        <v>45860</v>
      </c>
      <c r="B24" s="34" t="s">
        <v>21</v>
      </c>
      <c r="C24" s="24">
        <v>72.88</v>
      </c>
    </row>
    <row r="25" spans="1:3" hidden="1" x14ac:dyDescent="0.3">
      <c r="A25" s="26">
        <v>45860</v>
      </c>
      <c r="B25" s="46" t="s">
        <v>21</v>
      </c>
      <c r="C25" s="24">
        <v>9.6300000000000008</v>
      </c>
    </row>
    <row r="26" spans="1:3" hidden="1" x14ac:dyDescent="0.3">
      <c r="A26" s="26">
        <v>45868</v>
      </c>
      <c r="B26" s="27" t="s">
        <v>4</v>
      </c>
      <c r="C26" s="24">
        <v>-82.52</v>
      </c>
    </row>
    <row r="27" spans="1:3" hidden="1" x14ac:dyDescent="0.3">
      <c r="A27" s="26">
        <v>45874</v>
      </c>
      <c r="B27" s="32" t="s">
        <v>21</v>
      </c>
      <c r="C27" s="24">
        <v>15.85</v>
      </c>
    </row>
    <row r="28" spans="1:3" hidden="1" x14ac:dyDescent="0.3">
      <c r="A28" s="26">
        <v>45874</v>
      </c>
      <c r="B28" s="34" t="s">
        <v>21</v>
      </c>
      <c r="C28" s="24">
        <v>176.19</v>
      </c>
    </row>
    <row r="29" spans="1:3" hidden="1" x14ac:dyDescent="0.3">
      <c r="A29" s="26">
        <v>45881</v>
      </c>
      <c r="B29" s="32" t="s">
        <v>21</v>
      </c>
      <c r="C29" s="24">
        <v>4.5999999999999996</v>
      </c>
    </row>
    <row r="30" spans="1:3" hidden="1" x14ac:dyDescent="0.3">
      <c r="A30" s="26">
        <v>45881</v>
      </c>
      <c r="B30" s="34" t="s">
        <v>21</v>
      </c>
      <c r="C30" s="24">
        <v>25.3</v>
      </c>
    </row>
    <row r="31" spans="1:3" hidden="1" x14ac:dyDescent="0.3">
      <c r="A31" s="26">
        <v>45881</v>
      </c>
      <c r="B31" s="46" t="s">
        <v>21</v>
      </c>
      <c r="C31" s="24">
        <v>14.58</v>
      </c>
    </row>
    <row r="32" spans="1:3" hidden="1" x14ac:dyDescent="0.3">
      <c r="A32" s="26">
        <v>45882</v>
      </c>
      <c r="B32" s="27" t="s">
        <v>4</v>
      </c>
      <c r="C32" s="24">
        <v>-192.05</v>
      </c>
    </row>
    <row r="33" spans="1:3" hidden="1" x14ac:dyDescent="0.3">
      <c r="A33" s="26">
        <v>45888</v>
      </c>
      <c r="B33" s="27" t="s">
        <v>4</v>
      </c>
      <c r="C33" s="24">
        <v>-44.49</v>
      </c>
    </row>
    <row r="34" spans="1:3" hidden="1" x14ac:dyDescent="0.3">
      <c r="A34" s="26">
        <v>45888</v>
      </c>
      <c r="B34" s="32" t="s">
        <v>21</v>
      </c>
      <c r="C34" s="24">
        <v>15</v>
      </c>
    </row>
    <row r="35" spans="1:3" hidden="1" x14ac:dyDescent="0.3">
      <c r="A35" s="26">
        <v>45888</v>
      </c>
      <c r="B35" s="34" t="s">
        <v>21</v>
      </c>
      <c r="C35" s="24">
        <v>40.07</v>
      </c>
    </row>
    <row r="36" spans="1:3" hidden="1" x14ac:dyDescent="0.3">
      <c r="A36" s="26">
        <v>45888</v>
      </c>
      <c r="B36" s="46" t="s">
        <v>21</v>
      </c>
      <c r="C36" s="24">
        <v>8.25</v>
      </c>
    </row>
    <row r="37" spans="1:3" hidden="1" x14ac:dyDescent="0.3">
      <c r="A37" s="26">
        <v>45895</v>
      </c>
      <c r="B37" s="27" t="s">
        <v>4</v>
      </c>
      <c r="C37" s="24">
        <v>-63.37</v>
      </c>
    </row>
    <row r="38" spans="1:3" hidden="1" x14ac:dyDescent="0.3">
      <c r="A38" s="26">
        <v>45895</v>
      </c>
      <c r="B38" s="34" t="s">
        <v>21</v>
      </c>
      <c r="C38" s="24">
        <v>117.35</v>
      </c>
    </row>
    <row r="39" spans="1:3" hidden="1" x14ac:dyDescent="0.3">
      <c r="A39" s="26">
        <v>45902</v>
      </c>
      <c r="B39" s="34" t="s">
        <v>21</v>
      </c>
      <c r="C39" s="24">
        <v>18.079999999999998</v>
      </c>
    </row>
    <row r="40" spans="1:3" hidden="1" x14ac:dyDescent="0.3">
      <c r="A40" s="26">
        <v>45902</v>
      </c>
      <c r="B40" s="46" t="s">
        <v>21</v>
      </c>
      <c r="C40" s="24">
        <v>5.84</v>
      </c>
    </row>
    <row r="41" spans="1:3" hidden="1" x14ac:dyDescent="0.3">
      <c r="A41" s="26">
        <v>45903</v>
      </c>
      <c r="B41" s="27" t="s">
        <v>4</v>
      </c>
      <c r="C41" s="24">
        <v>-117.51</v>
      </c>
    </row>
    <row r="42" spans="1:3" hidden="1" x14ac:dyDescent="0.3">
      <c r="A42" s="26">
        <v>45909</v>
      </c>
      <c r="B42" s="27" t="s">
        <v>4</v>
      </c>
      <c r="C42" s="24">
        <v>-23.93</v>
      </c>
    </row>
    <row r="43" spans="1:3" hidden="1" x14ac:dyDescent="0.3">
      <c r="A43" s="26">
        <v>45909</v>
      </c>
      <c r="B43" s="32" t="s">
        <v>21</v>
      </c>
      <c r="C43" s="24">
        <v>15</v>
      </c>
    </row>
    <row r="44" spans="1:3" hidden="1" x14ac:dyDescent="0.3">
      <c r="A44" s="26">
        <v>45909</v>
      </c>
      <c r="B44" s="34" t="s">
        <v>21</v>
      </c>
      <c r="C44" s="24">
        <v>44.88</v>
      </c>
    </row>
    <row r="45" spans="1:3" hidden="1" x14ac:dyDescent="0.3">
      <c r="A45" s="26">
        <v>45916</v>
      </c>
      <c r="B45" s="32" t="s">
        <v>21</v>
      </c>
      <c r="C45" s="24">
        <v>25.69</v>
      </c>
    </row>
    <row r="46" spans="1:3" hidden="1" x14ac:dyDescent="0.3">
      <c r="A46" s="26">
        <v>45916</v>
      </c>
      <c r="B46" s="34" t="s">
        <v>21</v>
      </c>
      <c r="C46" s="24">
        <v>70.72</v>
      </c>
    </row>
    <row r="47" spans="1:3" hidden="1" x14ac:dyDescent="0.3">
      <c r="A47" s="26">
        <v>45917</v>
      </c>
      <c r="B47" s="27" t="s">
        <v>4</v>
      </c>
      <c r="C47" s="24">
        <v>-59.91</v>
      </c>
    </row>
    <row r="48" spans="1:3" hidden="1" x14ac:dyDescent="0.3">
      <c r="A48" s="26">
        <v>45926</v>
      </c>
      <c r="B48" s="27" t="s">
        <v>4</v>
      </c>
      <c r="C48" s="24">
        <v>-96.56</v>
      </c>
    </row>
    <row r="49" spans="1:3" x14ac:dyDescent="0.3">
      <c r="A49" s="26">
        <v>45930</v>
      </c>
      <c r="B49" s="32" t="s">
        <v>21</v>
      </c>
      <c r="C49" s="24">
        <v>35.75</v>
      </c>
    </row>
    <row r="50" spans="1:3" x14ac:dyDescent="0.3">
      <c r="A50" s="26">
        <v>45930</v>
      </c>
      <c r="B50" s="34" t="s">
        <v>21</v>
      </c>
      <c r="C50" s="24">
        <v>128.16</v>
      </c>
    </row>
    <row r="51" spans="1:3" x14ac:dyDescent="0.3">
      <c r="A51" s="26">
        <v>45930</v>
      </c>
      <c r="B51" s="46" t="s">
        <v>21</v>
      </c>
      <c r="C51" s="24">
        <v>38.06</v>
      </c>
    </row>
    <row r="52" spans="1:3" x14ac:dyDescent="0.3">
      <c r="A52" s="26">
        <v>45944</v>
      </c>
      <c r="B52" s="34" t="s">
        <v>21</v>
      </c>
      <c r="C52" s="24">
        <v>116.86</v>
      </c>
    </row>
    <row r="53" spans="1:3" x14ac:dyDescent="0.3">
      <c r="A53" s="26">
        <v>45945</v>
      </c>
      <c r="B53" s="27" t="s">
        <v>4</v>
      </c>
      <c r="C53" s="24">
        <v>-117.52</v>
      </c>
    </row>
    <row r="54" spans="1:3" x14ac:dyDescent="0.3">
      <c r="A54" s="26">
        <v>45945</v>
      </c>
      <c r="B54" s="27" t="s">
        <v>4</v>
      </c>
      <c r="C54" s="24">
        <v>-202.91</v>
      </c>
    </row>
    <row r="55" spans="1:3" x14ac:dyDescent="0.3">
      <c r="A55" s="26">
        <v>45951</v>
      </c>
      <c r="B55" s="32" t="s">
        <v>1</v>
      </c>
      <c r="C55" s="24">
        <v>27.82</v>
      </c>
    </row>
    <row r="56" spans="1:3" x14ac:dyDescent="0.3">
      <c r="A56" s="26">
        <v>45951</v>
      </c>
      <c r="B56" s="34" t="s">
        <v>21</v>
      </c>
      <c r="C56" s="24">
        <v>46.8</v>
      </c>
    </row>
    <row r="57" spans="1:3" x14ac:dyDescent="0.3">
      <c r="A57" s="26">
        <v>45958</v>
      </c>
      <c r="B57" s="27" t="s">
        <v>4</v>
      </c>
      <c r="C57" s="24">
        <v>-74.900000000000006</v>
      </c>
    </row>
    <row r="58" spans="1:3" x14ac:dyDescent="0.3">
      <c r="A58" s="26">
        <v>45965</v>
      </c>
      <c r="B58" s="32" t="s">
        <v>1</v>
      </c>
      <c r="C58" s="24">
        <v>12.1</v>
      </c>
    </row>
    <row r="59" spans="1:3" x14ac:dyDescent="0.3">
      <c r="A59" s="26">
        <v>45965</v>
      </c>
      <c r="B59" s="34" t="s">
        <v>21</v>
      </c>
      <c r="C59" s="24">
        <v>86.79</v>
      </c>
    </row>
    <row r="60" spans="1:3" x14ac:dyDescent="0.3">
      <c r="A60" s="26">
        <v>45972</v>
      </c>
      <c r="B60" s="27" t="s">
        <v>4</v>
      </c>
      <c r="C60" s="24">
        <v>-99.28</v>
      </c>
    </row>
    <row r="61" spans="1:3" x14ac:dyDescent="0.3">
      <c r="A61" s="26">
        <v>45972</v>
      </c>
      <c r="B61" s="27" t="s">
        <v>1</v>
      </c>
      <c r="C61" s="24">
        <v>58.96</v>
      </c>
    </row>
    <row r="62" spans="1:3" x14ac:dyDescent="0.3">
      <c r="A62" s="26">
        <v>45980</v>
      </c>
      <c r="B62" s="27" t="s">
        <v>4</v>
      </c>
      <c r="C62" s="24">
        <v>-59.06</v>
      </c>
    </row>
    <row r="63" spans="1:3" x14ac:dyDescent="0.3">
      <c r="A63" s="26">
        <v>45986</v>
      </c>
      <c r="B63" s="27" t="s">
        <v>1</v>
      </c>
      <c r="C63" s="24">
        <v>130.54</v>
      </c>
    </row>
    <row r="64" spans="1:3" x14ac:dyDescent="0.3">
      <c r="A64" s="26">
        <v>45993</v>
      </c>
      <c r="B64" s="27" t="s">
        <v>1</v>
      </c>
      <c r="C64" s="24">
        <v>36.29</v>
      </c>
    </row>
    <row r="65" spans="1:3" x14ac:dyDescent="0.3">
      <c r="A65" s="26">
        <v>46000</v>
      </c>
      <c r="B65" s="27" t="s">
        <v>4</v>
      </c>
      <c r="C65" s="24">
        <v>-130.61000000000001</v>
      </c>
    </row>
    <row r="66" spans="1:3" x14ac:dyDescent="0.3">
      <c r="A66" s="26">
        <v>46000</v>
      </c>
      <c r="B66" s="27" t="s">
        <v>4</v>
      </c>
      <c r="C66" s="24">
        <v>-36.31</v>
      </c>
    </row>
    <row r="67" spans="1:3" x14ac:dyDescent="0.3">
      <c r="A67" s="26">
        <v>46000</v>
      </c>
      <c r="B67" s="27" t="s">
        <v>1</v>
      </c>
      <c r="C67" s="24">
        <v>202.19</v>
      </c>
    </row>
    <row r="68" spans="1:3" x14ac:dyDescent="0.3">
      <c r="A68" s="26">
        <v>46007</v>
      </c>
      <c r="B68" s="27" t="s">
        <v>4</v>
      </c>
      <c r="C68" s="24">
        <v>-204.71</v>
      </c>
    </row>
    <row r="69" spans="1:3" x14ac:dyDescent="0.3">
      <c r="A69" s="26">
        <v>46014</v>
      </c>
      <c r="B69" s="27" t="s">
        <v>1</v>
      </c>
      <c r="C69" s="24">
        <v>118.1</v>
      </c>
    </row>
    <row r="70" spans="1:3" x14ac:dyDescent="0.3">
      <c r="A70" s="26">
        <v>46028</v>
      </c>
      <c r="B70" s="27" t="s">
        <v>4</v>
      </c>
      <c r="C70" s="24">
        <v>-112.31</v>
      </c>
    </row>
    <row r="71" spans="1:3" x14ac:dyDescent="0.3">
      <c r="A71" s="26">
        <v>46028</v>
      </c>
      <c r="B71" s="27" t="s">
        <v>1</v>
      </c>
      <c r="C71" s="24">
        <v>103.54</v>
      </c>
    </row>
    <row r="72" spans="1:3" x14ac:dyDescent="0.3">
      <c r="A72" s="26">
        <v>46035</v>
      </c>
      <c r="B72" s="27" t="s">
        <v>4</v>
      </c>
      <c r="C72" s="24">
        <v>-103.74</v>
      </c>
    </row>
    <row r="73" spans="1:3" x14ac:dyDescent="0.3">
      <c r="A73" s="26">
        <v>46035</v>
      </c>
      <c r="B73" s="27" t="s">
        <v>1</v>
      </c>
      <c r="C73" s="24">
        <v>108.02</v>
      </c>
    </row>
    <row r="74" spans="1:3" x14ac:dyDescent="0.3">
      <c r="A74" s="26">
        <v>46043</v>
      </c>
      <c r="B74" s="27" t="s">
        <v>4</v>
      </c>
      <c r="C74" s="24">
        <v>-108.25</v>
      </c>
    </row>
    <row r="75" spans="1:3" x14ac:dyDescent="0.3">
      <c r="A75" s="26">
        <v>46049</v>
      </c>
      <c r="B75" s="27" t="s">
        <v>1</v>
      </c>
      <c r="C75" s="24">
        <v>20.52</v>
      </c>
    </row>
    <row r="76" spans="1:3" x14ac:dyDescent="0.3">
      <c r="A76" s="26">
        <v>46056</v>
      </c>
      <c r="B76" s="27" t="s">
        <v>1</v>
      </c>
      <c r="C76" s="24">
        <v>100.14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04D19-9F74-4F04-9945-CD18044D5D3E}">
  <sheetPr codeName="Hoja33"/>
  <dimension ref="A1:H44"/>
  <sheetViews>
    <sheetView view="pageBreakPreview" zoomScale="80" zoomScaleNormal="100" zoomScaleSheetLayoutView="80" workbookViewId="0">
      <selection activeCell="C45" sqref="C4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56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130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76.964000000000041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45813</v>
      </c>
      <c r="B5" s="32" t="s">
        <v>21</v>
      </c>
      <c r="C5" s="24">
        <v>15.85</v>
      </c>
      <c r="D5" s="30"/>
      <c r="E5" s="30"/>
      <c r="F5" s="30"/>
      <c r="G5" s="22"/>
    </row>
    <row r="6" spans="1:8" hidden="1" x14ac:dyDescent="0.3">
      <c r="A6" s="21">
        <v>45813</v>
      </c>
      <c r="B6" s="34" t="s">
        <v>21</v>
      </c>
      <c r="C6" s="24">
        <v>43.1</v>
      </c>
    </row>
    <row r="7" spans="1:8" hidden="1" x14ac:dyDescent="0.3">
      <c r="A7" s="26">
        <v>45849</v>
      </c>
      <c r="B7" s="27" t="s">
        <v>7</v>
      </c>
      <c r="C7" s="24">
        <v>-31.25</v>
      </c>
    </row>
    <row r="8" spans="1:8" hidden="1" x14ac:dyDescent="0.3">
      <c r="A8" s="26">
        <v>45873</v>
      </c>
      <c r="B8" s="27" t="s">
        <v>4</v>
      </c>
      <c r="C8" s="24">
        <v>-27.7</v>
      </c>
    </row>
    <row r="9" spans="1:8" hidden="1" x14ac:dyDescent="0.3">
      <c r="A9" s="26">
        <v>45874</v>
      </c>
      <c r="B9" s="32" t="s">
        <v>21</v>
      </c>
      <c r="C9" s="24">
        <v>15.85</v>
      </c>
    </row>
    <row r="10" spans="1:8" hidden="1" x14ac:dyDescent="0.3">
      <c r="A10" s="26">
        <v>45874</v>
      </c>
      <c r="B10" s="34" t="s">
        <v>21</v>
      </c>
      <c r="C10" s="24">
        <v>22.48</v>
      </c>
    </row>
    <row r="11" spans="1:8" hidden="1" x14ac:dyDescent="0.3">
      <c r="A11" s="26">
        <v>45881</v>
      </c>
      <c r="B11" s="27" t="s">
        <v>4</v>
      </c>
      <c r="C11" s="24">
        <v>-7.18</v>
      </c>
    </row>
    <row r="12" spans="1:8" hidden="1" x14ac:dyDescent="0.3">
      <c r="A12" s="26">
        <v>45881</v>
      </c>
      <c r="B12" s="31" t="s">
        <v>7</v>
      </c>
      <c r="C12" s="24">
        <v>-8.9700000000000006</v>
      </c>
    </row>
    <row r="13" spans="1:8" hidden="1" x14ac:dyDescent="0.3">
      <c r="A13" s="26">
        <v>45881</v>
      </c>
      <c r="B13" s="34" t="s">
        <v>21</v>
      </c>
      <c r="C13" s="24">
        <v>39.119999999999997</v>
      </c>
    </row>
    <row r="14" spans="1:8" hidden="1" x14ac:dyDescent="0.3">
      <c r="A14" s="26">
        <v>45902</v>
      </c>
      <c r="B14" s="27" t="s">
        <v>4</v>
      </c>
      <c r="C14" s="24">
        <v>-20</v>
      </c>
    </row>
    <row r="15" spans="1:8" hidden="1" x14ac:dyDescent="0.3">
      <c r="A15" s="26">
        <v>45902</v>
      </c>
      <c r="B15" s="32" t="s">
        <v>21</v>
      </c>
      <c r="C15" s="24">
        <v>15.85</v>
      </c>
    </row>
    <row r="16" spans="1:8" hidden="1" x14ac:dyDescent="0.3">
      <c r="A16" s="26">
        <v>45902</v>
      </c>
      <c r="B16" s="34" t="s">
        <v>21</v>
      </c>
      <c r="C16" s="24">
        <v>24.93</v>
      </c>
    </row>
    <row r="17" spans="1:3" hidden="1" x14ac:dyDescent="0.3">
      <c r="A17" s="26">
        <v>45909</v>
      </c>
      <c r="B17" s="27" t="s">
        <v>4</v>
      </c>
      <c r="C17" s="24">
        <v>-40</v>
      </c>
    </row>
    <row r="18" spans="1:3" hidden="1" x14ac:dyDescent="0.3">
      <c r="A18" s="26">
        <v>45909</v>
      </c>
      <c r="B18" s="27" t="s">
        <v>4</v>
      </c>
      <c r="C18" s="24">
        <v>-8.39</v>
      </c>
    </row>
    <row r="19" spans="1:3" hidden="1" x14ac:dyDescent="0.3">
      <c r="A19" s="26">
        <v>45909</v>
      </c>
      <c r="B19" s="27" t="s">
        <v>7</v>
      </c>
      <c r="C19" s="24">
        <v>-12.42</v>
      </c>
    </row>
    <row r="20" spans="1:3" hidden="1" x14ac:dyDescent="0.3">
      <c r="A20" s="26">
        <v>45909</v>
      </c>
      <c r="B20" s="32" t="s">
        <v>21</v>
      </c>
      <c r="C20" s="24">
        <v>9</v>
      </c>
    </row>
    <row r="21" spans="1:3" hidden="1" x14ac:dyDescent="0.3">
      <c r="A21" s="26">
        <v>45909</v>
      </c>
      <c r="B21" s="34" t="s">
        <v>21</v>
      </c>
      <c r="C21" s="24">
        <v>24.76</v>
      </c>
    </row>
    <row r="22" spans="1:3" hidden="1" x14ac:dyDescent="0.3">
      <c r="A22" s="26">
        <v>45909</v>
      </c>
      <c r="B22" s="27" t="s">
        <v>1</v>
      </c>
      <c r="C22" s="24">
        <v>23.8</v>
      </c>
    </row>
    <row r="23" spans="1:3" hidden="1" x14ac:dyDescent="0.3">
      <c r="A23" s="26">
        <v>45944</v>
      </c>
      <c r="B23" s="27" t="s">
        <v>7</v>
      </c>
      <c r="C23" s="24">
        <v>-78.459999999999994</v>
      </c>
    </row>
    <row r="24" spans="1:3" x14ac:dyDescent="0.3">
      <c r="A24" s="26">
        <v>45944</v>
      </c>
      <c r="B24" s="32" t="s">
        <v>21</v>
      </c>
      <c r="C24" s="24">
        <v>7.5</v>
      </c>
    </row>
    <row r="25" spans="1:3" x14ac:dyDescent="0.3">
      <c r="A25" s="26">
        <v>45944</v>
      </c>
      <c r="B25" s="34" t="s">
        <v>21</v>
      </c>
      <c r="C25" s="24">
        <v>23.26</v>
      </c>
    </row>
    <row r="26" spans="1:3" x14ac:dyDescent="0.3">
      <c r="A26" s="26">
        <v>45951</v>
      </c>
      <c r="B26" s="32" t="s">
        <v>21</v>
      </c>
      <c r="C26" s="24">
        <v>19.5</v>
      </c>
    </row>
    <row r="27" spans="1:3" x14ac:dyDescent="0.3">
      <c r="A27" s="26">
        <v>45951</v>
      </c>
      <c r="B27" s="34" t="s">
        <v>21</v>
      </c>
      <c r="C27" s="24">
        <v>28.47</v>
      </c>
    </row>
    <row r="28" spans="1:3" x14ac:dyDescent="0.3">
      <c r="A28" s="26">
        <v>45951</v>
      </c>
      <c r="B28" s="27" t="s">
        <v>1</v>
      </c>
      <c r="C28" s="24">
        <v>26.7</v>
      </c>
    </row>
    <row r="29" spans="1:3" x14ac:dyDescent="0.3">
      <c r="A29" s="26">
        <v>45952</v>
      </c>
      <c r="B29" s="27" t="s">
        <v>7</v>
      </c>
      <c r="C29" s="24">
        <v>-31.15</v>
      </c>
    </row>
    <row r="30" spans="1:3" x14ac:dyDescent="0.3">
      <c r="A30" s="26">
        <v>45986</v>
      </c>
      <c r="B30" s="27" t="s">
        <v>4</v>
      </c>
      <c r="C30" s="24">
        <v>-9.67</v>
      </c>
    </row>
    <row r="31" spans="1:3" x14ac:dyDescent="0.3">
      <c r="A31" s="26">
        <v>45986</v>
      </c>
      <c r="B31" s="27" t="s">
        <v>7</v>
      </c>
      <c r="C31" s="24">
        <v>-74.650000000000006</v>
      </c>
    </row>
    <row r="32" spans="1:3" x14ac:dyDescent="0.3">
      <c r="A32" s="26">
        <v>45986</v>
      </c>
      <c r="B32" s="27" t="s">
        <v>1</v>
      </c>
      <c r="C32" s="24">
        <v>81.994</v>
      </c>
    </row>
    <row r="33" spans="1:3" x14ac:dyDescent="0.3">
      <c r="A33" s="26">
        <v>46007</v>
      </c>
      <c r="B33" s="27" t="s">
        <v>4</v>
      </c>
      <c r="C33" s="24">
        <v>-32.9</v>
      </c>
    </row>
    <row r="34" spans="1:3" x14ac:dyDescent="0.3">
      <c r="A34" s="26">
        <v>46007</v>
      </c>
      <c r="B34" s="27" t="s">
        <v>4</v>
      </c>
      <c r="C34" s="24">
        <v>-47.52</v>
      </c>
    </row>
    <row r="35" spans="1:3" x14ac:dyDescent="0.3">
      <c r="A35" s="26">
        <v>46007</v>
      </c>
      <c r="B35" s="27" t="s">
        <v>7</v>
      </c>
      <c r="C35" s="24">
        <v>-1.71</v>
      </c>
    </row>
    <row r="36" spans="1:3" x14ac:dyDescent="0.3">
      <c r="A36" s="26">
        <v>46007</v>
      </c>
      <c r="B36" s="27" t="s">
        <v>1</v>
      </c>
      <c r="C36" s="24">
        <v>149.78</v>
      </c>
    </row>
    <row r="37" spans="1:3" x14ac:dyDescent="0.3">
      <c r="A37" s="26">
        <v>46028</v>
      </c>
      <c r="B37" s="27" t="s">
        <v>4</v>
      </c>
      <c r="C37" s="24">
        <v>-41.54</v>
      </c>
    </row>
    <row r="38" spans="1:3" x14ac:dyDescent="0.3">
      <c r="A38" s="26">
        <v>46028</v>
      </c>
      <c r="B38" s="27" t="s">
        <v>4</v>
      </c>
      <c r="C38" s="24">
        <v>-107.74</v>
      </c>
    </row>
    <row r="39" spans="1:3" x14ac:dyDescent="0.3">
      <c r="A39" s="26">
        <v>46028</v>
      </c>
      <c r="B39" s="27" t="s">
        <v>1</v>
      </c>
      <c r="C39" s="24">
        <v>110.18</v>
      </c>
    </row>
    <row r="40" spans="1:3" x14ac:dyDescent="0.3">
      <c r="A40" s="26">
        <v>46035</v>
      </c>
      <c r="B40" s="27" t="s">
        <v>4</v>
      </c>
      <c r="C40" s="24">
        <v>-102.46</v>
      </c>
    </row>
    <row r="41" spans="1:3" x14ac:dyDescent="0.3">
      <c r="A41" s="26">
        <v>46035</v>
      </c>
      <c r="B41" s="27" t="s">
        <v>1</v>
      </c>
      <c r="C41" s="24">
        <v>73.67</v>
      </c>
    </row>
    <row r="42" spans="1:3" x14ac:dyDescent="0.3">
      <c r="A42" s="26">
        <v>46042</v>
      </c>
      <c r="B42" s="27" t="s">
        <v>4</v>
      </c>
      <c r="C42" s="24">
        <v>-31.93</v>
      </c>
    </row>
    <row r="43" spans="1:3" x14ac:dyDescent="0.3">
      <c r="A43" s="26">
        <v>46056</v>
      </c>
      <c r="B43" s="27" t="s">
        <v>4</v>
      </c>
      <c r="C43" s="24">
        <v>-41.74</v>
      </c>
    </row>
    <row r="44" spans="1:3" x14ac:dyDescent="0.3">
      <c r="A44" s="26">
        <v>46056</v>
      </c>
      <c r="B44" s="27" t="s">
        <v>1</v>
      </c>
      <c r="C44" s="24">
        <v>78.55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F8B5-64A9-495D-8962-83F3E9CB7400}">
  <dimension ref="A1:H42"/>
  <sheetViews>
    <sheetView view="pageBreakPreview" zoomScale="80" zoomScaleNormal="100" zoomScaleSheetLayoutView="80" workbookViewId="0">
      <selection activeCell="C43" sqref="C4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454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377.90999999999997</v>
      </c>
      <c r="D3" s="20">
        <f>SUM(D$4:D$1048576)</f>
        <v>1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45924</v>
      </c>
      <c r="B5" s="27" t="s">
        <v>4</v>
      </c>
      <c r="C5" s="24">
        <v>-35.299999999999997</v>
      </c>
      <c r="D5" s="30"/>
      <c r="E5" s="30"/>
      <c r="F5" s="30"/>
      <c r="G5" s="22"/>
    </row>
    <row r="6" spans="1:8" hidden="1" x14ac:dyDescent="0.3">
      <c r="A6" s="21">
        <v>45924</v>
      </c>
      <c r="B6" s="72" t="s">
        <v>21</v>
      </c>
      <c r="C6" s="24">
        <v>26.54</v>
      </c>
    </row>
    <row r="7" spans="1:8" hidden="1" x14ac:dyDescent="0.3">
      <c r="A7" s="21">
        <v>45924</v>
      </c>
      <c r="B7" s="73" t="s">
        <v>1</v>
      </c>
      <c r="C7" s="24">
        <v>86.22</v>
      </c>
    </row>
    <row r="8" spans="1:8" hidden="1" x14ac:dyDescent="0.3">
      <c r="A8" s="26">
        <v>45931</v>
      </c>
      <c r="B8" s="27" t="s">
        <v>7</v>
      </c>
      <c r="C8" s="24">
        <v>-77.5</v>
      </c>
    </row>
    <row r="9" spans="1:8" hidden="1" x14ac:dyDescent="0.3">
      <c r="A9" s="26">
        <v>45931</v>
      </c>
      <c r="B9" s="73" t="s">
        <v>1</v>
      </c>
      <c r="C9" s="24">
        <v>60.96</v>
      </c>
    </row>
    <row r="10" spans="1:8" hidden="1" x14ac:dyDescent="0.3">
      <c r="A10" s="26">
        <v>45937</v>
      </c>
      <c r="B10" s="31" t="s">
        <v>4</v>
      </c>
      <c r="C10" s="24">
        <v>-60.92</v>
      </c>
    </row>
    <row r="11" spans="1:8" x14ac:dyDescent="0.3">
      <c r="A11" s="26">
        <v>45938</v>
      </c>
      <c r="B11" s="72" t="s">
        <v>1</v>
      </c>
      <c r="C11" s="24">
        <v>33.72</v>
      </c>
      <c r="D11" s="25">
        <v>1</v>
      </c>
    </row>
    <row r="12" spans="1:8" x14ac:dyDescent="0.3">
      <c r="A12" s="26">
        <v>45938</v>
      </c>
      <c r="B12" s="73" t="s">
        <v>1</v>
      </c>
      <c r="C12" s="24">
        <v>128.85</v>
      </c>
    </row>
    <row r="13" spans="1:8" x14ac:dyDescent="0.3">
      <c r="A13" s="26">
        <v>45945</v>
      </c>
      <c r="B13" s="27" t="s">
        <v>4</v>
      </c>
      <c r="C13" s="24">
        <v>-45.2</v>
      </c>
    </row>
    <row r="14" spans="1:8" x14ac:dyDescent="0.3">
      <c r="A14" s="26">
        <v>45945</v>
      </c>
      <c r="B14" s="27" t="s">
        <v>7</v>
      </c>
      <c r="C14" s="24">
        <v>-78.92</v>
      </c>
    </row>
    <row r="15" spans="1:8" x14ac:dyDescent="0.3">
      <c r="A15" s="26">
        <v>45945</v>
      </c>
      <c r="B15" s="72" t="s">
        <v>1</v>
      </c>
      <c r="C15" s="24">
        <v>17.34</v>
      </c>
    </row>
    <row r="16" spans="1:8" x14ac:dyDescent="0.3">
      <c r="A16" s="26">
        <v>45945</v>
      </c>
      <c r="B16" s="73" t="s">
        <v>1</v>
      </c>
      <c r="C16" s="24">
        <v>64.52</v>
      </c>
    </row>
    <row r="17" spans="1:3" x14ac:dyDescent="0.3">
      <c r="A17" s="26">
        <v>45952</v>
      </c>
      <c r="B17" s="27" t="s">
        <v>4</v>
      </c>
      <c r="C17" s="24">
        <v>-31.86</v>
      </c>
    </row>
    <row r="18" spans="1:3" x14ac:dyDescent="0.3">
      <c r="A18" s="26">
        <v>45952</v>
      </c>
      <c r="B18" s="27" t="s">
        <v>7</v>
      </c>
      <c r="C18" s="24">
        <v>-54</v>
      </c>
    </row>
    <row r="19" spans="1:3" x14ac:dyDescent="0.3">
      <c r="A19" s="26">
        <v>45952</v>
      </c>
      <c r="B19" s="72" t="s">
        <v>1</v>
      </c>
      <c r="C19" s="24">
        <v>36.94</v>
      </c>
    </row>
    <row r="20" spans="1:3" x14ac:dyDescent="0.3">
      <c r="A20" s="26">
        <v>45952</v>
      </c>
      <c r="B20" s="73" t="s">
        <v>1</v>
      </c>
      <c r="C20" s="24">
        <v>246.86</v>
      </c>
    </row>
    <row r="21" spans="1:3" x14ac:dyDescent="0.3">
      <c r="A21" s="26">
        <v>45952</v>
      </c>
      <c r="B21" s="74" t="s">
        <v>1</v>
      </c>
      <c r="C21" s="24">
        <v>27.84</v>
      </c>
    </row>
    <row r="22" spans="1:3" x14ac:dyDescent="0.3">
      <c r="A22" s="26">
        <v>45957</v>
      </c>
      <c r="B22" s="27" t="s">
        <v>4</v>
      </c>
      <c r="C22" s="24">
        <v>-35</v>
      </c>
    </row>
    <row r="23" spans="1:3" x14ac:dyDescent="0.3">
      <c r="A23" s="26">
        <v>45959</v>
      </c>
      <c r="B23" s="27" t="s">
        <v>7</v>
      </c>
      <c r="C23" s="24">
        <v>-46.29</v>
      </c>
    </row>
    <row r="24" spans="1:3" x14ac:dyDescent="0.3">
      <c r="A24" s="26">
        <v>45966</v>
      </c>
      <c r="B24" s="73" t="s">
        <v>1</v>
      </c>
      <c r="C24" s="24">
        <v>96.48</v>
      </c>
    </row>
    <row r="25" spans="1:3" x14ac:dyDescent="0.3">
      <c r="A25" s="26">
        <v>45966</v>
      </c>
      <c r="B25" s="27" t="s">
        <v>7</v>
      </c>
      <c r="C25" s="24">
        <v>-129.62</v>
      </c>
    </row>
    <row r="26" spans="1:3" x14ac:dyDescent="0.3">
      <c r="A26" s="26">
        <v>45973</v>
      </c>
      <c r="B26" s="27" t="s">
        <v>4</v>
      </c>
      <c r="C26" s="24">
        <v>-18.45</v>
      </c>
    </row>
    <row r="27" spans="1:3" x14ac:dyDescent="0.3">
      <c r="A27" s="26">
        <v>45973</v>
      </c>
      <c r="B27" s="27" t="s">
        <v>7</v>
      </c>
      <c r="C27" s="24">
        <v>-97.5</v>
      </c>
    </row>
    <row r="28" spans="1:3" x14ac:dyDescent="0.3">
      <c r="A28" s="26">
        <v>45973</v>
      </c>
      <c r="B28" s="27" t="s">
        <v>1</v>
      </c>
      <c r="C28" s="24">
        <v>155.31</v>
      </c>
    </row>
    <row r="29" spans="1:3" x14ac:dyDescent="0.3">
      <c r="A29" s="26">
        <v>45980</v>
      </c>
      <c r="B29" s="27" t="s">
        <v>4</v>
      </c>
      <c r="C29" s="24">
        <v>-16.82</v>
      </c>
    </row>
    <row r="30" spans="1:3" x14ac:dyDescent="0.3">
      <c r="A30" s="26">
        <v>45980</v>
      </c>
      <c r="B30" s="27" t="s">
        <v>4</v>
      </c>
      <c r="C30" s="24">
        <v>-10.01</v>
      </c>
    </row>
    <row r="31" spans="1:3" x14ac:dyDescent="0.3">
      <c r="A31" s="26">
        <v>45980</v>
      </c>
      <c r="B31" s="27" t="s">
        <v>7</v>
      </c>
      <c r="C31" s="24">
        <v>-53.57</v>
      </c>
    </row>
    <row r="32" spans="1:3" x14ac:dyDescent="0.3">
      <c r="A32" s="26">
        <v>45987</v>
      </c>
      <c r="B32" s="27" t="s">
        <v>4</v>
      </c>
      <c r="C32" s="24">
        <v>-38.18</v>
      </c>
    </row>
    <row r="33" spans="1:3" x14ac:dyDescent="0.3">
      <c r="A33" s="26">
        <v>45994</v>
      </c>
      <c r="B33" s="27" t="s">
        <v>4</v>
      </c>
      <c r="C33" s="24">
        <v>-23.68</v>
      </c>
    </row>
    <row r="34" spans="1:3" x14ac:dyDescent="0.3">
      <c r="A34" s="26">
        <v>45994</v>
      </c>
      <c r="B34" s="27" t="s">
        <v>7</v>
      </c>
      <c r="C34" s="24">
        <v>-74</v>
      </c>
    </row>
    <row r="35" spans="1:3" x14ac:dyDescent="0.3">
      <c r="A35" s="26">
        <v>45994</v>
      </c>
      <c r="B35" s="27" t="s">
        <v>1</v>
      </c>
      <c r="C35" s="24">
        <v>245.32</v>
      </c>
    </row>
    <row r="36" spans="1:3" x14ac:dyDescent="0.3">
      <c r="A36" s="26">
        <v>46001</v>
      </c>
      <c r="B36" s="27" t="s">
        <v>7</v>
      </c>
      <c r="C36" s="24">
        <v>-46.42</v>
      </c>
    </row>
    <row r="37" spans="1:3" x14ac:dyDescent="0.3">
      <c r="A37" s="26">
        <v>46014</v>
      </c>
      <c r="B37" s="27" t="s">
        <v>4</v>
      </c>
      <c r="C37" s="24">
        <v>-75</v>
      </c>
    </row>
    <row r="38" spans="1:3" x14ac:dyDescent="0.3">
      <c r="A38" s="26">
        <v>46014</v>
      </c>
      <c r="B38" s="27" t="s">
        <v>4</v>
      </c>
      <c r="C38" s="24">
        <v>-40</v>
      </c>
    </row>
    <row r="39" spans="1:3" x14ac:dyDescent="0.3">
      <c r="A39" s="26">
        <v>46027</v>
      </c>
      <c r="B39" s="27" t="s">
        <v>4</v>
      </c>
      <c r="C39" s="24">
        <v>-20</v>
      </c>
    </row>
    <row r="40" spans="1:3" x14ac:dyDescent="0.3">
      <c r="A40" s="26">
        <v>46035</v>
      </c>
      <c r="B40" s="27" t="s">
        <v>4</v>
      </c>
      <c r="C40" s="24">
        <v>-119</v>
      </c>
    </row>
    <row r="41" spans="1:3" x14ac:dyDescent="0.3">
      <c r="A41" s="26">
        <v>46036</v>
      </c>
      <c r="B41" s="27" t="s">
        <v>1</v>
      </c>
      <c r="C41" s="24">
        <v>385.44</v>
      </c>
    </row>
    <row r="42" spans="1:3" x14ac:dyDescent="0.3">
      <c r="A42" s="26">
        <v>46050</v>
      </c>
      <c r="B42" s="27" t="s">
        <v>4</v>
      </c>
      <c r="C42" s="24">
        <v>-7.19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B9DA1-DB08-46AF-AE5E-7C5C3EB5B0FB}">
  <sheetPr codeName="Hoja34"/>
  <dimension ref="A1:H122"/>
  <sheetViews>
    <sheetView view="pageBreakPreview" zoomScale="85" zoomScaleNormal="100" zoomScaleSheetLayoutView="85" workbookViewId="0">
      <selection activeCell="C123" sqref="C12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246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244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50.19000000000004</v>
      </c>
      <c r="D3" s="20">
        <f>SUM(D$4:D$1048576)</f>
        <v>-1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45819</v>
      </c>
      <c r="B5" s="32" t="s">
        <v>21</v>
      </c>
      <c r="C5" s="24">
        <v>9.84</v>
      </c>
      <c r="D5" s="30"/>
      <c r="E5" s="30"/>
      <c r="F5" s="30"/>
      <c r="G5" s="22"/>
    </row>
    <row r="6" spans="1:8" hidden="1" x14ac:dyDescent="0.3">
      <c r="A6" s="21">
        <v>45819</v>
      </c>
      <c r="B6" s="34" t="s">
        <v>21</v>
      </c>
      <c r="C6" s="24">
        <v>60.83</v>
      </c>
    </row>
    <row r="7" spans="1:8" hidden="1" x14ac:dyDescent="0.3">
      <c r="A7" s="21">
        <v>45824</v>
      </c>
      <c r="B7" s="27" t="s">
        <v>4</v>
      </c>
      <c r="C7" s="24">
        <v>-29.37</v>
      </c>
    </row>
    <row r="8" spans="1:8" hidden="1" x14ac:dyDescent="0.3">
      <c r="A8" s="26">
        <v>45825</v>
      </c>
      <c r="B8" s="27" t="s">
        <v>4</v>
      </c>
      <c r="C8" s="24">
        <v>-29.37</v>
      </c>
    </row>
    <row r="9" spans="1:8" hidden="1" x14ac:dyDescent="0.3">
      <c r="A9" s="26">
        <v>45828</v>
      </c>
      <c r="B9" s="34" t="s">
        <v>21</v>
      </c>
      <c r="C9" s="24">
        <v>74.8</v>
      </c>
    </row>
    <row r="10" spans="1:8" hidden="1" x14ac:dyDescent="0.3">
      <c r="A10" s="26">
        <v>45831</v>
      </c>
      <c r="B10" s="31" t="s">
        <v>4</v>
      </c>
      <c r="C10" s="24">
        <v>-74.8</v>
      </c>
    </row>
    <row r="11" spans="1:8" hidden="1" x14ac:dyDescent="0.3">
      <c r="A11" s="26">
        <v>45834</v>
      </c>
      <c r="B11" s="27" t="s">
        <v>4</v>
      </c>
      <c r="C11" s="24">
        <v>-12.24</v>
      </c>
    </row>
    <row r="12" spans="1:8" hidden="1" x14ac:dyDescent="0.3">
      <c r="A12" s="26">
        <v>45834</v>
      </c>
      <c r="B12" s="32" t="s">
        <v>21</v>
      </c>
      <c r="C12" s="24">
        <v>24.28</v>
      </c>
    </row>
    <row r="13" spans="1:8" hidden="1" x14ac:dyDescent="0.3">
      <c r="A13" s="26">
        <v>45834</v>
      </c>
      <c r="B13" s="34" t="s">
        <v>21</v>
      </c>
      <c r="C13" s="24">
        <v>40.03</v>
      </c>
    </row>
    <row r="14" spans="1:8" hidden="1" x14ac:dyDescent="0.3">
      <c r="A14" s="26">
        <v>45841</v>
      </c>
      <c r="B14" s="32" t="s">
        <v>21</v>
      </c>
      <c r="C14" s="24">
        <v>27.18</v>
      </c>
    </row>
    <row r="15" spans="1:8" hidden="1" x14ac:dyDescent="0.3">
      <c r="A15" s="26">
        <v>45841</v>
      </c>
      <c r="B15" s="34" t="s">
        <v>21</v>
      </c>
      <c r="C15" s="24">
        <v>36.770000000000003</v>
      </c>
    </row>
    <row r="16" spans="1:8" hidden="1" x14ac:dyDescent="0.3">
      <c r="A16" s="26">
        <v>45842</v>
      </c>
      <c r="B16" s="27" t="s">
        <v>4</v>
      </c>
      <c r="C16" s="24">
        <v>-27.14</v>
      </c>
    </row>
    <row r="17" spans="1:3" hidden="1" x14ac:dyDescent="0.3">
      <c r="A17" s="26">
        <v>45845</v>
      </c>
      <c r="B17" s="27" t="s">
        <v>4</v>
      </c>
      <c r="C17" s="24">
        <v>-26.93</v>
      </c>
    </row>
    <row r="18" spans="1:3" hidden="1" x14ac:dyDescent="0.3">
      <c r="A18" s="26">
        <v>45846</v>
      </c>
      <c r="B18" s="27" t="s">
        <v>4</v>
      </c>
      <c r="C18" s="24">
        <v>-13.38</v>
      </c>
    </row>
    <row r="19" spans="1:3" hidden="1" x14ac:dyDescent="0.3">
      <c r="A19" s="26">
        <v>45848</v>
      </c>
      <c r="B19" s="27" t="s">
        <v>4</v>
      </c>
      <c r="C19" s="24">
        <v>-26.37</v>
      </c>
    </row>
    <row r="20" spans="1:3" hidden="1" x14ac:dyDescent="0.3">
      <c r="A20" s="26">
        <v>45848</v>
      </c>
      <c r="B20" s="27" t="s">
        <v>1</v>
      </c>
      <c r="C20" s="24">
        <v>12.8</v>
      </c>
    </row>
    <row r="21" spans="1:3" hidden="1" x14ac:dyDescent="0.3">
      <c r="A21" s="26">
        <v>45848</v>
      </c>
      <c r="B21" s="32" t="s">
        <v>21</v>
      </c>
      <c r="C21" s="24">
        <v>39.28</v>
      </c>
    </row>
    <row r="22" spans="1:3" hidden="1" x14ac:dyDescent="0.3">
      <c r="A22" s="26">
        <v>45848</v>
      </c>
      <c r="B22" s="34" t="s">
        <v>21</v>
      </c>
      <c r="C22" s="24">
        <v>28.85</v>
      </c>
    </row>
    <row r="23" spans="1:3" hidden="1" x14ac:dyDescent="0.3">
      <c r="A23" s="26">
        <v>45853</v>
      </c>
      <c r="B23" s="27" t="s">
        <v>4</v>
      </c>
      <c r="C23" s="24">
        <v>-32.799999999999997</v>
      </c>
    </row>
    <row r="24" spans="1:3" hidden="1" x14ac:dyDescent="0.3">
      <c r="A24" s="26">
        <v>45854</v>
      </c>
      <c r="B24" s="27" t="s">
        <v>4</v>
      </c>
      <c r="C24" s="24">
        <v>-42.8</v>
      </c>
    </row>
    <row r="25" spans="1:3" hidden="1" x14ac:dyDescent="0.3">
      <c r="A25" s="26">
        <v>45854</v>
      </c>
      <c r="B25" s="27" t="s">
        <v>4</v>
      </c>
      <c r="C25" s="24">
        <v>-38.520000000000003</v>
      </c>
    </row>
    <row r="26" spans="1:3" hidden="1" x14ac:dyDescent="0.3">
      <c r="A26" s="26">
        <v>45855</v>
      </c>
      <c r="B26" s="32" t="s">
        <v>21</v>
      </c>
      <c r="C26" s="24">
        <v>22.5</v>
      </c>
    </row>
    <row r="27" spans="1:3" hidden="1" x14ac:dyDescent="0.3">
      <c r="A27" s="26">
        <v>45855</v>
      </c>
      <c r="B27" s="34" t="s">
        <v>21</v>
      </c>
      <c r="C27" s="24">
        <v>63.1</v>
      </c>
    </row>
    <row r="28" spans="1:3" hidden="1" x14ac:dyDescent="0.3">
      <c r="A28" s="26">
        <v>45859</v>
      </c>
      <c r="B28" s="27" t="s">
        <v>4</v>
      </c>
      <c r="C28" s="24">
        <v>-25.18</v>
      </c>
    </row>
    <row r="29" spans="1:3" hidden="1" x14ac:dyDescent="0.3">
      <c r="A29" s="26">
        <v>45859</v>
      </c>
      <c r="B29" s="27" t="s">
        <v>4</v>
      </c>
      <c r="C29" s="24">
        <v>-16.79</v>
      </c>
    </row>
    <row r="30" spans="1:3" hidden="1" x14ac:dyDescent="0.3">
      <c r="A30" s="26">
        <v>45862</v>
      </c>
      <c r="B30" s="34" t="s">
        <v>21</v>
      </c>
      <c r="C30" s="24">
        <v>54.62</v>
      </c>
    </row>
    <row r="31" spans="1:3" hidden="1" x14ac:dyDescent="0.3">
      <c r="A31" s="26">
        <v>45862</v>
      </c>
      <c r="B31" s="32" t="s">
        <v>21</v>
      </c>
      <c r="C31" s="24">
        <v>12.1</v>
      </c>
    </row>
    <row r="32" spans="1:3" hidden="1" x14ac:dyDescent="0.3">
      <c r="A32" s="26">
        <v>45864</v>
      </c>
      <c r="B32" s="27" t="s">
        <v>4</v>
      </c>
      <c r="C32" s="24">
        <v>-24.56</v>
      </c>
    </row>
    <row r="33" spans="1:3" hidden="1" x14ac:dyDescent="0.3">
      <c r="A33" s="26">
        <v>45864</v>
      </c>
      <c r="B33" s="27" t="s">
        <v>4</v>
      </c>
      <c r="C33" s="24">
        <v>-20.46</v>
      </c>
    </row>
    <row r="34" spans="1:3" hidden="1" x14ac:dyDescent="0.3">
      <c r="A34" s="26">
        <v>45870</v>
      </c>
      <c r="B34" s="27" t="s">
        <v>4</v>
      </c>
      <c r="C34" s="24">
        <v>-39.86</v>
      </c>
    </row>
    <row r="35" spans="1:3" hidden="1" x14ac:dyDescent="0.3">
      <c r="A35" s="26">
        <v>45874</v>
      </c>
      <c r="B35" s="27" t="s">
        <v>4</v>
      </c>
      <c r="C35" s="24">
        <v>-23.6</v>
      </c>
    </row>
    <row r="36" spans="1:3" hidden="1" x14ac:dyDescent="0.3">
      <c r="A36" s="26">
        <v>45874</v>
      </c>
      <c r="B36" s="32" t="s">
        <v>21</v>
      </c>
      <c r="C36" s="24">
        <v>40.69</v>
      </c>
    </row>
    <row r="37" spans="1:3" hidden="1" x14ac:dyDescent="0.3">
      <c r="A37" s="26">
        <v>45874</v>
      </c>
      <c r="B37" s="34" t="s">
        <v>21</v>
      </c>
      <c r="C37" s="24">
        <v>37.450000000000003</v>
      </c>
    </row>
    <row r="38" spans="1:3" hidden="1" x14ac:dyDescent="0.3">
      <c r="A38" s="26">
        <v>45880</v>
      </c>
      <c r="B38" s="27" t="s">
        <v>4</v>
      </c>
      <c r="C38" s="24">
        <v>-2.81</v>
      </c>
    </row>
    <row r="39" spans="1:3" hidden="1" x14ac:dyDescent="0.3">
      <c r="A39" s="26">
        <v>45883</v>
      </c>
      <c r="B39" s="27" t="s">
        <v>4</v>
      </c>
      <c r="C39" s="24">
        <v>-26.77</v>
      </c>
    </row>
    <row r="40" spans="1:3" hidden="1" x14ac:dyDescent="0.3">
      <c r="A40" s="26">
        <v>45883</v>
      </c>
      <c r="B40" s="27" t="s">
        <v>7</v>
      </c>
      <c r="C40" s="24">
        <v>-20</v>
      </c>
    </row>
    <row r="41" spans="1:3" hidden="1" x14ac:dyDescent="0.3">
      <c r="A41" s="26">
        <v>45883</v>
      </c>
      <c r="B41" s="32" t="s">
        <v>21</v>
      </c>
      <c r="C41" s="24">
        <v>15</v>
      </c>
    </row>
    <row r="42" spans="1:3" hidden="1" x14ac:dyDescent="0.3">
      <c r="A42" s="26">
        <v>45883</v>
      </c>
      <c r="B42" s="34" t="s">
        <v>21</v>
      </c>
      <c r="C42" s="24">
        <v>50.03</v>
      </c>
    </row>
    <row r="43" spans="1:3" hidden="1" x14ac:dyDescent="0.3">
      <c r="A43" s="26">
        <v>45886</v>
      </c>
      <c r="B43" s="27" t="s">
        <v>4</v>
      </c>
      <c r="C43" s="24">
        <v>-20.09</v>
      </c>
    </row>
    <row r="44" spans="1:3" hidden="1" x14ac:dyDescent="0.3">
      <c r="A44" s="26">
        <v>45887</v>
      </c>
      <c r="B44" s="27" t="s">
        <v>4</v>
      </c>
      <c r="C44" s="24">
        <v>-11.29</v>
      </c>
    </row>
    <row r="45" spans="1:3" hidden="1" x14ac:dyDescent="0.3">
      <c r="A45" s="26">
        <v>45890</v>
      </c>
      <c r="B45" s="27" t="s">
        <v>4</v>
      </c>
      <c r="C45" s="24">
        <v>-30.13</v>
      </c>
    </row>
    <row r="46" spans="1:3" hidden="1" x14ac:dyDescent="0.3">
      <c r="A46" s="26">
        <v>45890</v>
      </c>
      <c r="B46" s="27" t="s">
        <v>1</v>
      </c>
      <c r="C46" s="24">
        <v>36.57</v>
      </c>
    </row>
    <row r="47" spans="1:3" hidden="1" x14ac:dyDescent="0.3">
      <c r="A47" s="26">
        <v>45890</v>
      </c>
      <c r="B47" s="32" t="s">
        <v>21</v>
      </c>
      <c r="C47" s="24">
        <v>15</v>
      </c>
    </row>
    <row r="48" spans="1:3" hidden="1" x14ac:dyDescent="0.3">
      <c r="A48" s="26">
        <v>45890</v>
      </c>
      <c r="B48" s="34" t="s">
        <v>21</v>
      </c>
      <c r="C48" s="24">
        <v>45.77</v>
      </c>
    </row>
    <row r="49" spans="1:3" hidden="1" x14ac:dyDescent="0.3">
      <c r="A49" s="26">
        <v>45890</v>
      </c>
      <c r="B49" s="46" t="s">
        <v>21</v>
      </c>
      <c r="C49" s="24">
        <v>5.65</v>
      </c>
    </row>
    <row r="50" spans="1:3" hidden="1" x14ac:dyDescent="0.3">
      <c r="A50" s="26">
        <v>45894</v>
      </c>
      <c r="B50" s="27" t="s">
        <v>4</v>
      </c>
      <c r="C50" s="24">
        <v>-34.9</v>
      </c>
    </row>
    <row r="51" spans="1:3" hidden="1" x14ac:dyDescent="0.3">
      <c r="A51" s="26">
        <v>45895</v>
      </c>
      <c r="B51" s="27" t="s">
        <v>4</v>
      </c>
      <c r="C51" s="24">
        <v>-20</v>
      </c>
    </row>
    <row r="52" spans="1:3" hidden="1" x14ac:dyDescent="0.3">
      <c r="A52" s="26">
        <v>45896</v>
      </c>
      <c r="B52" s="27" t="s">
        <v>4</v>
      </c>
      <c r="C52" s="24">
        <v>-24.77</v>
      </c>
    </row>
    <row r="53" spans="1:3" hidden="1" x14ac:dyDescent="0.3">
      <c r="A53" s="26">
        <v>45898</v>
      </c>
      <c r="B53" s="27" t="s">
        <v>7</v>
      </c>
      <c r="C53" s="24">
        <v>-36.770000000000003</v>
      </c>
    </row>
    <row r="54" spans="1:3" hidden="1" x14ac:dyDescent="0.3">
      <c r="A54" s="26">
        <v>45898</v>
      </c>
      <c r="B54" s="32" t="s">
        <v>21</v>
      </c>
      <c r="C54" s="24">
        <v>24.84</v>
      </c>
    </row>
    <row r="55" spans="1:3" hidden="1" x14ac:dyDescent="0.3">
      <c r="A55" s="26">
        <v>45898</v>
      </c>
      <c r="B55" s="34" t="s">
        <v>21</v>
      </c>
      <c r="C55" s="24">
        <v>25.47</v>
      </c>
    </row>
    <row r="56" spans="1:3" hidden="1" x14ac:dyDescent="0.3">
      <c r="A56" s="26">
        <v>45900</v>
      </c>
      <c r="B56" s="27" t="s">
        <v>4</v>
      </c>
      <c r="C56" s="24">
        <v>-49.87</v>
      </c>
    </row>
    <row r="57" spans="1:3" hidden="1" x14ac:dyDescent="0.3">
      <c r="A57" s="26">
        <v>45903</v>
      </c>
      <c r="B57" s="27" t="s">
        <v>4</v>
      </c>
      <c r="C57" s="24">
        <v>-20</v>
      </c>
    </row>
    <row r="58" spans="1:3" hidden="1" x14ac:dyDescent="0.3">
      <c r="A58" s="26">
        <v>45904</v>
      </c>
      <c r="B58" s="27" t="s">
        <v>1</v>
      </c>
      <c r="C58" s="24">
        <v>41.6</v>
      </c>
    </row>
    <row r="59" spans="1:3" hidden="1" x14ac:dyDescent="0.3">
      <c r="A59" s="26">
        <v>45904</v>
      </c>
      <c r="B59" s="32" t="s">
        <v>21</v>
      </c>
      <c r="C59" s="24">
        <v>27.1</v>
      </c>
    </row>
    <row r="60" spans="1:3" hidden="1" x14ac:dyDescent="0.3">
      <c r="A60" s="26">
        <v>45904</v>
      </c>
      <c r="B60" s="34" t="s">
        <v>21</v>
      </c>
      <c r="C60" s="24">
        <v>58.58</v>
      </c>
    </row>
    <row r="61" spans="1:3" hidden="1" x14ac:dyDescent="0.3">
      <c r="A61" s="26">
        <v>45908</v>
      </c>
      <c r="B61" s="27" t="s">
        <v>4</v>
      </c>
      <c r="C61" s="24">
        <v>-15</v>
      </c>
    </row>
    <row r="62" spans="1:3" hidden="1" x14ac:dyDescent="0.3">
      <c r="A62" s="26">
        <v>45911</v>
      </c>
      <c r="B62" s="27" t="s">
        <v>7</v>
      </c>
      <c r="C62" s="24">
        <v>-58.06</v>
      </c>
    </row>
    <row r="63" spans="1:3" hidden="1" x14ac:dyDescent="0.3">
      <c r="A63" s="26">
        <v>45911</v>
      </c>
      <c r="B63" s="32" t="s">
        <v>21</v>
      </c>
      <c r="C63" s="24">
        <v>15</v>
      </c>
    </row>
    <row r="64" spans="1:3" hidden="1" x14ac:dyDescent="0.3">
      <c r="A64" s="26">
        <v>45911</v>
      </c>
      <c r="B64" s="34" t="s">
        <v>21</v>
      </c>
      <c r="C64" s="24">
        <v>26.21</v>
      </c>
    </row>
    <row r="65" spans="1:3" hidden="1" x14ac:dyDescent="0.3">
      <c r="A65" s="26">
        <v>45915</v>
      </c>
      <c r="B65" s="27" t="s">
        <v>4</v>
      </c>
      <c r="C65" s="24">
        <v>-40.32</v>
      </c>
    </row>
    <row r="66" spans="1:3" hidden="1" x14ac:dyDescent="0.3">
      <c r="A66" s="26">
        <v>45915</v>
      </c>
      <c r="B66" s="27" t="s">
        <v>4</v>
      </c>
      <c r="C66" s="24">
        <v>-40</v>
      </c>
    </row>
    <row r="67" spans="1:3" hidden="1" x14ac:dyDescent="0.3">
      <c r="A67" s="26">
        <v>45918</v>
      </c>
      <c r="B67" s="27" t="s">
        <v>4</v>
      </c>
      <c r="C67" s="24">
        <v>-30</v>
      </c>
    </row>
    <row r="68" spans="1:3" hidden="1" x14ac:dyDescent="0.3">
      <c r="A68" s="26">
        <v>45920</v>
      </c>
      <c r="B68" s="27" t="s">
        <v>1</v>
      </c>
      <c r="C68" s="24">
        <v>20.8</v>
      </c>
    </row>
    <row r="69" spans="1:3" hidden="1" x14ac:dyDescent="0.3">
      <c r="A69" s="26">
        <v>45920</v>
      </c>
      <c r="B69" s="32" t="s">
        <v>21</v>
      </c>
      <c r="C69" s="24">
        <v>31.7</v>
      </c>
    </row>
    <row r="70" spans="1:3" hidden="1" x14ac:dyDescent="0.3">
      <c r="A70" s="26">
        <v>45920</v>
      </c>
      <c r="B70" s="34" t="s">
        <v>21</v>
      </c>
      <c r="C70" s="24">
        <v>78.66</v>
      </c>
    </row>
    <row r="71" spans="1:3" hidden="1" x14ac:dyDescent="0.3">
      <c r="A71" s="26">
        <v>45925</v>
      </c>
      <c r="B71" s="27" t="s">
        <v>7</v>
      </c>
      <c r="C71" s="24">
        <v>-51.61</v>
      </c>
    </row>
    <row r="72" spans="1:3" hidden="1" x14ac:dyDescent="0.3">
      <c r="A72" s="26">
        <v>45925</v>
      </c>
      <c r="B72" s="27" t="s">
        <v>1</v>
      </c>
      <c r="C72" s="24">
        <v>11.62</v>
      </c>
    </row>
    <row r="73" spans="1:3" hidden="1" x14ac:dyDescent="0.3">
      <c r="A73" s="26">
        <v>45925</v>
      </c>
      <c r="B73" s="32" t="s">
        <v>21</v>
      </c>
      <c r="C73" s="24">
        <v>40.69</v>
      </c>
    </row>
    <row r="74" spans="1:3" hidden="1" x14ac:dyDescent="0.3">
      <c r="A74" s="26">
        <v>45925</v>
      </c>
      <c r="B74" s="34" t="s">
        <v>21</v>
      </c>
      <c r="C74" s="24">
        <v>30.05</v>
      </c>
    </row>
    <row r="75" spans="1:3" hidden="1" x14ac:dyDescent="0.3">
      <c r="A75" s="26">
        <v>45931</v>
      </c>
      <c r="B75" s="27" t="s">
        <v>4</v>
      </c>
      <c r="C75" s="24">
        <v>-30</v>
      </c>
    </row>
    <row r="76" spans="1:3" hidden="1" x14ac:dyDescent="0.3">
      <c r="A76" s="26">
        <v>45932</v>
      </c>
      <c r="B76" s="27" t="s">
        <v>7</v>
      </c>
      <c r="C76" s="24">
        <v>-90.32</v>
      </c>
    </row>
    <row r="77" spans="1:3" hidden="1" x14ac:dyDescent="0.3">
      <c r="A77" s="26">
        <v>45932</v>
      </c>
      <c r="B77" s="34" t="s">
        <v>21</v>
      </c>
      <c r="C77" s="24">
        <v>21.4</v>
      </c>
    </row>
    <row r="78" spans="1:3" hidden="1" x14ac:dyDescent="0.3">
      <c r="A78" s="26">
        <v>45939</v>
      </c>
      <c r="B78" s="27" t="s">
        <v>7</v>
      </c>
      <c r="C78" s="24">
        <v>-50</v>
      </c>
    </row>
    <row r="79" spans="1:3" hidden="1" x14ac:dyDescent="0.3">
      <c r="A79" s="26">
        <v>45939</v>
      </c>
      <c r="B79" s="32" t="s">
        <v>21</v>
      </c>
      <c r="C79" s="24">
        <v>35.42</v>
      </c>
    </row>
    <row r="80" spans="1:3" hidden="1" x14ac:dyDescent="0.3">
      <c r="A80" s="26">
        <v>45939</v>
      </c>
      <c r="B80" s="34" t="s">
        <v>21</v>
      </c>
      <c r="C80" s="24">
        <v>55.33</v>
      </c>
    </row>
    <row r="81" spans="1:3" hidden="1" x14ac:dyDescent="0.3">
      <c r="A81" s="26">
        <v>45939</v>
      </c>
      <c r="B81" s="46" t="s">
        <v>21</v>
      </c>
      <c r="C81" s="24">
        <v>5.7</v>
      </c>
    </row>
    <row r="82" spans="1:3" hidden="1" x14ac:dyDescent="0.3">
      <c r="A82" s="26">
        <v>45946</v>
      </c>
      <c r="B82" s="27" t="s">
        <v>7</v>
      </c>
      <c r="C82" s="24">
        <v>-57.69</v>
      </c>
    </row>
    <row r="83" spans="1:3" hidden="1" x14ac:dyDescent="0.3">
      <c r="A83" s="26">
        <v>45946</v>
      </c>
      <c r="B83" s="32" t="s">
        <v>21</v>
      </c>
      <c r="C83" s="24">
        <v>30.84</v>
      </c>
    </row>
    <row r="84" spans="1:3" hidden="1" x14ac:dyDescent="0.3">
      <c r="A84" s="26">
        <v>45946</v>
      </c>
      <c r="B84" s="34" t="s">
        <v>21</v>
      </c>
      <c r="C84" s="24">
        <v>29.23</v>
      </c>
    </row>
    <row r="85" spans="1:3" hidden="1" x14ac:dyDescent="0.3">
      <c r="A85" s="26">
        <v>45952</v>
      </c>
      <c r="B85" s="27" t="s">
        <v>4</v>
      </c>
      <c r="C85" s="24">
        <v>-19</v>
      </c>
    </row>
    <row r="86" spans="1:3" hidden="1" x14ac:dyDescent="0.3">
      <c r="A86" s="26">
        <v>45953</v>
      </c>
      <c r="B86" s="27" t="s">
        <v>7</v>
      </c>
      <c r="C86" s="24">
        <v>-60.07</v>
      </c>
    </row>
    <row r="87" spans="1:3" hidden="1" x14ac:dyDescent="0.3">
      <c r="A87" s="26">
        <v>45954</v>
      </c>
      <c r="B87" s="27" t="s">
        <v>1</v>
      </c>
      <c r="C87" s="24">
        <v>46</v>
      </c>
    </row>
    <row r="88" spans="1:3" hidden="1" x14ac:dyDescent="0.3">
      <c r="A88" s="26">
        <v>45954</v>
      </c>
      <c r="B88" s="32" t="s">
        <v>21</v>
      </c>
      <c r="C88" s="24">
        <v>38.340000000000003</v>
      </c>
    </row>
    <row r="89" spans="1:3" hidden="1" x14ac:dyDescent="0.3">
      <c r="A89" s="26">
        <v>45954</v>
      </c>
      <c r="B89" s="34" t="s">
        <v>21</v>
      </c>
      <c r="C89" s="24">
        <v>12.3</v>
      </c>
    </row>
    <row r="90" spans="1:3" hidden="1" x14ac:dyDescent="0.3">
      <c r="A90" s="26">
        <v>45960</v>
      </c>
      <c r="B90" s="27" t="s">
        <v>7</v>
      </c>
      <c r="C90" s="24">
        <v>-74.069999999999993</v>
      </c>
    </row>
    <row r="91" spans="1:3" hidden="1" x14ac:dyDescent="0.3">
      <c r="A91" s="26">
        <v>45960</v>
      </c>
      <c r="B91" s="32" t="s">
        <v>21</v>
      </c>
      <c r="C91" s="24">
        <v>28.5</v>
      </c>
    </row>
    <row r="92" spans="1:3" hidden="1" x14ac:dyDescent="0.3">
      <c r="A92" s="26">
        <v>45960</v>
      </c>
      <c r="B92" s="34" t="s">
        <v>21</v>
      </c>
      <c r="C92" s="24">
        <v>51.82</v>
      </c>
    </row>
    <row r="93" spans="1:3" hidden="1" x14ac:dyDescent="0.3">
      <c r="A93" s="26">
        <v>45960</v>
      </c>
      <c r="B93" s="46" t="s">
        <v>21</v>
      </c>
      <c r="C93" s="24">
        <v>3.86</v>
      </c>
    </row>
    <row r="94" spans="1:3" hidden="1" x14ac:dyDescent="0.3">
      <c r="A94" s="26">
        <v>45968</v>
      </c>
      <c r="B94" s="27" t="s">
        <v>7</v>
      </c>
      <c r="C94" s="24">
        <v>-90.78</v>
      </c>
    </row>
    <row r="95" spans="1:3" hidden="1" x14ac:dyDescent="0.3">
      <c r="A95" s="26">
        <v>45968</v>
      </c>
      <c r="B95" s="32" t="s">
        <v>21</v>
      </c>
      <c r="C95" s="24">
        <v>33</v>
      </c>
    </row>
    <row r="96" spans="1:3" hidden="1" x14ac:dyDescent="0.3">
      <c r="A96" s="26">
        <v>45968</v>
      </c>
      <c r="B96" s="34" t="s">
        <v>21</v>
      </c>
      <c r="C96" s="24">
        <v>66.22</v>
      </c>
    </row>
    <row r="97" spans="1:4" hidden="1" x14ac:dyDescent="0.3">
      <c r="A97" s="26">
        <v>45968</v>
      </c>
      <c r="B97" s="46" t="s">
        <v>21</v>
      </c>
      <c r="C97" s="24">
        <v>5.65</v>
      </c>
    </row>
    <row r="98" spans="1:4" hidden="1" x14ac:dyDescent="0.3">
      <c r="A98" s="26">
        <v>45974</v>
      </c>
      <c r="B98" s="27" t="s">
        <v>7</v>
      </c>
      <c r="C98" s="24">
        <v>-125</v>
      </c>
    </row>
    <row r="99" spans="1:4" hidden="1" x14ac:dyDescent="0.3">
      <c r="A99" s="26">
        <v>45974</v>
      </c>
      <c r="B99" s="27" t="s">
        <v>1</v>
      </c>
      <c r="C99" s="24">
        <v>148.91</v>
      </c>
    </row>
    <row r="100" spans="1:4" hidden="1" x14ac:dyDescent="0.3">
      <c r="A100" s="26">
        <v>45981</v>
      </c>
      <c r="B100" s="27" t="s">
        <v>7</v>
      </c>
      <c r="C100" s="24">
        <v>-89.28</v>
      </c>
    </row>
    <row r="101" spans="1:4" hidden="1" x14ac:dyDescent="0.3">
      <c r="A101" s="26">
        <v>45988</v>
      </c>
      <c r="B101" s="27" t="s">
        <v>7</v>
      </c>
      <c r="C101" s="24">
        <v>-75.349999999999994</v>
      </c>
    </row>
    <row r="102" spans="1:4" x14ac:dyDescent="0.3">
      <c r="A102" s="26">
        <v>45988</v>
      </c>
      <c r="B102" s="27" t="s">
        <v>1</v>
      </c>
      <c r="C102" s="24">
        <v>168.78</v>
      </c>
    </row>
    <row r="103" spans="1:4" x14ac:dyDescent="0.3">
      <c r="A103" s="26">
        <v>45995</v>
      </c>
      <c r="B103" s="27" t="s">
        <v>7</v>
      </c>
      <c r="C103" s="24">
        <v>-142.85</v>
      </c>
    </row>
    <row r="104" spans="1:4" x14ac:dyDescent="0.3">
      <c r="A104" s="26">
        <v>45995</v>
      </c>
      <c r="B104" s="27" t="s">
        <v>1</v>
      </c>
      <c r="C104" s="24">
        <v>176.45</v>
      </c>
    </row>
    <row r="105" spans="1:4" x14ac:dyDescent="0.3">
      <c r="A105" s="26">
        <v>45999</v>
      </c>
      <c r="B105" s="27" t="s">
        <v>4</v>
      </c>
      <c r="C105" s="24">
        <v>-26</v>
      </c>
    </row>
    <row r="106" spans="1:4" x14ac:dyDescent="0.3">
      <c r="A106" s="26">
        <v>46003</v>
      </c>
      <c r="B106" s="27" t="s">
        <v>7</v>
      </c>
      <c r="C106" s="24">
        <v>-142.85</v>
      </c>
    </row>
    <row r="107" spans="1:4" x14ac:dyDescent="0.3">
      <c r="A107" s="26">
        <v>46003</v>
      </c>
      <c r="B107" s="27" t="s">
        <v>1</v>
      </c>
      <c r="C107" s="24">
        <v>182.5</v>
      </c>
    </row>
    <row r="108" spans="1:4" x14ac:dyDescent="0.3">
      <c r="A108" s="26">
        <v>46010</v>
      </c>
      <c r="B108" s="27" t="s">
        <v>7</v>
      </c>
      <c r="C108" s="24">
        <v>-216.07</v>
      </c>
    </row>
    <row r="109" spans="1:4" x14ac:dyDescent="0.3">
      <c r="A109" s="26">
        <v>46010</v>
      </c>
      <c r="B109" s="27" t="s">
        <v>1</v>
      </c>
      <c r="C109" s="24">
        <v>119.04</v>
      </c>
    </row>
    <row r="110" spans="1:4" x14ac:dyDescent="0.3">
      <c r="A110" s="26">
        <v>46017</v>
      </c>
      <c r="B110" s="27" t="s">
        <v>4</v>
      </c>
      <c r="C110" s="24">
        <v>-108.49</v>
      </c>
    </row>
    <row r="111" spans="1:4" x14ac:dyDescent="0.3">
      <c r="A111" s="26">
        <v>46017</v>
      </c>
      <c r="B111" s="27" t="s">
        <v>7</v>
      </c>
      <c r="C111" s="24">
        <v>-11.28</v>
      </c>
    </row>
    <row r="112" spans="1:4" x14ac:dyDescent="0.3">
      <c r="A112" s="26">
        <v>46017</v>
      </c>
      <c r="B112" s="27" t="s">
        <v>1</v>
      </c>
      <c r="C112" s="24">
        <v>112.5</v>
      </c>
      <c r="D112" s="25">
        <v>2</v>
      </c>
    </row>
    <row r="113" spans="1:4" x14ac:dyDescent="0.3">
      <c r="A113" s="26">
        <v>46024</v>
      </c>
      <c r="B113" s="27" t="s">
        <v>4</v>
      </c>
      <c r="C113" s="24">
        <v>-50</v>
      </c>
    </row>
    <row r="114" spans="1:4" x14ac:dyDescent="0.3">
      <c r="A114" s="26">
        <v>46027</v>
      </c>
      <c r="B114" s="27" t="s">
        <v>4</v>
      </c>
      <c r="C114" s="24">
        <v>-62.5</v>
      </c>
    </row>
    <row r="115" spans="1:4" x14ac:dyDescent="0.3">
      <c r="A115" s="26">
        <v>46031</v>
      </c>
      <c r="B115" s="27" t="s">
        <v>1</v>
      </c>
      <c r="C115" s="24">
        <v>107.24</v>
      </c>
    </row>
    <row r="116" spans="1:4" x14ac:dyDescent="0.3">
      <c r="A116" s="26">
        <v>46037</v>
      </c>
      <c r="B116" s="27" t="s">
        <v>4</v>
      </c>
      <c r="C116" s="24">
        <v>-107.24</v>
      </c>
    </row>
    <row r="117" spans="1:4" x14ac:dyDescent="0.3">
      <c r="A117" s="26">
        <v>46038</v>
      </c>
      <c r="B117" s="27" t="s">
        <v>1</v>
      </c>
      <c r="C117" s="24">
        <v>73.59</v>
      </c>
    </row>
    <row r="118" spans="1:4" x14ac:dyDescent="0.3">
      <c r="A118" s="26">
        <v>46042</v>
      </c>
      <c r="B118" s="27" t="s">
        <v>4</v>
      </c>
      <c r="C118" s="24">
        <v>-73.59</v>
      </c>
    </row>
    <row r="119" spans="1:4" x14ac:dyDescent="0.3">
      <c r="A119" s="26">
        <v>46044</v>
      </c>
      <c r="B119" s="27" t="s">
        <v>1</v>
      </c>
      <c r="C119" s="24">
        <v>170.86</v>
      </c>
      <c r="D119" s="25">
        <v>-3</v>
      </c>
    </row>
    <row r="120" spans="1:4" x14ac:dyDescent="0.3">
      <c r="A120" s="26">
        <v>46051</v>
      </c>
      <c r="B120" s="27" t="s">
        <v>4</v>
      </c>
      <c r="C120" s="24">
        <v>-39</v>
      </c>
    </row>
    <row r="121" spans="1:4" x14ac:dyDescent="0.3">
      <c r="A121" s="26">
        <v>46052</v>
      </c>
      <c r="B121" s="27" t="s">
        <v>4</v>
      </c>
      <c r="C121" s="24">
        <v>-51</v>
      </c>
    </row>
    <row r="122" spans="1:4" x14ac:dyDescent="0.3">
      <c r="A122" s="26">
        <v>46055</v>
      </c>
      <c r="B122" s="27" t="s">
        <v>4</v>
      </c>
      <c r="C122" s="24">
        <v>-29.76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DF5DD-362D-4A7A-BF02-72CEB99F5552}">
  <sheetPr codeName="Hoja35"/>
  <dimension ref="A1:H86"/>
  <sheetViews>
    <sheetView view="pageBreakPreview" zoomScaleNormal="100" zoomScaleSheetLayoutView="100" workbookViewId="0">
      <selection activeCell="C87" sqref="C8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71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72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223.6900000000002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45814</v>
      </c>
      <c r="B5" s="31" t="s">
        <v>21</v>
      </c>
      <c r="C5" s="24">
        <v>32.1</v>
      </c>
      <c r="D5" s="30"/>
      <c r="E5" s="30"/>
      <c r="F5" s="30"/>
      <c r="G5" s="22"/>
    </row>
    <row r="6" spans="1:8" hidden="1" x14ac:dyDescent="0.3">
      <c r="A6" s="21">
        <v>45814</v>
      </c>
      <c r="B6" s="32" t="s">
        <v>21</v>
      </c>
      <c r="C6" s="24">
        <v>15.85</v>
      </c>
    </row>
    <row r="7" spans="1:8" hidden="1" x14ac:dyDescent="0.3">
      <c r="A7" s="21">
        <v>45814</v>
      </c>
      <c r="B7" s="34" t="s">
        <v>21</v>
      </c>
      <c r="C7" s="24">
        <v>111.36</v>
      </c>
    </row>
    <row r="8" spans="1:8" hidden="1" x14ac:dyDescent="0.3">
      <c r="A8" s="26">
        <v>45821</v>
      </c>
      <c r="B8" s="27" t="s">
        <v>4</v>
      </c>
      <c r="C8" s="24">
        <v>-69.25</v>
      </c>
    </row>
    <row r="9" spans="1:8" hidden="1" x14ac:dyDescent="0.3">
      <c r="A9" s="26">
        <v>45827</v>
      </c>
      <c r="B9" s="27" t="s">
        <v>4</v>
      </c>
      <c r="C9" s="24">
        <v>-89.27</v>
      </c>
    </row>
    <row r="10" spans="1:8" hidden="1" x14ac:dyDescent="0.3">
      <c r="A10" s="26">
        <v>45828</v>
      </c>
      <c r="B10" s="31" t="s">
        <v>1</v>
      </c>
      <c r="C10" s="24">
        <v>20.8</v>
      </c>
    </row>
    <row r="11" spans="1:8" hidden="1" x14ac:dyDescent="0.3">
      <c r="A11" s="26">
        <v>45828</v>
      </c>
      <c r="B11" s="32" t="s">
        <v>21</v>
      </c>
      <c r="C11" s="24">
        <v>43.1</v>
      </c>
    </row>
    <row r="12" spans="1:8" hidden="1" x14ac:dyDescent="0.3">
      <c r="A12" s="26">
        <v>45828</v>
      </c>
      <c r="B12" s="34" t="s">
        <v>21</v>
      </c>
      <c r="C12" s="24">
        <v>228.48</v>
      </c>
    </row>
    <row r="13" spans="1:8" hidden="1" x14ac:dyDescent="0.3">
      <c r="A13" s="26">
        <v>45828</v>
      </c>
      <c r="B13" s="27" t="s">
        <v>4</v>
      </c>
      <c r="C13" s="24">
        <v>-47.83</v>
      </c>
    </row>
    <row r="14" spans="1:8" hidden="1" x14ac:dyDescent="0.3">
      <c r="A14" s="26">
        <v>45838</v>
      </c>
      <c r="B14" s="27" t="s">
        <v>4</v>
      </c>
      <c r="C14" s="24">
        <v>-74.33</v>
      </c>
    </row>
    <row r="15" spans="1:8" hidden="1" x14ac:dyDescent="0.3">
      <c r="A15" s="26">
        <v>45841</v>
      </c>
      <c r="B15" s="27" t="s">
        <v>4</v>
      </c>
      <c r="C15" s="24">
        <v>-63.77</v>
      </c>
    </row>
    <row r="16" spans="1:8" hidden="1" x14ac:dyDescent="0.3">
      <c r="A16" s="26">
        <v>45845</v>
      </c>
      <c r="B16" s="27" t="s">
        <v>4</v>
      </c>
      <c r="C16" s="24">
        <v>-89.75</v>
      </c>
    </row>
    <row r="17" spans="1:3" hidden="1" x14ac:dyDescent="0.3">
      <c r="A17" s="26">
        <v>45846</v>
      </c>
      <c r="B17" s="27" t="s">
        <v>4</v>
      </c>
      <c r="C17" s="24">
        <v>-17.489999999999998</v>
      </c>
    </row>
    <row r="18" spans="1:3" hidden="1" x14ac:dyDescent="0.3">
      <c r="A18" s="26">
        <v>45846</v>
      </c>
      <c r="B18" s="27" t="s">
        <v>1</v>
      </c>
      <c r="C18" s="24">
        <v>41.6</v>
      </c>
    </row>
    <row r="19" spans="1:3" hidden="1" x14ac:dyDescent="0.3">
      <c r="A19" s="26">
        <v>45846</v>
      </c>
      <c r="B19" s="32" t="s">
        <v>21</v>
      </c>
      <c r="C19" s="24">
        <v>56.54</v>
      </c>
    </row>
    <row r="20" spans="1:3" hidden="1" x14ac:dyDescent="0.3">
      <c r="A20" s="26">
        <v>45846</v>
      </c>
      <c r="B20" s="34" t="s">
        <v>21</v>
      </c>
      <c r="C20" s="24">
        <v>200.84</v>
      </c>
    </row>
    <row r="21" spans="1:3" hidden="1" x14ac:dyDescent="0.3">
      <c r="A21" s="26">
        <v>45835</v>
      </c>
      <c r="B21" s="31" t="s">
        <v>4</v>
      </c>
      <c r="C21" s="24">
        <v>-93.58</v>
      </c>
    </row>
    <row r="22" spans="1:3" hidden="1" x14ac:dyDescent="0.3">
      <c r="A22" s="26">
        <v>45859</v>
      </c>
      <c r="B22" s="27" t="s">
        <v>4</v>
      </c>
      <c r="C22" s="24">
        <v>-100.72</v>
      </c>
    </row>
    <row r="23" spans="1:3" hidden="1" x14ac:dyDescent="0.3">
      <c r="A23" s="26">
        <v>45862</v>
      </c>
      <c r="B23" s="27" t="s">
        <v>4</v>
      </c>
      <c r="C23" s="24">
        <v>-104.68</v>
      </c>
    </row>
    <row r="24" spans="1:3" hidden="1" x14ac:dyDescent="0.3">
      <c r="A24" s="26">
        <v>45863</v>
      </c>
      <c r="B24" s="27" t="s">
        <v>1</v>
      </c>
      <c r="C24" s="24">
        <v>20.8</v>
      </c>
    </row>
    <row r="25" spans="1:3" hidden="1" x14ac:dyDescent="0.3">
      <c r="A25" s="26">
        <v>45863</v>
      </c>
      <c r="B25" s="32" t="s">
        <v>21</v>
      </c>
      <c r="C25" s="24">
        <v>62.39</v>
      </c>
    </row>
    <row r="26" spans="1:3" hidden="1" x14ac:dyDescent="0.3">
      <c r="A26" s="26">
        <v>45863</v>
      </c>
      <c r="B26" s="34" t="s">
        <v>21</v>
      </c>
      <c r="C26" s="24">
        <v>205.81</v>
      </c>
    </row>
    <row r="27" spans="1:3" hidden="1" x14ac:dyDescent="0.3">
      <c r="A27" s="26">
        <v>45863</v>
      </c>
      <c r="B27" s="45" t="s">
        <v>1</v>
      </c>
      <c r="C27" s="24">
        <v>10.88</v>
      </c>
    </row>
    <row r="28" spans="1:3" hidden="1" x14ac:dyDescent="0.3">
      <c r="A28" s="26">
        <v>45873</v>
      </c>
      <c r="B28" s="27" t="s">
        <v>4</v>
      </c>
      <c r="C28" s="24">
        <v>-118.78</v>
      </c>
    </row>
    <row r="29" spans="1:3" hidden="1" x14ac:dyDescent="0.3">
      <c r="A29" s="26">
        <v>45877</v>
      </c>
      <c r="B29" s="27" t="s">
        <v>4</v>
      </c>
      <c r="C29" s="24">
        <v>-146.08000000000001</v>
      </c>
    </row>
    <row r="30" spans="1:3" hidden="1" x14ac:dyDescent="0.3">
      <c r="A30" s="26">
        <v>45877</v>
      </c>
      <c r="B30" s="27" t="s">
        <v>1</v>
      </c>
      <c r="C30" s="24">
        <v>41.6</v>
      </c>
    </row>
    <row r="31" spans="1:3" hidden="1" x14ac:dyDescent="0.3">
      <c r="A31" s="26">
        <v>45877</v>
      </c>
      <c r="B31" s="32" t="s">
        <v>1</v>
      </c>
      <c r="C31" s="24">
        <v>46.45</v>
      </c>
    </row>
    <row r="32" spans="1:3" hidden="1" x14ac:dyDescent="0.3">
      <c r="A32" s="26">
        <v>45877</v>
      </c>
      <c r="B32" s="34" t="s">
        <v>21</v>
      </c>
      <c r="C32" s="24">
        <v>90.93</v>
      </c>
    </row>
    <row r="33" spans="1:3" hidden="1" x14ac:dyDescent="0.3">
      <c r="A33" s="26">
        <v>45877</v>
      </c>
      <c r="B33" s="45" t="s">
        <v>1</v>
      </c>
      <c r="C33" s="24">
        <v>12.2</v>
      </c>
    </row>
    <row r="34" spans="1:3" hidden="1" x14ac:dyDescent="0.3">
      <c r="A34" s="26">
        <v>45887</v>
      </c>
      <c r="B34" s="27" t="s">
        <v>4</v>
      </c>
      <c r="C34" s="24">
        <v>-51.13</v>
      </c>
    </row>
    <row r="35" spans="1:3" hidden="1" x14ac:dyDescent="0.3">
      <c r="A35" s="26">
        <v>45891</v>
      </c>
      <c r="B35" s="27" t="s">
        <v>4</v>
      </c>
      <c r="C35" s="24">
        <v>-175.07</v>
      </c>
    </row>
    <row r="36" spans="1:3" hidden="1" x14ac:dyDescent="0.3">
      <c r="A36" s="26">
        <v>45891</v>
      </c>
      <c r="B36" s="27" t="s">
        <v>1</v>
      </c>
      <c r="C36" s="24">
        <v>41.6</v>
      </c>
    </row>
    <row r="37" spans="1:3" hidden="1" x14ac:dyDescent="0.3">
      <c r="A37" s="26">
        <v>45891</v>
      </c>
      <c r="B37" s="32" t="s">
        <v>1</v>
      </c>
      <c r="C37" s="24">
        <v>49.45</v>
      </c>
    </row>
    <row r="38" spans="1:3" hidden="1" x14ac:dyDescent="0.3">
      <c r="A38" s="26">
        <v>45891</v>
      </c>
      <c r="B38" s="34" t="s">
        <v>21</v>
      </c>
      <c r="C38" s="24">
        <v>248.16</v>
      </c>
    </row>
    <row r="39" spans="1:3" hidden="1" x14ac:dyDescent="0.3">
      <c r="A39" s="26">
        <v>45895</v>
      </c>
      <c r="B39" s="27" t="s">
        <v>4</v>
      </c>
      <c r="C39" s="24">
        <v>-48.94</v>
      </c>
    </row>
    <row r="40" spans="1:3" hidden="1" x14ac:dyDescent="0.3">
      <c r="A40" s="26">
        <v>45900</v>
      </c>
      <c r="B40" s="27" t="s">
        <v>4</v>
      </c>
      <c r="C40" s="24">
        <v>-47.16</v>
      </c>
    </row>
    <row r="41" spans="1:3" hidden="1" x14ac:dyDescent="0.3">
      <c r="A41" s="26">
        <v>45904</v>
      </c>
      <c r="B41" s="27" t="s">
        <v>4</v>
      </c>
      <c r="C41" s="24">
        <v>-85.66</v>
      </c>
    </row>
    <row r="42" spans="1:3" hidden="1" x14ac:dyDescent="0.3">
      <c r="A42" s="26">
        <v>45905</v>
      </c>
      <c r="B42" s="27" t="s">
        <v>4</v>
      </c>
      <c r="C42" s="24">
        <v>-130.87</v>
      </c>
    </row>
    <row r="43" spans="1:3" hidden="1" x14ac:dyDescent="0.3">
      <c r="A43" s="26">
        <v>45905</v>
      </c>
      <c r="B43" s="27" t="s">
        <v>1</v>
      </c>
      <c r="C43" s="24">
        <v>41.6</v>
      </c>
    </row>
    <row r="44" spans="1:3" hidden="1" x14ac:dyDescent="0.3">
      <c r="A44" s="26">
        <v>45905</v>
      </c>
      <c r="B44" s="32" t="s">
        <v>1</v>
      </c>
      <c r="C44" s="24">
        <v>25.14</v>
      </c>
    </row>
    <row r="45" spans="1:3" hidden="1" x14ac:dyDescent="0.3">
      <c r="A45" s="26">
        <v>45905</v>
      </c>
      <c r="B45" s="34" t="s">
        <v>21</v>
      </c>
      <c r="C45" s="24">
        <v>146.19999999999999</v>
      </c>
    </row>
    <row r="46" spans="1:3" hidden="1" x14ac:dyDescent="0.3">
      <c r="A46" s="26">
        <v>45916</v>
      </c>
      <c r="B46" s="27" t="s">
        <v>4</v>
      </c>
      <c r="C46" s="24">
        <v>-62.33</v>
      </c>
    </row>
    <row r="47" spans="1:3" hidden="1" x14ac:dyDescent="0.3">
      <c r="A47" s="26">
        <v>45919</v>
      </c>
      <c r="B47" s="27" t="s">
        <v>4</v>
      </c>
      <c r="C47" s="24">
        <v>-120.91</v>
      </c>
    </row>
    <row r="48" spans="1:3" hidden="1" x14ac:dyDescent="0.3">
      <c r="A48" s="26">
        <v>45919</v>
      </c>
      <c r="B48" s="27" t="s">
        <v>1</v>
      </c>
      <c r="C48" s="24">
        <v>64</v>
      </c>
    </row>
    <row r="49" spans="1:3" hidden="1" x14ac:dyDescent="0.3">
      <c r="A49" s="26">
        <v>45919</v>
      </c>
      <c r="B49" s="32" t="s">
        <v>1</v>
      </c>
      <c r="C49" s="24">
        <v>30.85</v>
      </c>
    </row>
    <row r="50" spans="1:3" hidden="1" x14ac:dyDescent="0.3">
      <c r="A50" s="26">
        <v>45919</v>
      </c>
      <c r="B50" s="34" t="s">
        <v>21</v>
      </c>
      <c r="C50" s="24">
        <v>148.08000000000001</v>
      </c>
    </row>
    <row r="51" spans="1:3" hidden="1" x14ac:dyDescent="0.3">
      <c r="A51" s="26">
        <v>45930</v>
      </c>
      <c r="B51" s="27" t="s">
        <v>4</v>
      </c>
      <c r="C51" s="24">
        <v>-84.45</v>
      </c>
    </row>
    <row r="52" spans="1:3" hidden="1" x14ac:dyDescent="0.3">
      <c r="A52" s="26">
        <v>45933</v>
      </c>
      <c r="B52" s="27" t="s">
        <v>1</v>
      </c>
      <c r="C52" s="24">
        <v>41.6</v>
      </c>
    </row>
    <row r="53" spans="1:3" hidden="1" x14ac:dyDescent="0.3">
      <c r="A53" s="26">
        <v>45933</v>
      </c>
      <c r="B53" s="32" t="s">
        <v>1</v>
      </c>
      <c r="C53" s="24">
        <v>15</v>
      </c>
    </row>
    <row r="54" spans="1:3" hidden="1" x14ac:dyDescent="0.3">
      <c r="A54" s="26">
        <v>45933</v>
      </c>
      <c r="B54" s="34" t="s">
        <v>21</v>
      </c>
      <c r="C54" s="24">
        <v>21.4</v>
      </c>
    </row>
    <row r="55" spans="1:3" hidden="1" x14ac:dyDescent="0.3">
      <c r="A55" s="26">
        <v>45933</v>
      </c>
      <c r="B55" s="45" t="s">
        <v>1</v>
      </c>
      <c r="C55" s="24">
        <v>6</v>
      </c>
    </row>
    <row r="56" spans="1:3" hidden="1" x14ac:dyDescent="0.3">
      <c r="A56" s="26">
        <v>45933</v>
      </c>
      <c r="B56" s="27" t="s">
        <v>4</v>
      </c>
      <c r="C56" s="24">
        <v>-92.83</v>
      </c>
    </row>
    <row r="57" spans="1:3" hidden="1" x14ac:dyDescent="0.3">
      <c r="A57" s="26">
        <v>45940</v>
      </c>
      <c r="B57" s="27" t="s">
        <v>4</v>
      </c>
      <c r="C57" s="24">
        <v>-46.56</v>
      </c>
    </row>
    <row r="58" spans="1:3" hidden="1" x14ac:dyDescent="0.3">
      <c r="A58" s="26">
        <v>45946</v>
      </c>
      <c r="B58" s="27" t="s">
        <v>4</v>
      </c>
      <c r="C58" s="24">
        <v>-99.27</v>
      </c>
    </row>
    <row r="59" spans="1:3" hidden="1" x14ac:dyDescent="0.3">
      <c r="A59" s="26">
        <v>45947</v>
      </c>
      <c r="B59" s="27" t="s">
        <v>4</v>
      </c>
      <c r="C59" s="24">
        <v>-51.54</v>
      </c>
    </row>
    <row r="60" spans="1:3" hidden="1" x14ac:dyDescent="0.3">
      <c r="A60" s="26">
        <v>45947</v>
      </c>
      <c r="B60" s="32" t="s">
        <v>1</v>
      </c>
      <c r="C60" s="24">
        <v>45.48</v>
      </c>
    </row>
    <row r="61" spans="1:3" hidden="1" x14ac:dyDescent="0.3">
      <c r="A61" s="26">
        <v>45947</v>
      </c>
      <c r="B61" s="34" t="s">
        <v>21</v>
      </c>
      <c r="C61" s="24">
        <v>214.32</v>
      </c>
    </row>
    <row r="62" spans="1:3" hidden="1" x14ac:dyDescent="0.3">
      <c r="A62" s="26">
        <v>45947</v>
      </c>
      <c r="B62" s="45" t="s">
        <v>1</v>
      </c>
      <c r="C62" s="24">
        <v>8.76</v>
      </c>
    </row>
    <row r="63" spans="1:3" hidden="1" x14ac:dyDescent="0.3">
      <c r="A63" s="26">
        <v>45958</v>
      </c>
      <c r="B63" s="27" t="s">
        <v>4</v>
      </c>
      <c r="C63" s="24">
        <v>-123.76</v>
      </c>
    </row>
    <row r="64" spans="1:3" hidden="1" x14ac:dyDescent="0.3">
      <c r="A64" s="26">
        <v>45961</v>
      </c>
      <c r="B64" s="27" t="s">
        <v>4</v>
      </c>
      <c r="C64" s="24">
        <v>-112.74</v>
      </c>
    </row>
    <row r="65" spans="1:3" hidden="1" x14ac:dyDescent="0.3">
      <c r="A65" s="26">
        <v>45961</v>
      </c>
      <c r="B65" s="27" t="s">
        <v>1</v>
      </c>
      <c r="C65" s="24">
        <v>46</v>
      </c>
    </row>
    <row r="66" spans="1:3" hidden="1" x14ac:dyDescent="0.3">
      <c r="A66" s="26">
        <v>45961</v>
      </c>
      <c r="B66" s="32" t="s">
        <v>1</v>
      </c>
      <c r="C66" s="24">
        <v>31.38</v>
      </c>
    </row>
    <row r="67" spans="1:3" hidden="1" x14ac:dyDescent="0.3">
      <c r="A67" s="26">
        <v>45961</v>
      </c>
      <c r="B67" s="34" t="s">
        <v>21</v>
      </c>
      <c r="C67" s="24">
        <v>164.97</v>
      </c>
    </row>
    <row r="68" spans="1:3" hidden="1" x14ac:dyDescent="0.3">
      <c r="A68" s="26">
        <v>45978</v>
      </c>
      <c r="B68" s="27" t="s">
        <v>4</v>
      </c>
      <c r="C68" s="24">
        <v>-71.89</v>
      </c>
    </row>
    <row r="69" spans="1:3" hidden="1" x14ac:dyDescent="0.3">
      <c r="A69" s="26">
        <v>45980</v>
      </c>
      <c r="B69" s="27" t="s">
        <v>4</v>
      </c>
      <c r="C69" s="24">
        <v>-113.56</v>
      </c>
    </row>
    <row r="70" spans="1:3" hidden="1" x14ac:dyDescent="0.3">
      <c r="A70" s="26">
        <v>45982</v>
      </c>
      <c r="B70" s="27" t="s">
        <v>4</v>
      </c>
      <c r="C70" s="24">
        <v>-97.69</v>
      </c>
    </row>
    <row r="71" spans="1:3" x14ac:dyDescent="0.3">
      <c r="A71" s="26">
        <v>45982</v>
      </c>
      <c r="B71" s="27" t="s">
        <v>1</v>
      </c>
      <c r="C71" s="24">
        <v>278.07</v>
      </c>
    </row>
    <row r="72" spans="1:3" x14ac:dyDescent="0.3">
      <c r="A72" s="26">
        <v>45995</v>
      </c>
      <c r="B72" s="27" t="s">
        <v>4</v>
      </c>
      <c r="C72" s="24">
        <v>-99.25</v>
      </c>
    </row>
    <row r="73" spans="1:3" x14ac:dyDescent="0.3">
      <c r="A73" s="26">
        <v>45996</v>
      </c>
      <c r="B73" s="27" t="s">
        <v>1</v>
      </c>
      <c r="C73" s="24">
        <v>414.6</v>
      </c>
    </row>
    <row r="74" spans="1:3" x14ac:dyDescent="0.3">
      <c r="A74" s="26">
        <v>46002</v>
      </c>
      <c r="B74" s="27" t="s">
        <v>4</v>
      </c>
      <c r="C74" s="24">
        <v>-94.32</v>
      </c>
    </row>
    <row r="75" spans="1:3" x14ac:dyDescent="0.3">
      <c r="A75" s="26">
        <v>46009</v>
      </c>
      <c r="B75" s="27" t="s">
        <v>4</v>
      </c>
      <c r="C75" s="24">
        <v>-82.27</v>
      </c>
    </row>
    <row r="76" spans="1:3" x14ac:dyDescent="0.3">
      <c r="A76" s="26">
        <v>46013</v>
      </c>
      <c r="B76" s="27" t="s">
        <v>4</v>
      </c>
      <c r="C76" s="24">
        <v>-94.6</v>
      </c>
    </row>
    <row r="77" spans="1:3" x14ac:dyDescent="0.3">
      <c r="A77" s="26">
        <v>46017</v>
      </c>
      <c r="B77" s="27" t="s">
        <v>4</v>
      </c>
      <c r="C77" s="24">
        <v>-102.97</v>
      </c>
    </row>
    <row r="78" spans="1:3" x14ac:dyDescent="0.3">
      <c r="A78" s="26">
        <v>46020</v>
      </c>
      <c r="B78" s="27" t="s">
        <v>4</v>
      </c>
      <c r="C78" s="24">
        <v>-67.8</v>
      </c>
    </row>
    <row r="79" spans="1:3" x14ac:dyDescent="0.3">
      <c r="A79" s="26">
        <v>46024</v>
      </c>
      <c r="B79" s="27" t="s">
        <v>4</v>
      </c>
      <c r="C79" s="24">
        <v>-99.55</v>
      </c>
    </row>
    <row r="80" spans="1:3" x14ac:dyDescent="0.3">
      <c r="A80" s="26">
        <v>46027</v>
      </c>
      <c r="B80" s="27" t="s">
        <v>4</v>
      </c>
      <c r="C80" s="24">
        <v>-49.23</v>
      </c>
    </row>
    <row r="81" spans="1:3" x14ac:dyDescent="0.3">
      <c r="A81" s="26">
        <v>46028</v>
      </c>
      <c r="B81" s="27" t="s">
        <v>4</v>
      </c>
      <c r="C81" s="24">
        <v>-51.76</v>
      </c>
    </row>
    <row r="82" spans="1:3" x14ac:dyDescent="0.3">
      <c r="A82" s="26">
        <v>46031</v>
      </c>
      <c r="B82" s="27" t="s">
        <v>1</v>
      </c>
      <c r="C82" s="24">
        <v>219.87</v>
      </c>
    </row>
    <row r="83" spans="1:3" x14ac:dyDescent="0.3">
      <c r="A83" s="26">
        <v>46038</v>
      </c>
      <c r="B83" s="27" t="s">
        <v>4</v>
      </c>
      <c r="C83" s="24">
        <v>-58.52</v>
      </c>
    </row>
    <row r="84" spans="1:3" x14ac:dyDescent="0.3">
      <c r="A84" s="26">
        <v>46043</v>
      </c>
      <c r="B84" s="27" t="s">
        <v>4</v>
      </c>
      <c r="C84" s="24">
        <v>-43.19</v>
      </c>
    </row>
    <row r="85" spans="1:3" x14ac:dyDescent="0.3">
      <c r="A85" s="26">
        <v>46045</v>
      </c>
      <c r="B85" s="27" t="s">
        <v>4</v>
      </c>
      <c r="C85" s="24">
        <v>-85.06</v>
      </c>
    </row>
    <row r="86" spans="1:3" x14ac:dyDescent="0.3">
      <c r="A86" s="26">
        <v>46045</v>
      </c>
      <c r="B86" s="27" t="s">
        <v>1</v>
      </c>
      <c r="C86" s="24">
        <v>239.84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8DE92-0EB6-4377-AE7B-BD8030E21F09}">
  <sheetPr codeName="Hoja36"/>
  <dimension ref="A1:H129"/>
  <sheetViews>
    <sheetView view="pageBreakPreview" topLeftCell="A99" zoomScale="80" zoomScaleNormal="100" zoomScaleSheetLayoutView="80" workbookViewId="0">
      <selection activeCell="C130" sqref="C13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404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60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327.72000000000031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45813</v>
      </c>
      <c r="B5" s="31" t="s">
        <v>21</v>
      </c>
      <c r="C5" s="24">
        <v>17.43</v>
      </c>
      <c r="D5" s="30"/>
      <c r="E5" s="30"/>
      <c r="F5" s="30"/>
      <c r="G5" s="22"/>
    </row>
    <row r="6" spans="1:8" hidden="1" x14ac:dyDescent="0.3">
      <c r="A6" s="21">
        <v>45813</v>
      </c>
      <c r="B6" s="32" t="s">
        <v>21</v>
      </c>
      <c r="C6" s="24">
        <v>42.94</v>
      </c>
    </row>
    <row r="7" spans="1:8" hidden="1" x14ac:dyDescent="0.3">
      <c r="A7" s="21">
        <v>45813</v>
      </c>
      <c r="B7" s="34" t="s">
        <v>21</v>
      </c>
      <c r="C7" s="24">
        <v>109.26</v>
      </c>
    </row>
    <row r="8" spans="1:8" hidden="1" x14ac:dyDescent="0.3">
      <c r="A8" s="26">
        <v>45818</v>
      </c>
      <c r="B8" s="27" t="s">
        <v>4</v>
      </c>
      <c r="C8" s="24">
        <v>-169.21</v>
      </c>
    </row>
    <row r="9" spans="1:8" hidden="1" x14ac:dyDescent="0.3">
      <c r="A9" s="26">
        <v>45819</v>
      </c>
      <c r="B9" s="27" t="s">
        <v>1</v>
      </c>
      <c r="C9" s="24">
        <v>62.4</v>
      </c>
    </row>
    <row r="10" spans="1:8" hidden="1" x14ac:dyDescent="0.3">
      <c r="A10" s="26">
        <v>45819</v>
      </c>
      <c r="B10" s="32" t="s">
        <v>21</v>
      </c>
      <c r="C10" s="24">
        <v>45.64</v>
      </c>
    </row>
    <row r="11" spans="1:8" hidden="1" x14ac:dyDescent="0.3">
      <c r="A11" s="26">
        <v>45819</v>
      </c>
      <c r="B11" s="34" t="s">
        <v>21</v>
      </c>
      <c r="C11" s="24">
        <v>56.21</v>
      </c>
    </row>
    <row r="12" spans="1:8" hidden="1" x14ac:dyDescent="0.3">
      <c r="A12" s="26">
        <v>45825</v>
      </c>
      <c r="B12" s="31" t="s">
        <v>4</v>
      </c>
      <c r="C12" s="24">
        <v>-164.66</v>
      </c>
    </row>
    <row r="13" spans="1:8" hidden="1" x14ac:dyDescent="0.3">
      <c r="A13" s="26">
        <v>45825</v>
      </c>
      <c r="B13" s="27" t="s">
        <v>1</v>
      </c>
      <c r="C13" s="24">
        <v>83.2</v>
      </c>
    </row>
    <row r="14" spans="1:8" hidden="1" x14ac:dyDescent="0.3">
      <c r="A14" s="26">
        <v>45825</v>
      </c>
      <c r="B14" s="32" t="s">
        <v>21</v>
      </c>
      <c r="C14" s="24">
        <v>34.86</v>
      </c>
    </row>
    <row r="15" spans="1:8" hidden="1" x14ac:dyDescent="0.3">
      <c r="A15" s="26">
        <v>45825</v>
      </c>
      <c r="B15" s="34" t="s">
        <v>21</v>
      </c>
      <c r="C15" s="24">
        <v>87.5</v>
      </c>
    </row>
    <row r="16" spans="1:8" hidden="1" x14ac:dyDescent="0.3">
      <c r="A16" s="26">
        <v>45825</v>
      </c>
      <c r="B16" s="46" t="s">
        <v>21</v>
      </c>
      <c r="C16" s="24">
        <v>16.5</v>
      </c>
    </row>
    <row r="17" spans="1:3" hidden="1" x14ac:dyDescent="0.3">
      <c r="A17" s="26">
        <v>45831</v>
      </c>
      <c r="B17" s="27" t="s">
        <v>4</v>
      </c>
      <c r="C17" s="24">
        <v>-222.05</v>
      </c>
    </row>
    <row r="18" spans="1:3" hidden="1" x14ac:dyDescent="0.3">
      <c r="A18" s="26">
        <v>45832</v>
      </c>
      <c r="B18" s="32" t="s">
        <v>21</v>
      </c>
      <c r="C18" s="24">
        <v>29.65</v>
      </c>
    </row>
    <row r="19" spans="1:3" hidden="1" x14ac:dyDescent="0.3">
      <c r="A19" s="26">
        <v>45832</v>
      </c>
      <c r="B19" s="34" t="s">
        <v>21</v>
      </c>
      <c r="C19" s="24">
        <v>85.21</v>
      </c>
    </row>
    <row r="20" spans="1:3" hidden="1" x14ac:dyDescent="0.3">
      <c r="A20" s="26">
        <v>45832</v>
      </c>
      <c r="B20" s="46" t="s">
        <v>21</v>
      </c>
      <c r="C20" s="24">
        <v>8.4</v>
      </c>
    </row>
    <row r="21" spans="1:3" hidden="1" x14ac:dyDescent="0.3">
      <c r="A21" s="26">
        <v>45838</v>
      </c>
      <c r="B21" s="27" t="s">
        <v>4</v>
      </c>
      <c r="C21" s="24">
        <v>-122.38</v>
      </c>
    </row>
    <row r="22" spans="1:3" hidden="1" x14ac:dyDescent="0.3">
      <c r="A22" s="26">
        <v>45839</v>
      </c>
      <c r="B22" s="27" t="s">
        <v>1</v>
      </c>
      <c r="C22" s="24">
        <v>17.43</v>
      </c>
    </row>
    <row r="23" spans="1:3" hidden="1" x14ac:dyDescent="0.3">
      <c r="A23" s="26">
        <v>45839</v>
      </c>
      <c r="B23" s="32" t="s">
        <v>21</v>
      </c>
      <c r="C23" s="24">
        <v>21.3</v>
      </c>
    </row>
    <row r="24" spans="1:3" hidden="1" x14ac:dyDescent="0.3">
      <c r="A24" s="26">
        <v>45839</v>
      </c>
      <c r="B24" s="34" t="s">
        <v>21</v>
      </c>
      <c r="C24" s="24">
        <v>50.51</v>
      </c>
    </row>
    <row r="25" spans="1:3" hidden="1" x14ac:dyDescent="0.3">
      <c r="A25" s="26">
        <v>45846</v>
      </c>
      <c r="B25" s="27" t="s">
        <v>4</v>
      </c>
      <c r="C25" s="24">
        <v>-89.91</v>
      </c>
    </row>
    <row r="26" spans="1:3" hidden="1" x14ac:dyDescent="0.3">
      <c r="A26" s="26">
        <v>45846</v>
      </c>
      <c r="B26" s="32" t="s">
        <v>21</v>
      </c>
      <c r="C26" s="24">
        <v>15</v>
      </c>
    </row>
    <row r="27" spans="1:3" hidden="1" x14ac:dyDescent="0.3">
      <c r="A27" s="26">
        <v>45846</v>
      </c>
      <c r="B27" s="34" t="s">
        <v>21</v>
      </c>
      <c r="C27" s="24">
        <v>60.5</v>
      </c>
    </row>
    <row r="28" spans="1:3" hidden="1" x14ac:dyDescent="0.3">
      <c r="A28" s="26">
        <v>45853</v>
      </c>
      <c r="B28" s="27" t="s">
        <v>4</v>
      </c>
      <c r="C28" s="24">
        <v>-75.489999999999995</v>
      </c>
    </row>
    <row r="29" spans="1:3" hidden="1" x14ac:dyDescent="0.3">
      <c r="A29" s="26">
        <v>45853</v>
      </c>
      <c r="B29" s="27" t="s">
        <v>1</v>
      </c>
      <c r="C29" s="24">
        <v>119.8</v>
      </c>
    </row>
    <row r="30" spans="1:3" hidden="1" x14ac:dyDescent="0.3">
      <c r="A30" s="26">
        <v>45853</v>
      </c>
      <c r="B30" s="32" t="s">
        <v>21</v>
      </c>
      <c r="C30" s="24">
        <v>79.02</v>
      </c>
    </row>
    <row r="31" spans="1:3" hidden="1" x14ac:dyDescent="0.3">
      <c r="A31" s="26">
        <v>45853</v>
      </c>
      <c r="B31" s="34" t="s">
        <v>21</v>
      </c>
      <c r="C31" s="24">
        <v>158.86000000000001</v>
      </c>
    </row>
    <row r="32" spans="1:3" hidden="1" x14ac:dyDescent="0.3">
      <c r="A32" s="26">
        <v>45853</v>
      </c>
      <c r="B32" s="46" t="s">
        <v>21</v>
      </c>
      <c r="C32" s="24">
        <v>31.49</v>
      </c>
    </row>
    <row r="33" spans="1:3" hidden="1" x14ac:dyDescent="0.3">
      <c r="A33" s="26">
        <v>45859</v>
      </c>
      <c r="B33" s="27" t="s">
        <v>4</v>
      </c>
      <c r="C33" s="24">
        <v>-233.33</v>
      </c>
    </row>
    <row r="34" spans="1:3" hidden="1" x14ac:dyDescent="0.3">
      <c r="A34" s="26">
        <v>45860</v>
      </c>
      <c r="B34" s="27" t="s">
        <v>4</v>
      </c>
      <c r="C34" s="24">
        <v>-53</v>
      </c>
    </row>
    <row r="35" spans="1:3" hidden="1" x14ac:dyDescent="0.3">
      <c r="A35" s="26">
        <v>45860</v>
      </c>
      <c r="B35" s="27" t="s">
        <v>1</v>
      </c>
      <c r="C35" s="24">
        <v>83.2</v>
      </c>
    </row>
    <row r="36" spans="1:3" hidden="1" x14ac:dyDescent="0.3">
      <c r="A36" s="26">
        <v>45860</v>
      </c>
      <c r="B36" s="32" t="s">
        <v>21</v>
      </c>
      <c r="C36" s="24">
        <v>24.84</v>
      </c>
    </row>
    <row r="37" spans="1:3" hidden="1" x14ac:dyDescent="0.3">
      <c r="A37" s="26">
        <v>45860</v>
      </c>
      <c r="B37" s="34" t="s">
        <v>21</v>
      </c>
      <c r="C37" s="24">
        <v>33.299999999999997</v>
      </c>
    </row>
    <row r="38" spans="1:3" hidden="1" x14ac:dyDescent="0.3">
      <c r="A38" s="26">
        <v>45860</v>
      </c>
      <c r="B38" s="46" t="s">
        <v>21</v>
      </c>
      <c r="C38" s="24">
        <v>5.6</v>
      </c>
    </row>
    <row r="39" spans="1:3" hidden="1" x14ac:dyDescent="0.3">
      <c r="A39" s="26">
        <v>45867</v>
      </c>
      <c r="B39" s="27" t="s">
        <v>4</v>
      </c>
      <c r="C39" s="24">
        <v>-250.02</v>
      </c>
    </row>
    <row r="40" spans="1:3" x14ac:dyDescent="0.3">
      <c r="A40" s="26">
        <v>45867</v>
      </c>
      <c r="B40" s="27" t="s">
        <v>1</v>
      </c>
      <c r="C40" s="24">
        <v>124.8</v>
      </c>
    </row>
    <row r="41" spans="1:3" x14ac:dyDescent="0.3">
      <c r="A41" s="26">
        <v>45867</v>
      </c>
      <c r="B41" s="32" t="s">
        <v>21</v>
      </c>
      <c r="C41" s="24">
        <v>53.35</v>
      </c>
    </row>
    <row r="42" spans="1:3" x14ac:dyDescent="0.3">
      <c r="A42" s="26">
        <v>45867</v>
      </c>
      <c r="B42" s="34" t="s">
        <v>21</v>
      </c>
      <c r="C42" s="24">
        <v>127.59</v>
      </c>
    </row>
    <row r="43" spans="1:3" x14ac:dyDescent="0.3">
      <c r="A43" s="26">
        <v>45874</v>
      </c>
      <c r="B43" s="27" t="s">
        <v>4</v>
      </c>
      <c r="C43" s="24">
        <v>-212.41</v>
      </c>
    </row>
    <row r="44" spans="1:3" x14ac:dyDescent="0.3">
      <c r="A44" s="26">
        <v>45874</v>
      </c>
      <c r="B44" s="27" t="s">
        <v>1</v>
      </c>
      <c r="C44" s="24">
        <v>59.03</v>
      </c>
    </row>
    <row r="45" spans="1:3" x14ac:dyDescent="0.3">
      <c r="A45" s="26">
        <v>45874</v>
      </c>
      <c r="B45" s="32" t="s">
        <v>21</v>
      </c>
      <c r="C45" s="24">
        <v>44.52</v>
      </c>
    </row>
    <row r="46" spans="1:3" x14ac:dyDescent="0.3">
      <c r="A46" s="26">
        <v>45874</v>
      </c>
      <c r="B46" s="34" t="s">
        <v>21</v>
      </c>
      <c r="C46" s="24">
        <v>60.72</v>
      </c>
    </row>
    <row r="47" spans="1:3" x14ac:dyDescent="0.3">
      <c r="A47" s="26">
        <v>45880</v>
      </c>
      <c r="B47" s="27" t="s">
        <v>4</v>
      </c>
      <c r="C47" s="24">
        <v>-152.53</v>
      </c>
    </row>
    <row r="48" spans="1:3" x14ac:dyDescent="0.3">
      <c r="A48" s="26">
        <v>45881</v>
      </c>
      <c r="B48" s="27" t="s">
        <v>1</v>
      </c>
      <c r="C48" s="24">
        <v>12.8</v>
      </c>
    </row>
    <row r="49" spans="1:3" x14ac:dyDescent="0.3">
      <c r="A49" s="26">
        <v>45881</v>
      </c>
      <c r="B49" s="34" t="s">
        <v>21</v>
      </c>
      <c r="C49" s="24">
        <v>27.36</v>
      </c>
    </row>
    <row r="50" spans="1:3" x14ac:dyDescent="0.3">
      <c r="A50" s="26">
        <v>45881</v>
      </c>
      <c r="B50" s="46" t="s">
        <v>21</v>
      </c>
      <c r="C50" s="24">
        <v>36.18</v>
      </c>
    </row>
    <row r="51" spans="1:3" x14ac:dyDescent="0.3">
      <c r="A51" s="26">
        <v>45887</v>
      </c>
      <c r="B51" s="27" t="s">
        <v>4</v>
      </c>
      <c r="C51" s="24">
        <v>-102.27</v>
      </c>
    </row>
    <row r="52" spans="1:3" x14ac:dyDescent="0.3">
      <c r="A52" s="26">
        <v>45888</v>
      </c>
      <c r="B52" s="27" t="s">
        <v>1</v>
      </c>
      <c r="C52" s="24">
        <v>41.6</v>
      </c>
    </row>
    <row r="53" spans="1:3" x14ac:dyDescent="0.3">
      <c r="A53" s="26">
        <v>45888</v>
      </c>
      <c r="B53" s="32" t="s">
        <v>21</v>
      </c>
      <c r="C53" s="24">
        <v>66.81</v>
      </c>
    </row>
    <row r="54" spans="1:3" x14ac:dyDescent="0.3">
      <c r="A54" s="26">
        <v>45888</v>
      </c>
      <c r="B54" s="34" t="s">
        <v>21</v>
      </c>
      <c r="C54" s="24">
        <v>79.010000000000005</v>
      </c>
    </row>
    <row r="55" spans="1:3" x14ac:dyDescent="0.3">
      <c r="A55" s="26">
        <v>45888</v>
      </c>
      <c r="B55" s="46" t="s">
        <v>21</v>
      </c>
      <c r="C55" s="24">
        <v>10.88</v>
      </c>
    </row>
    <row r="56" spans="1:3" x14ac:dyDescent="0.3">
      <c r="A56" s="26">
        <v>45894</v>
      </c>
      <c r="B56" s="27" t="s">
        <v>4</v>
      </c>
      <c r="C56" s="24">
        <v>-112.77</v>
      </c>
    </row>
    <row r="57" spans="1:3" x14ac:dyDescent="0.3">
      <c r="A57" s="26">
        <v>45895</v>
      </c>
      <c r="B57" s="27" t="s">
        <v>4</v>
      </c>
      <c r="C57" s="24">
        <v>-69.91</v>
      </c>
    </row>
    <row r="58" spans="1:3" x14ac:dyDescent="0.3">
      <c r="A58" s="26">
        <v>45895</v>
      </c>
      <c r="B58" s="27" t="s">
        <v>1</v>
      </c>
      <c r="C58" s="24">
        <v>11.62</v>
      </c>
    </row>
    <row r="59" spans="1:3" x14ac:dyDescent="0.3">
      <c r="A59" s="26">
        <v>45895</v>
      </c>
      <c r="B59" s="32" t="s">
        <v>21</v>
      </c>
      <c r="C59" s="24">
        <v>34.6</v>
      </c>
    </row>
    <row r="60" spans="1:3" x14ac:dyDescent="0.3">
      <c r="A60" s="26">
        <v>45895</v>
      </c>
      <c r="B60" s="34" t="s">
        <v>21</v>
      </c>
      <c r="C60" s="24">
        <v>50.97</v>
      </c>
    </row>
    <row r="61" spans="1:3" x14ac:dyDescent="0.3">
      <c r="A61" s="26">
        <v>45895</v>
      </c>
      <c r="B61" s="46" t="s">
        <v>21</v>
      </c>
      <c r="C61" s="24">
        <v>18.39</v>
      </c>
    </row>
    <row r="62" spans="1:3" x14ac:dyDescent="0.3">
      <c r="A62" s="26">
        <v>45903</v>
      </c>
      <c r="B62" s="27" t="s">
        <v>4</v>
      </c>
      <c r="C62" s="24">
        <v>-132.63</v>
      </c>
    </row>
    <row r="63" spans="1:3" x14ac:dyDescent="0.3">
      <c r="A63" s="26">
        <v>45909</v>
      </c>
      <c r="B63" s="27" t="s">
        <v>1</v>
      </c>
      <c r="C63" s="24">
        <v>62.4</v>
      </c>
    </row>
    <row r="64" spans="1:3" x14ac:dyDescent="0.3">
      <c r="A64" s="26">
        <v>45909</v>
      </c>
      <c r="B64" s="32" t="s">
        <v>21</v>
      </c>
      <c r="C64" s="24">
        <v>17.34</v>
      </c>
    </row>
    <row r="65" spans="1:3" x14ac:dyDescent="0.3">
      <c r="A65" s="26">
        <v>45909</v>
      </c>
      <c r="B65" s="34" t="s">
        <v>21</v>
      </c>
      <c r="C65" s="24">
        <v>61.49</v>
      </c>
    </row>
    <row r="66" spans="1:3" x14ac:dyDescent="0.3">
      <c r="A66" s="26">
        <v>45915</v>
      </c>
      <c r="B66" s="27" t="s">
        <v>4</v>
      </c>
      <c r="C66" s="24">
        <v>-124.65</v>
      </c>
    </row>
    <row r="67" spans="1:3" x14ac:dyDescent="0.3">
      <c r="A67" s="26">
        <v>45916</v>
      </c>
      <c r="B67" s="27" t="s">
        <v>1</v>
      </c>
      <c r="C67" s="24">
        <v>118.62</v>
      </c>
    </row>
    <row r="68" spans="1:3" x14ac:dyDescent="0.3">
      <c r="A68" s="26">
        <v>45916</v>
      </c>
      <c r="B68" s="32" t="s">
        <v>21</v>
      </c>
      <c r="C68" s="24">
        <v>89.15</v>
      </c>
    </row>
    <row r="69" spans="1:3" x14ac:dyDescent="0.3">
      <c r="A69" s="26">
        <v>45916</v>
      </c>
      <c r="B69" s="34" t="s">
        <v>21</v>
      </c>
      <c r="C69" s="24">
        <v>98.87</v>
      </c>
    </row>
    <row r="70" spans="1:3" x14ac:dyDescent="0.3">
      <c r="A70" s="26">
        <v>45923</v>
      </c>
      <c r="B70" s="27" t="s">
        <v>4</v>
      </c>
      <c r="C70" s="24">
        <v>-59.38</v>
      </c>
    </row>
    <row r="71" spans="1:3" x14ac:dyDescent="0.3">
      <c r="A71" s="26">
        <v>45923</v>
      </c>
      <c r="B71" s="27" t="s">
        <v>4</v>
      </c>
      <c r="C71" s="24">
        <v>-250.01</v>
      </c>
    </row>
    <row r="72" spans="1:3" x14ac:dyDescent="0.3">
      <c r="A72" s="26">
        <v>45923</v>
      </c>
      <c r="B72" s="27" t="s">
        <v>1</v>
      </c>
      <c r="C72" s="24">
        <v>169.4</v>
      </c>
    </row>
    <row r="73" spans="1:3" x14ac:dyDescent="0.3">
      <c r="A73" s="26">
        <v>45923</v>
      </c>
      <c r="B73" s="32" t="s">
        <v>21</v>
      </c>
      <c r="C73" s="24">
        <v>49.04</v>
      </c>
    </row>
    <row r="74" spans="1:3" x14ac:dyDescent="0.3">
      <c r="A74" s="26">
        <v>45923</v>
      </c>
      <c r="B74" s="34" t="s">
        <v>21</v>
      </c>
      <c r="C74" s="24">
        <v>146.28</v>
      </c>
    </row>
    <row r="75" spans="1:3" x14ac:dyDescent="0.3">
      <c r="A75" s="26">
        <v>45929</v>
      </c>
      <c r="B75" s="27" t="s">
        <v>4</v>
      </c>
      <c r="C75" s="24">
        <v>-330.21</v>
      </c>
    </row>
    <row r="76" spans="1:3" x14ac:dyDescent="0.3">
      <c r="A76" s="26">
        <v>45930</v>
      </c>
      <c r="B76" s="27" t="s">
        <v>1</v>
      </c>
      <c r="C76" s="24">
        <v>68.819999999999993</v>
      </c>
    </row>
    <row r="77" spans="1:3" x14ac:dyDescent="0.3">
      <c r="A77" s="26">
        <v>45930</v>
      </c>
      <c r="B77" s="32" t="s">
        <v>21</v>
      </c>
      <c r="C77" s="24">
        <v>52.15</v>
      </c>
    </row>
    <row r="78" spans="1:3" x14ac:dyDescent="0.3">
      <c r="A78" s="26">
        <v>45930</v>
      </c>
      <c r="B78" s="34" t="s">
        <v>21</v>
      </c>
      <c r="C78" s="24">
        <v>83.61</v>
      </c>
    </row>
    <row r="79" spans="1:3" x14ac:dyDescent="0.3">
      <c r="A79" s="26">
        <v>45930</v>
      </c>
      <c r="B79" s="46" t="s">
        <v>21</v>
      </c>
      <c r="C79" s="24">
        <v>56.33</v>
      </c>
    </row>
    <row r="80" spans="1:3" x14ac:dyDescent="0.3">
      <c r="A80" s="26">
        <v>45936</v>
      </c>
      <c r="B80" s="27" t="s">
        <v>4</v>
      </c>
      <c r="C80" s="24">
        <v>-178</v>
      </c>
    </row>
    <row r="81" spans="1:3" x14ac:dyDescent="0.3">
      <c r="A81" s="26">
        <v>45937</v>
      </c>
      <c r="B81" s="27" t="s">
        <v>1</v>
      </c>
      <c r="C81" s="24">
        <v>69</v>
      </c>
    </row>
    <row r="82" spans="1:3" x14ac:dyDescent="0.3">
      <c r="A82" s="26">
        <v>45937</v>
      </c>
      <c r="B82" s="32" t="s">
        <v>21</v>
      </c>
      <c r="C82" s="24">
        <v>26.76</v>
      </c>
    </row>
    <row r="83" spans="1:3" x14ac:dyDescent="0.3">
      <c r="A83" s="26">
        <v>45943</v>
      </c>
      <c r="B83" s="27" t="s">
        <v>4</v>
      </c>
      <c r="C83" s="24">
        <v>-128.04</v>
      </c>
    </row>
    <row r="84" spans="1:3" x14ac:dyDescent="0.3">
      <c r="A84" s="26">
        <v>45944</v>
      </c>
      <c r="B84" s="27" t="s">
        <v>1</v>
      </c>
      <c r="C84" s="24">
        <v>46</v>
      </c>
    </row>
    <row r="85" spans="1:3" x14ac:dyDescent="0.3">
      <c r="A85" s="26">
        <v>45944</v>
      </c>
      <c r="B85" s="32" t="s">
        <v>21</v>
      </c>
      <c r="C85" s="24">
        <v>65.64</v>
      </c>
    </row>
    <row r="86" spans="1:3" x14ac:dyDescent="0.3">
      <c r="A86" s="26">
        <v>45944</v>
      </c>
      <c r="B86" s="34" t="s">
        <v>21</v>
      </c>
      <c r="C86" s="24">
        <v>75.150000000000006</v>
      </c>
    </row>
    <row r="87" spans="1:3" x14ac:dyDescent="0.3">
      <c r="A87" s="26">
        <v>45944</v>
      </c>
      <c r="B87" s="46" t="s">
        <v>21</v>
      </c>
      <c r="C87" s="24">
        <v>17.52</v>
      </c>
    </row>
    <row r="88" spans="1:3" x14ac:dyDescent="0.3">
      <c r="A88" s="26">
        <v>45950</v>
      </c>
      <c r="B88" s="27" t="s">
        <v>4</v>
      </c>
      <c r="C88" s="24">
        <v>-223.65</v>
      </c>
    </row>
    <row r="89" spans="1:3" x14ac:dyDescent="0.3">
      <c r="A89" s="26">
        <v>45951</v>
      </c>
      <c r="B89" s="27" t="s">
        <v>1</v>
      </c>
      <c r="C89" s="24">
        <v>26.7</v>
      </c>
    </row>
    <row r="90" spans="1:3" x14ac:dyDescent="0.3">
      <c r="A90" s="26">
        <v>45951</v>
      </c>
      <c r="B90" s="32" t="s">
        <v>21</v>
      </c>
      <c r="C90" s="24">
        <v>53.32</v>
      </c>
    </row>
    <row r="91" spans="1:3" x14ac:dyDescent="0.3">
      <c r="A91" s="26">
        <v>45951</v>
      </c>
      <c r="B91" s="34" t="s">
        <v>21</v>
      </c>
      <c r="C91" s="24">
        <v>49.92</v>
      </c>
    </row>
    <row r="92" spans="1:3" x14ac:dyDescent="0.3">
      <c r="A92" s="26">
        <v>45951</v>
      </c>
      <c r="B92" s="46" t="s">
        <v>21</v>
      </c>
      <c r="C92" s="24">
        <v>9</v>
      </c>
    </row>
    <row r="93" spans="1:3" x14ac:dyDescent="0.3">
      <c r="A93" s="26">
        <v>45957</v>
      </c>
      <c r="B93" s="27" t="s">
        <v>4</v>
      </c>
      <c r="C93" s="24">
        <v>-92.43</v>
      </c>
    </row>
    <row r="94" spans="1:3" x14ac:dyDescent="0.3">
      <c r="A94" s="26">
        <v>45957</v>
      </c>
      <c r="B94" s="27" t="s">
        <v>4</v>
      </c>
      <c r="C94" s="24">
        <v>-46.22</v>
      </c>
    </row>
    <row r="95" spans="1:3" x14ac:dyDescent="0.3">
      <c r="A95" s="26">
        <v>45958</v>
      </c>
      <c r="B95" s="27" t="s">
        <v>1</v>
      </c>
      <c r="C95" s="24">
        <v>92</v>
      </c>
    </row>
    <row r="96" spans="1:3" x14ac:dyDescent="0.3">
      <c r="A96" s="26">
        <v>45958</v>
      </c>
      <c r="B96" s="32" t="s">
        <v>21</v>
      </c>
      <c r="C96" s="24">
        <v>45</v>
      </c>
    </row>
    <row r="97" spans="1:3" x14ac:dyDescent="0.3">
      <c r="A97" s="26">
        <v>45958</v>
      </c>
      <c r="B97" s="34" t="s">
        <v>21</v>
      </c>
      <c r="C97" s="24">
        <v>37.82</v>
      </c>
    </row>
    <row r="98" spans="1:3" x14ac:dyDescent="0.3">
      <c r="A98" s="26">
        <v>45958</v>
      </c>
      <c r="B98" s="46" t="s">
        <v>21</v>
      </c>
      <c r="C98" s="24">
        <v>17.52</v>
      </c>
    </row>
    <row r="99" spans="1:3" x14ac:dyDescent="0.3">
      <c r="A99" s="26">
        <v>45965</v>
      </c>
      <c r="B99" s="27" t="s">
        <v>1</v>
      </c>
      <c r="C99" s="24">
        <v>24.88</v>
      </c>
    </row>
    <row r="100" spans="1:3" x14ac:dyDescent="0.3">
      <c r="A100" s="26">
        <v>45965</v>
      </c>
      <c r="B100" s="32" t="s">
        <v>21</v>
      </c>
      <c r="C100" s="24">
        <v>15</v>
      </c>
    </row>
    <row r="101" spans="1:3" x14ac:dyDescent="0.3">
      <c r="A101" s="26">
        <v>45965</v>
      </c>
      <c r="B101" s="34" t="s">
        <v>21</v>
      </c>
      <c r="C101" s="24">
        <v>108.62</v>
      </c>
    </row>
    <row r="102" spans="1:3" x14ac:dyDescent="0.3">
      <c r="A102" s="26">
        <v>45966</v>
      </c>
      <c r="B102" s="27" t="s">
        <v>4</v>
      </c>
      <c r="C102" s="24">
        <v>-159.19999999999999</v>
      </c>
    </row>
    <row r="103" spans="1:3" x14ac:dyDescent="0.3">
      <c r="A103" s="26">
        <v>45972</v>
      </c>
      <c r="B103" s="27" t="s">
        <v>4</v>
      </c>
      <c r="C103" s="24">
        <v>-151.44999999999999</v>
      </c>
    </row>
    <row r="104" spans="1:3" x14ac:dyDescent="0.3">
      <c r="A104" s="26">
        <v>45972</v>
      </c>
      <c r="B104" s="27" t="s">
        <v>1</v>
      </c>
      <c r="C104" s="24">
        <v>133.82</v>
      </c>
    </row>
    <row r="105" spans="1:3" x14ac:dyDescent="0.3">
      <c r="A105" s="26">
        <v>45979</v>
      </c>
      <c r="B105" s="27" t="s">
        <v>4</v>
      </c>
      <c r="C105" s="24">
        <v>-147.78</v>
      </c>
    </row>
    <row r="106" spans="1:3" x14ac:dyDescent="0.3">
      <c r="A106" s="26">
        <v>45979</v>
      </c>
      <c r="B106" s="27" t="s">
        <v>1</v>
      </c>
      <c r="C106" s="24">
        <v>276.52999999999997</v>
      </c>
    </row>
    <row r="107" spans="1:3" x14ac:dyDescent="0.3">
      <c r="A107" s="26">
        <v>45985</v>
      </c>
      <c r="B107" s="27" t="s">
        <v>4</v>
      </c>
      <c r="C107" s="24">
        <v>-300.27</v>
      </c>
    </row>
    <row r="108" spans="1:3" x14ac:dyDescent="0.3">
      <c r="A108" s="26">
        <v>45986</v>
      </c>
      <c r="B108" s="27" t="s">
        <v>1</v>
      </c>
      <c r="C108" s="24">
        <v>176.99</v>
      </c>
    </row>
    <row r="109" spans="1:3" x14ac:dyDescent="0.3">
      <c r="A109" s="26">
        <v>45992</v>
      </c>
      <c r="B109" s="27" t="s">
        <v>4</v>
      </c>
      <c r="C109" s="24">
        <v>-177.92</v>
      </c>
    </row>
    <row r="110" spans="1:3" x14ac:dyDescent="0.3">
      <c r="A110" s="26">
        <v>45993</v>
      </c>
      <c r="B110" s="27" t="s">
        <v>1</v>
      </c>
      <c r="C110" s="24">
        <v>249.23</v>
      </c>
    </row>
    <row r="111" spans="1:3" x14ac:dyDescent="0.3">
      <c r="A111" s="26">
        <v>45999</v>
      </c>
      <c r="B111" s="27" t="s">
        <v>4</v>
      </c>
      <c r="C111" s="24">
        <v>-249.22</v>
      </c>
    </row>
    <row r="112" spans="1:3" x14ac:dyDescent="0.3">
      <c r="A112" s="26">
        <v>46000</v>
      </c>
      <c r="B112" s="27" t="s">
        <v>4</v>
      </c>
      <c r="C112" s="24">
        <v>169</v>
      </c>
    </row>
    <row r="113" spans="1:3" x14ac:dyDescent="0.3">
      <c r="A113" s="26">
        <v>46007</v>
      </c>
      <c r="B113" s="27" t="s">
        <v>4</v>
      </c>
      <c r="C113" s="24">
        <v>-120.62</v>
      </c>
    </row>
    <row r="114" spans="1:3" x14ac:dyDescent="0.3">
      <c r="A114" s="26">
        <v>46007</v>
      </c>
      <c r="B114" s="27" t="s">
        <v>4</v>
      </c>
      <c r="C114" s="24">
        <v>-65.790000000000006</v>
      </c>
    </row>
    <row r="115" spans="1:3" x14ac:dyDescent="0.3">
      <c r="A115" s="26">
        <v>46007</v>
      </c>
      <c r="B115" s="27" t="s">
        <v>1</v>
      </c>
      <c r="C115" s="24">
        <v>173.04</v>
      </c>
    </row>
    <row r="116" spans="1:3" x14ac:dyDescent="0.3">
      <c r="A116" s="26">
        <v>46013</v>
      </c>
      <c r="B116" s="27" t="s">
        <v>4</v>
      </c>
      <c r="C116" s="24">
        <v>-168.18</v>
      </c>
    </row>
    <row r="117" spans="1:3" x14ac:dyDescent="0.3">
      <c r="A117" s="26">
        <v>46014</v>
      </c>
      <c r="B117" s="27" t="s">
        <v>1</v>
      </c>
      <c r="C117" s="24">
        <v>250.41</v>
      </c>
    </row>
    <row r="118" spans="1:3" x14ac:dyDescent="0.3">
      <c r="A118" s="26">
        <v>46020</v>
      </c>
      <c r="B118" s="27" t="s">
        <v>4</v>
      </c>
      <c r="C118" s="24">
        <v>-203.41</v>
      </c>
    </row>
    <row r="119" spans="1:3" x14ac:dyDescent="0.3">
      <c r="A119" s="26">
        <v>46021</v>
      </c>
      <c r="B119" s="27" t="s">
        <v>1</v>
      </c>
      <c r="C119" s="24">
        <v>122.64</v>
      </c>
    </row>
    <row r="120" spans="1:3" x14ac:dyDescent="0.3">
      <c r="A120" s="26">
        <v>46027</v>
      </c>
      <c r="B120" s="27" t="s">
        <v>4</v>
      </c>
      <c r="C120" s="24">
        <v>-147.69999999999999</v>
      </c>
    </row>
    <row r="121" spans="1:3" x14ac:dyDescent="0.3">
      <c r="A121" s="26">
        <v>46028</v>
      </c>
      <c r="B121" s="27" t="s">
        <v>1</v>
      </c>
      <c r="C121" s="24">
        <v>183.48</v>
      </c>
    </row>
    <row r="122" spans="1:3" x14ac:dyDescent="0.3">
      <c r="A122" s="26">
        <v>46035</v>
      </c>
      <c r="B122" s="27" t="s">
        <v>4</v>
      </c>
      <c r="C122" s="24">
        <v>-233.07</v>
      </c>
    </row>
    <row r="123" spans="1:3" x14ac:dyDescent="0.3">
      <c r="A123" s="26">
        <v>46035</v>
      </c>
      <c r="B123" s="27" t="s">
        <v>1</v>
      </c>
      <c r="C123" s="24">
        <v>84.1</v>
      </c>
    </row>
    <row r="124" spans="1:3" x14ac:dyDescent="0.3">
      <c r="A124" s="26">
        <v>46042</v>
      </c>
      <c r="B124" s="27" t="s">
        <v>4</v>
      </c>
      <c r="C124" s="24">
        <v>-119.01</v>
      </c>
    </row>
    <row r="125" spans="1:3" x14ac:dyDescent="0.3">
      <c r="A125" s="26">
        <v>46042</v>
      </c>
      <c r="B125" s="27" t="s">
        <v>1</v>
      </c>
      <c r="C125" s="24">
        <v>221.09</v>
      </c>
    </row>
    <row r="126" spans="1:3" x14ac:dyDescent="0.3">
      <c r="A126" s="26">
        <v>46048</v>
      </c>
      <c r="B126" s="27" t="s">
        <v>4</v>
      </c>
      <c r="C126" s="24">
        <v>-112.5</v>
      </c>
    </row>
    <row r="127" spans="1:3" x14ac:dyDescent="0.3">
      <c r="A127" s="26">
        <v>46049</v>
      </c>
      <c r="B127" s="27" t="s">
        <v>1</v>
      </c>
      <c r="C127" s="24">
        <v>199.18</v>
      </c>
    </row>
    <row r="128" spans="1:3" x14ac:dyDescent="0.3">
      <c r="A128" s="26">
        <v>46055</v>
      </c>
      <c r="B128" s="27" t="s">
        <v>4</v>
      </c>
      <c r="C128" s="24">
        <v>-135.04</v>
      </c>
    </row>
    <row r="129" spans="1:3" x14ac:dyDescent="0.3">
      <c r="A129" s="26">
        <v>46056</v>
      </c>
      <c r="B129" s="27" t="s">
        <v>1</v>
      </c>
      <c r="C129" s="24">
        <v>80.900000000000006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B4E41-E3AB-4B7B-8D80-A3A74C3327F1}">
  <dimension ref="A1:H86"/>
  <sheetViews>
    <sheetView view="pageBreakPreview" zoomScale="80" zoomScaleNormal="100" zoomScaleSheetLayoutView="80" workbookViewId="0">
      <selection activeCell="C24" sqref="C24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316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317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45.349999999999994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45835</v>
      </c>
      <c r="B5" s="27" t="s">
        <v>21</v>
      </c>
      <c r="C5" s="24">
        <v>41.6</v>
      </c>
      <c r="D5" s="30"/>
      <c r="E5" s="30"/>
      <c r="F5" s="30"/>
      <c r="G5" s="22"/>
    </row>
    <row r="6" spans="1:8" hidden="1" x14ac:dyDescent="0.3">
      <c r="A6" s="21">
        <v>45835</v>
      </c>
      <c r="B6" s="32" t="s">
        <v>1</v>
      </c>
      <c r="C6" s="24">
        <v>9.84</v>
      </c>
    </row>
    <row r="7" spans="1:8" hidden="1" x14ac:dyDescent="0.3">
      <c r="A7" s="21">
        <v>45835</v>
      </c>
      <c r="B7" s="34" t="s">
        <v>1</v>
      </c>
      <c r="C7" s="24">
        <v>76.22</v>
      </c>
    </row>
    <row r="8" spans="1:8" hidden="1" x14ac:dyDescent="0.3">
      <c r="A8" s="26">
        <v>45847</v>
      </c>
      <c r="B8" s="27" t="s">
        <v>4</v>
      </c>
      <c r="C8" s="24">
        <v>-127.66</v>
      </c>
    </row>
    <row r="9" spans="1:8" hidden="1" x14ac:dyDescent="0.3">
      <c r="A9" s="26">
        <v>45940</v>
      </c>
      <c r="B9" s="32" t="s">
        <v>1</v>
      </c>
      <c r="C9" s="24">
        <v>9.84</v>
      </c>
    </row>
    <row r="10" spans="1:8" hidden="1" x14ac:dyDescent="0.3">
      <c r="A10" s="26">
        <v>45940</v>
      </c>
      <c r="B10" s="34" t="s">
        <v>1</v>
      </c>
      <c r="C10" s="24">
        <v>77.02</v>
      </c>
    </row>
    <row r="11" spans="1:8" hidden="1" x14ac:dyDescent="0.3">
      <c r="A11" s="26">
        <v>45953</v>
      </c>
      <c r="B11" s="27" t="s">
        <v>4</v>
      </c>
      <c r="C11" s="24">
        <v>-86.86</v>
      </c>
    </row>
    <row r="12" spans="1:8" hidden="1" x14ac:dyDescent="0.3">
      <c r="A12" s="26">
        <v>45954</v>
      </c>
      <c r="B12" s="34" t="s">
        <v>1</v>
      </c>
      <c r="C12" s="24">
        <v>24.6</v>
      </c>
    </row>
    <row r="13" spans="1:8" hidden="1" x14ac:dyDescent="0.3">
      <c r="A13" s="26">
        <v>45962</v>
      </c>
      <c r="B13" s="27" t="s">
        <v>4</v>
      </c>
      <c r="C13" s="24">
        <v>-24.6</v>
      </c>
    </row>
    <row r="14" spans="1:8" x14ac:dyDescent="0.3">
      <c r="A14" s="26">
        <v>45961</v>
      </c>
      <c r="B14" s="34" t="s">
        <v>1</v>
      </c>
      <c r="C14" s="24">
        <v>36.39</v>
      </c>
    </row>
    <row r="15" spans="1:8" x14ac:dyDescent="0.3">
      <c r="A15" s="26">
        <v>45968</v>
      </c>
      <c r="B15" s="32" t="s">
        <v>1</v>
      </c>
      <c r="C15" s="24">
        <v>9.84</v>
      </c>
    </row>
    <row r="16" spans="1:8" x14ac:dyDescent="0.3">
      <c r="A16" s="26">
        <v>45968</v>
      </c>
      <c r="B16" s="34" t="s">
        <v>1</v>
      </c>
      <c r="C16" s="24">
        <v>32.369999999999997</v>
      </c>
    </row>
    <row r="17" spans="1:3" x14ac:dyDescent="0.3">
      <c r="A17" s="26">
        <v>45979</v>
      </c>
      <c r="B17" s="27" t="s">
        <v>4</v>
      </c>
      <c r="C17" s="24">
        <v>-45.03</v>
      </c>
    </row>
    <row r="18" spans="1:3" x14ac:dyDescent="0.3">
      <c r="A18" s="26">
        <v>45982</v>
      </c>
      <c r="B18" s="27" t="s">
        <v>1</v>
      </c>
      <c r="C18" s="24">
        <v>66.81</v>
      </c>
    </row>
    <row r="19" spans="1:3" x14ac:dyDescent="0.3">
      <c r="A19" s="26">
        <v>45994</v>
      </c>
      <c r="B19" s="27" t="s">
        <v>4</v>
      </c>
      <c r="C19" s="24">
        <v>-30.1</v>
      </c>
    </row>
    <row r="20" spans="1:3" x14ac:dyDescent="0.3">
      <c r="A20" s="26">
        <v>46006</v>
      </c>
      <c r="B20" s="27" t="s">
        <v>4</v>
      </c>
      <c r="C20" s="24">
        <v>-70.28</v>
      </c>
    </row>
    <row r="21" spans="1:3" x14ac:dyDescent="0.3">
      <c r="A21" s="26">
        <v>46031</v>
      </c>
      <c r="B21" s="27" t="s">
        <v>1</v>
      </c>
      <c r="C21" s="24">
        <v>74.08</v>
      </c>
    </row>
    <row r="22" spans="1:3" x14ac:dyDescent="0.3">
      <c r="A22" s="26">
        <v>46044</v>
      </c>
      <c r="B22" s="27" t="s">
        <v>4</v>
      </c>
      <c r="C22" s="24">
        <v>-72.87</v>
      </c>
    </row>
    <row r="23" spans="1:3" x14ac:dyDescent="0.3">
      <c r="A23" s="26">
        <v>46052</v>
      </c>
      <c r="B23" s="27" t="s">
        <v>1</v>
      </c>
      <c r="C23" s="24">
        <v>44.14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C1198-CB74-4140-BA1A-105D3EC833AD}">
  <sheetPr codeName="Hoja37"/>
  <dimension ref="A1:O21"/>
  <sheetViews>
    <sheetView view="pageBreakPreview" zoomScale="80" zoomScaleNormal="100" zoomScaleSheetLayoutView="80" workbookViewId="0">
      <selection activeCell="C22" sqref="C2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4" width="10.88671875" style="18"/>
    <col min="15" max="15" width="13.21875" style="18" bestFit="1" customWidth="1"/>
    <col min="16" max="16384" width="10.88671875" style="18"/>
  </cols>
  <sheetData>
    <row r="1" spans="1:8" x14ac:dyDescent="0.3">
      <c r="A1" s="16" t="s">
        <v>15</v>
      </c>
      <c r="B1" s="17" t="s">
        <v>101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7.2000000000000028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45817</v>
      </c>
      <c r="B5" s="71" t="s">
        <v>4</v>
      </c>
      <c r="C5" s="24">
        <v>-43.04</v>
      </c>
      <c r="D5" s="30"/>
      <c r="E5" s="30"/>
      <c r="F5" s="30"/>
      <c r="G5" s="22"/>
    </row>
    <row r="6" spans="1:8" hidden="1" x14ac:dyDescent="0.3">
      <c r="A6" s="21">
        <v>45815</v>
      </c>
      <c r="B6" s="72" t="s">
        <v>21</v>
      </c>
      <c r="C6" s="24">
        <v>31.7</v>
      </c>
    </row>
    <row r="7" spans="1:8" hidden="1" x14ac:dyDescent="0.3">
      <c r="A7" s="21">
        <v>45815</v>
      </c>
      <c r="B7" s="73" t="s">
        <v>21</v>
      </c>
      <c r="C7" s="24">
        <v>11.34</v>
      </c>
    </row>
    <row r="8" spans="1:8" hidden="1" x14ac:dyDescent="0.3">
      <c r="A8" s="26">
        <v>45835</v>
      </c>
      <c r="B8" s="27" t="s">
        <v>4</v>
      </c>
      <c r="C8" s="24">
        <v>-15.85</v>
      </c>
    </row>
    <row r="9" spans="1:8" hidden="1" x14ac:dyDescent="0.3">
      <c r="A9" s="26">
        <v>45835</v>
      </c>
      <c r="B9" s="72" t="s">
        <v>21</v>
      </c>
      <c r="C9" s="24">
        <v>15.85</v>
      </c>
    </row>
    <row r="10" spans="1:8" hidden="1" x14ac:dyDescent="0.3">
      <c r="A10" s="26">
        <v>45905</v>
      </c>
      <c r="B10" s="31" t="s">
        <v>4</v>
      </c>
      <c r="C10" s="24">
        <v>-15.85</v>
      </c>
    </row>
    <row r="11" spans="1:8" hidden="1" x14ac:dyDescent="0.3">
      <c r="A11" s="26">
        <v>45905</v>
      </c>
      <c r="B11" s="72" t="s">
        <v>21</v>
      </c>
      <c r="C11" s="24">
        <v>15.85</v>
      </c>
    </row>
    <row r="12" spans="1:8" hidden="1" x14ac:dyDescent="0.3">
      <c r="A12" s="26">
        <v>45940</v>
      </c>
      <c r="B12" s="31" t="s">
        <v>4</v>
      </c>
      <c r="C12" s="24">
        <v>-16.38</v>
      </c>
    </row>
    <row r="13" spans="1:8" hidden="1" x14ac:dyDescent="0.3">
      <c r="A13" s="26">
        <v>45940</v>
      </c>
      <c r="B13" s="72" t="s">
        <v>21</v>
      </c>
      <c r="C13" s="24">
        <v>16.38</v>
      </c>
    </row>
    <row r="14" spans="1:8" x14ac:dyDescent="0.3">
      <c r="A14" s="26">
        <v>45947</v>
      </c>
      <c r="B14" s="27" t="s">
        <v>4</v>
      </c>
      <c r="C14" s="24">
        <v>-16.38</v>
      </c>
    </row>
    <row r="15" spans="1:8" x14ac:dyDescent="0.3">
      <c r="A15" s="26">
        <v>45947</v>
      </c>
      <c r="B15" s="72" t="s">
        <v>21</v>
      </c>
      <c r="C15" s="24">
        <v>16.38</v>
      </c>
    </row>
    <row r="16" spans="1:8" x14ac:dyDescent="0.3">
      <c r="A16" s="26">
        <v>45968</v>
      </c>
      <c r="B16" s="72" t="s">
        <v>21</v>
      </c>
      <c r="C16" s="24">
        <v>36.06</v>
      </c>
    </row>
    <row r="17" spans="1:15" x14ac:dyDescent="0.3">
      <c r="A17" s="26">
        <v>45975</v>
      </c>
      <c r="B17" s="27" t="s">
        <v>1</v>
      </c>
      <c r="C17" s="24">
        <v>16.38</v>
      </c>
      <c r="O17" s="100"/>
    </row>
    <row r="18" spans="1:15" x14ac:dyDescent="0.3">
      <c r="A18" s="26">
        <v>45978</v>
      </c>
      <c r="B18" s="27" t="s">
        <v>4</v>
      </c>
      <c r="C18" s="24">
        <v>-16.38</v>
      </c>
      <c r="O18" s="100"/>
    </row>
    <row r="19" spans="1:15" x14ac:dyDescent="0.3">
      <c r="A19" s="26">
        <v>45978</v>
      </c>
      <c r="B19" s="27" t="s">
        <v>4</v>
      </c>
      <c r="C19" s="24">
        <v>-16.38</v>
      </c>
    </row>
    <row r="20" spans="1:15" x14ac:dyDescent="0.3">
      <c r="A20" s="26">
        <v>45982</v>
      </c>
      <c r="B20" s="27" t="s">
        <v>1</v>
      </c>
      <c r="C20" s="24">
        <v>16.38</v>
      </c>
    </row>
    <row r="21" spans="1:15" x14ac:dyDescent="0.3">
      <c r="A21" s="26">
        <v>46013</v>
      </c>
      <c r="B21" s="27" t="s">
        <v>4</v>
      </c>
      <c r="C21" s="24">
        <v>-28.86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38501-7259-4922-944F-6708862E4E7D}">
  <sheetPr codeName="Hoja144"/>
  <dimension ref="A1:H12"/>
  <sheetViews>
    <sheetView view="pageBreakPreview" zoomScale="80" zoomScaleNormal="100" zoomScaleSheetLayoutView="80" workbookViewId="0">
      <selection sqref="A1:H3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254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255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-0.96000000000000085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45825</v>
      </c>
      <c r="B5" s="72" t="s">
        <v>21</v>
      </c>
      <c r="C5" s="24">
        <v>15.85</v>
      </c>
      <c r="D5" s="30"/>
      <c r="E5" s="30"/>
      <c r="F5" s="30"/>
      <c r="G5" s="22"/>
    </row>
    <row r="6" spans="1:8" x14ac:dyDescent="0.3">
      <c r="A6" s="21">
        <v>45825</v>
      </c>
      <c r="B6" s="27" t="s">
        <v>1</v>
      </c>
      <c r="C6" s="24">
        <v>41.6</v>
      </c>
    </row>
    <row r="7" spans="1:8" x14ac:dyDescent="0.3">
      <c r="A7" s="26">
        <v>45831</v>
      </c>
      <c r="B7" s="27" t="s">
        <v>4</v>
      </c>
      <c r="C7" s="24">
        <v>-25.6</v>
      </c>
    </row>
    <row r="8" spans="1:8" x14ac:dyDescent="0.3">
      <c r="A8" s="26">
        <v>45840</v>
      </c>
      <c r="B8" s="27" t="s">
        <v>7</v>
      </c>
      <c r="C8" s="24">
        <v>-32.81</v>
      </c>
    </row>
    <row r="10" spans="1:8" x14ac:dyDescent="0.3">
      <c r="B10" s="31"/>
    </row>
    <row r="12" spans="1:8" x14ac:dyDescent="0.3">
      <c r="B12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51EB-3B7E-4F21-BAB1-2B53104E9FD5}">
  <sheetPr codeName="Hoja145"/>
  <dimension ref="A1:H61"/>
  <sheetViews>
    <sheetView view="pageBreakPreview" zoomScale="90" zoomScaleNormal="100" zoomScaleSheetLayoutView="90" workbookViewId="0">
      <selection sqref="A1:H6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405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218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136.53999999999996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45821</v>
      </c>
      <c r="B5" s="27" t="s">
        <v>1</v>
      </c>
      <c r="C5" s="24">
        <v>62.4</v>
      </c>
      <c r="D5" s="30"/>
      <c r="E5" s="30"/>
      <c r="F5" s="30"/>
      <c r="G5" s="22"/>
    </row>
    <row r="6" spans="1:8" hidden="1" x14ac:dyDescent="0.3">
      <c r="A6" s="21">
        <v>45821</v>
      </c>
      <c r="B6" s="32" t="s">
        <v>21</v>
      </c>
      <c r="C6" s="24">
        <v>15.85</v>
      </c>
    </row>
    <row r="7" spans="1:8" hidden="1" x14ac:dyDescent="0.3">
      <c r="A7" s="21">
        <v>45821</v>
      </c>
      <c r="B7" s="34" t="s">
        <v>21</v>
      </c>
      <c r="C7" s="24">
        <v>40.74</v>
      </c>
    </row>
    <row r="8" spans="1:8" hidden="1" x14ac:dyDescent="0.3">
      <c r="A8" s="26">
        <v>45828</v>
      </c>
      <c r="B8" s="27" t="s">
        <v>4</v>
      </c>
      <c r="C8" s="24">
        <v>-47.83</v>
      </c>
    </row>
    <row r="9" spans="1:8" hidden="1" x14ac:dyDescent="0.3">
      <c r="A9" s="26">
        <v>45833</v>
      </c>
      <c r="B9" s="27" t="s">
        <v>4</v>
      </c>
      <c r="C9" s="24">
        <v>-71.16</v>
      </c>
    </row>
    <row r="10" spans="1:8" hidden="1" x14ac:dyDescent="0.3">
      <c r="A10" s="26">
        <v>45835</v>
      </c>
      <c r="B10" s="31" t="s">
        <v>1</v>
      </c>
      <c r="C10" s="24">
        <v>41.6</v>
      </c>
    </row>
    <row r="11" spans="1:8" hidden="1" x14ac:dyDescent="0.3">
      <c r="A11" s="26">
        <v>45835</v>
      </c>
      <c r="B11" s="32" t="s">
        <v>21</v>
      </c>
      <c r="C11" s="24">
        <v>9.84</v>
      </c>
    </row>
    <row r="12" spans="1:8" hidden="1" x14ac:dyDescent="0.3">
      <c r="A12" s="26">
        <v>45835</v>
      </c>
      <c r="B12" s="34" t="s">
        <v>21</v>
      </c>
      <c r="C12" s="24">
        <v>28.34</v>
      </c>
    </row>
    <row r="13" spans="1:8" hidden="1" x14ac:dyDescent="0.3">
      <c r="A13" s="26">
        <v>45841</v>
      </c>
      <c r="B13" s="27" t="s">
        <v>4</v>
      </c>
      <c r="C13" s="24">
        <v>-51.93</v>
      </c>
    </row>
    <row r="14" spans="1:8" hidden="1" x14ac:dyDescent="0.3">
      <c r="A14" s="26">
        <v>45841</v>
      </c>
      <c r="B14" s="27" t="s">
        <v>1</v>
      </c>
      <c r="C14" s="24">
        <v>41.6</v>
      </c>
    </row>
    <row r="15" spans="1:8" hidden="1" x14ac:dyDescent="0.3">
      <c r="A15" s="26">
        <v>45841</v>
      </c>
      <c r="B15" s="32" t="s">
        <v>1</v>
      </c>
      <c r="C15" s="24">
        <v>4.5999999999999996</v>
      </c>
    </row>
    <row r="16" spans="1:8" hidden="1" x14ac:dyDescent="0.3">
      <c r="A16" s="26">
        <v>45841</v>
      </c>
      <c r="B16" s="34" t="s">
        <v>21</v>
      </c>
      <c r="C16" s="24">
        <v>44.16</v>
      </c>
    </row>
    <row r="17" spans="1:3" hidden="1" x14ac:dyDescent="0.3">
      <c r="A17" s="26">
        <v>45841</v>
      </c>
      <c r="B17" s="46" t="s">
        <v>21</v>
      </c>
      <c r="C17" s="24">
        <v>14.76</v>
      </c>
    </row>
    <row r="18" spans="1:3" hidden="1" x14ac:dyDescent="0.3">
      <c r="A18" s="26">
        <v>45855</v>
      </c>
      <c r="B18" s="27" t="s">
        <v>4</v>
      </c>
      <c r="C18" s="24">
        <v>-110.73</v>
      </c>
    </row>
    <row r="19" spans="1:3" hidden="1" x14ac:dyDescent="0.3">
      <c r="A19" s="26">
        <v>45855</v>
      </c>
      <c r="B19" s="27" t="s">
        <v>1</v>
      </c>
      <c r="C19" s="24">
        <v>61.52</v>
      </c>
    </row>
    <row r="20" spans="1:3" hidden="1" x14ac:dyDescent="0.3">
      <c r="A20" s="26">
        <v>45855</v>
      </c>
      <c r="B20" s="32" t="s">
        <v>1</v>
      </c>
      <c r="C20" s="24">
        <v>9.84</v>
      </c>
    </row>
    <row r="21" spans="1:3" hidden="1" x14ac:dyDescent="0.3">
      <c r="A21" s="26">
        <v>45855</v>
      </c>
      <c r="B21" s="34" t="s">
        <v>21</v>
      </c>
      <c r="C21" s="24">
        <v>59.83</v>
      </c>
    </row>
    <row r="22" spans="1:3" hidden="1" x14ac:dyDescent="0.3">
      <c r="A22" s="26">
        <v>45855</v>
      </c>
      <c r="B22" s="46" t="s">
        <v>21</v>
      </c>
      <c r="C22" s="24">
        <v>9.6300000000000008</v>
      </c>
    </row>
    <row r="23" spans="1:3" hidden="1" x14ac:dyDescent="0.3">
      <c r="A23" s="26">
        <v>45863</v>
      </c>
      <c r="B23" s="27" t="s">
        <v>4</v>
      </c>
      <c r="C23" s="24">
        <v>-57.69</v>
      </c>
    </row>
    <row r="24" spans="1:3" hidden="1" x14ac:dyDescent="0.3">
      <c r="A24" s="26">
        <v>45868</v>
      </c>
      <c r="B24" s="27" t="s">
        <v>4</v>
      </c>
      <c r="C24" s="24">
        <v>-64.58</v>
      </c>
    </row>
    <row r="25" spans="1:3" hidden="1" x14ac:dyDescent="0.3">
      <c r="A25" s="26">
        <v>45869</v>
      </c>
      <c r="B25" s="27" t="s">
        <v>4</v>
      </c>
      <c r="C25" s="24">
        <v>-29.72</v>
      </c>
    </row>
    <row r="26" spans="1:3" hidden="1" x14ac:dyDescent="0.3">
      <c r="A26" s="26">
        <v>29.43</v>
      </c>
      <c r="B26" s="32" t="s">
        <v>1</v>
      </c>
      <c r="C26" s="24">
        <v>17.34</v>
      </c>
    </row>
    <row r="27" spans="1:3" hidden="1" x14ac:dyDescent="0.3">
      <c r="A27" s="26">
        <v>45869</v>
      </c>
      <c r="B27" s="34" t="s">
        <v>21</v>
      </c>
      <c r="C27" s="24">
        <v>29.43</v>
      </c>
    </row>
    <row r="28" spans="1:3" hidden="1" x14ac:dyDescent="0.3">
      <c r="A28" s="26">
        <v>45869</v>
      </c>
      <c r="B28" s="27" t="s">
        <v>1</v>
      </c>
      <c r="C28" s="24">
        <v>83.2</v>
      </c>
    </row>
    <row r="29" spans="1:3" hidden="1" x14ac:dyDescent="0.3">
      <c r="A29" s="26">
        <v>45881</v>
      </c>
      <c r="B29" s="27" t="s">
        <v>4</v>
      </c>
      <c r="C29" s="24">
        <v>-83.14</v>
      </c>
    </row>
    <row r="30" spans="1:3" hidden="1" x14ac:dyDescent="0.3">
      <c r="A30" s="26">
        <v>45883</v>
      </c>
      <c r="B30" s="27" t="s">
        <v>1</v>
      </c>
      <c r="C30" s="24">
        <v>41.6</v>
      </c>
    </row>
    <row r="31" spans="1:3" hidden="1" x14ac:dyDescent="0.3">
      <c r="A31" s="26">
        <v>45883</v>
      </c>
      <c r="B31" s="32" t="s">
        <v>1</v>
      </c>
      <c r="C31" s="24">
        <v>23.35</v>
      </c>
    </row>
    <row r="32" spans="1:3" hidden="1" x14ac:dyDescent="0.3">
      <c r="A32" s="26">
        <v>45883</v>
      </c>
      <c r="B32" s="34" t="s">
        <v>21</v>
      </c>
      <c r="C32" s="24">
        <v>53.34</v>
      </c>
    </row>
    <row r="33" spans="1:4" hidden="1" x14ac:dyDescent="0.3">
      <c r="A33" s="26">
        <v>45887</v>
      </c>
      <c r="B33" s="27" t="s">
        <v>4</v>
      </c>
      <c r="C33" s="24">
        <v>-57.37</v>
      </c>
    </row>
    <row r="34" spans="1:4" hidden="1" x14ac:dyDescent="0.3">
      <c r="A34" s="26">
        <v>45895</v>
      </c>
      <c r="B34" s="27" t="s">
        <v>4</v>
      </c>
      <c r="C34" s="24">
        <v>-53.83</v>
      </c>
    </row>
    <row r="35" spans="1:4" hidden="1" x14ac:dyDescent="0.3">
      <c r="A35" s="26">
        <v>45897</v>
      </c>
      <c r="B35" s="27" t="s">
        <v>1</v>
      </c>
      <c r="C35" s="24">
        <v>62.4</v>
      </c>
    </row>
    <row r="36" spans="1:4" hidden="1" x14ac:dyDescent="0.3">
      <c r="A36" s="26">
        <v>45897</v>
      </c>
      <c r="B36" s="34" t="s">
        <v>21</v>
      </c>
      <c r="C36" s="24">
        <v>63.18</v>
      </c>
    </row>
    <row r="37" spans="1:4" hidden="1" x14ac:dyDescent="0.3">
      <c r="A37" s="26">
        <v>45909</v>
      </c>
      <c r="B37" s="27" t="s">
        <v>4</v>
      </c>
      <c r="C37" s="24">
        <v>-61.37</v>
      </c>
    </row>
    <row r="38" spans="1:4" hidden="1" x14ac:dyDescent="0.3">
      <c r="A38" s="26">
        <v>45910</v>
      </c>
      <c r="B38" s="27" t="s">
        <v>4</v>
      </c>
      <c r="C38" s="24">
        <v>-63.95</v>
      </c>
    </row>
    <row r="39" spans="1:4" hidden="1" x14ac:dyDescent="0.3">
      <c r="A39" s="26">
        <v>45917</v>
      </c>
      <c r="B39" s="27" t="s">
        <v>4</v>
      </c>
      <c r="C39" s="24">
        <v>-65.290000000000006</v>
      </c>
    </row>
    <row r="40" spans="1:4" x14ac:dyDescent="0.3">
      <c r="A40" s="26">
        <v>45911</v>
      </c>
      <c r="B40" s="27" t="s">
        <v>1</v>
      </c>
      <c r="C40" s="24">
        <v>136.1</v>
      </c>
    </row>
    <row r="41" spans="1:4" x14ac:dyDescent="0.3">
      <c r="A41" s="26">
        <v>45911</v>
      </c>
      <c r="B41" s="34" t="s">
        <v>21</v>
      </c>
      <c r="C41" s="24">
        <v>52.65</v>
      </c>
    </row>
    <row r="42" spans="1:4" x14ac:dyDescent="0.3">
      <c r="A42" s="26">
        <v>45918</v>
      </c>
      <c r="B42" s="27" t="s">
        <v>4</v>
      </c>
      <c r="C42" s="24">
        <v>-79.44</v>
      </c>
    </row>
    <row r="43" spans="1:4" x14ac:dyDescent="0.3">
      <c r="A43" s="26">
        <v>45918</v>
      </c>
      <c r="B43" s="27" t="s">
        <v>1</v>
      </c>
      <c r="C43" s="24">
        <v>11.62</v>
      </c>
    </row>
    <row r="44" spans="1:4" x14ac:dyDescent="0.3">
      <c r="A44" s="26">
        <v>45918</v>
      </c>
      <c r="B44" s="32" t="s">
        <v>1</v>
      </c>
      <c r="C44" s="24">
        <v>32.950000000000003</v>
      </c>
    </row>
    <row r="45" spans="1:4" x14ac:dyDescent="0.3">
      <c r="A45" s="26">
        <v>45918</v>
      </c>
      <c r="B45" s="34" t="s">
        <v>21</v>
      </c>
      <c r="C45" s="24">
        <v>57.72</v>
      </c>
    </row>
    <row r="46" spans="1:4" x14ac:dyDescent="0.3">
      <c r="A46" s="26">
        <v>45920</v>
      </c>
      <c r="B46" s="27" t="s">
        <v>1</v>
      </c>
      <c r="C46" s="24">
        <v>41.6</v>
      </c>
      <c r="D46" s="25">
        <v>2</v>
      </c>
    </row>
    <row r="47" spans="1:4" x14ac:dyDescent="0.3">
      <c r="A47" s="26">
        <v>45925</v>
      </c>
      <c r="B47" s="27" t="s">
        <v>4</v>
      </c>
      <c r="C47" s="24">
        <v>-108.81</v>
      </c>
    </row>
    <row r="48" spans="1:4" x14ac:dyDescent="0.3">
      <c r="A48" s="26">
        <v>45931</v>
      </c>
      <c r="B48" s="27" t="s">
        <v>4</v>
      </c>
      <c r="C48" s="24">
        <v>-55.73</v>
      </c>
    </row>
    <row r="49" spans="1:4" x14ac:dyDescent="0.3">
      <c r="A49" s="26">
        <v>45932</v>
      </c>
      <c r="B49" s="27" t="s">
        <v>1</v>
      </c>
      <c r="C49" s="24">
        <v>64.8</v>
      </c>
      <c r="D49" s="25">
        <v>-2</v>
      </c>
    </row>
    <row r="50" spans="1:4" x14ac:dyDescent="0.3">
      <c r="A50" s="26">
        <v>45932</v>
      </c>
      <c r="B50" s="32" t="s">
        <v>1</v>
      </c>
      <c r="C50" s="24">
        <v>30.28</v>
      </c>
    </row>
    <row r="51" spans="1:4" x14ac:dyDescent="0.3">
      <c r="A51" s="26">
        <v>45932</v>
      </c>
      <c r="B51" s="34" t="s">
        <v>21</v>
      </c>
      <c r="C51" s="24">
        <v>49.35</v>
      </c>
    </row>
    <row r="52" spans="1:4" x14ac:dyDescent="0.3">
      <c r="A52" s="26">
        <v>45944</v>
      </c>
      <c r="B52" s="27" t="s">
        <v>4</v>
      </c>
      <c r="C52" s="24">
        <v>-101.4</v>
      </c>
    </row>
    <row r="53" spans="1:4" x14ac:dyDescent="0.3">
      <c r="A53" s="26">
        <v>45946</v>
      </c>
      <c r="B53" s="27" t="s">
        <v>1</v>
      </c>
      <c r="C53" s="24">
        <v>94.87</v>
      </c>
    </row>
    <row r="54" spans="1:4" x14ac:dyDescent="0.3">
      <c r="A54" s="26">
        <v>45946</v>
      </c>
      <c r="B54" s="32" t="s">
        <v>1</v>
      </c>
      <c r="C54" s="24">
        <v>34.44</v>
      </c>
    </row>
    <row r="55" spans="1:4" x14ac:dyDescent="0.3">
      <c r="A55" s="26">
        <v>45946</v>
      </c>
      <c r="B55" s="34" t="s">
        <v>21</v>
      </c>
      <c r="C55" s="24">
        <v>50.27</v>
      </c>
    </row>
    <row r="56" spans="1:4" x14ac:dyDescent="0.3">
      <c r="A56" s="26">
        <v>45960</v>
      </c>
      <c r="B56" s="34" t="s">
        <v>21</v>
      </c>
      <c r="C56" s="24">
        <v>8.2799999999999994</v>
      </c>
    </row>
    <row r="57" spans="1:4" x14ac:dyDescent="0.3">
      <c r="A57" s="26">
        <v>45961</v>
      </c>
      <c r="B57" s="32" t="s">
        <v>1</v>
      </c>
      <c r="C57" s="24">
        <v>16.38</v>
      </c>
    </row>
    <row r="58" spans="1:4" x14ac:dyDescent="0.3">
      <c r="A58" s="26">
        <v>45972</v>
      </c>
      <c r="B58" s="27" t="s">
        <v>4</v>
      </c>
      <c r="C58" s="24">
        <v>-86.54</v>
      </c>
    </row>
    <row r="59" spans="1:4" x14ac:dyDescent="0.3">
      <c r="A59" s="26">
        <v>45986</v>
      </c>
      <c r="B59" s="27" t="s">
        <v>4</v>
      </c>
      <c r="C59" s="24">
        <v>-61.7</v>
      </c>
    </row>
    <row r="60" spans="1:4" x14ac:dyDescent="0.3">
      <c r="A60" s="26">
        <v>45988</v>
      </c>
      <c r="B60" s="27" t="s">
        <v>1</v>
      </c>
      <c r="C60" s="24">
        <v>16.38</v>
      </c>
    </row>
    <row r="61" spans="1:4" x14ac:dyDescent="0.3">
      <c r="A61" s="26">
        <v>45995</v>
      </c>
      <c r="B61" s="27" t="s">
        <v>4</v>
      </c>
      <c r="C61" s="24">
        <v>-67.489999999999995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2D015-D65E-4A77-872B-C69592A13ECA}">
  <sheetPr codeName="Hoja38"/>
  <dimension ref="A1:H71"/>
  <sheetViews>
    <sheetView view="pageBreakPreview" zoomScale="80" zoomScaleNormal="100" zoomScaleSheetLayoutView="80" workbookViewId="0">
      <selection activeCell="C72" sqref="C7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172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173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36.069999999999979</v>
      </c>
      <c r="D3" s="20">
        <f>SUM(D$4:D$1048576)</f>
        <v>1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45819</v>
      </c>
      <c r="B5" s="34" t="s">
        <v>21</v>
      </c>
      <c r="C5" s="24">
        <v>45.78</v>
      </c>
      <c r="D5" s="30"/>
      <c r="E5" s="30"/>
      <c r="F5" s="30"/>
      <c r="G5" s="22"/>
    </row>
    <row r="6" spans="1:8" hidden="1" x14ac:dyDescent="0.3">
      <c r="A6" s="21">
        <v>45826</v>
      </c>
      <c r="B6" s="27" t="s">
        <v>4</v>
      </c>
      <c r="C6" s="24">
        <v>-45.78</v>
      </c>
    </row>
    <row r="7" spans="1:8" hidden="1" x14ac:dyDescent="0.3">
      <c r="A7" s="21">
        <v>45827</v>
      </c>
      <c r="B7" s="32" t="s">
        <v>21</v>
      </c>
      <c r="C7" s="24">
        <v>15.85</v>
      </c>
    </row>
    <row r="8" spans="1:8" hidden="1" x14ac:dyDescent="0.3">
      <c r="A8" s="21">
        <v>45827</v>
      </c>
      <c r="B8" s="34" t="s">
        <v>21</v>
      </c>
      <c r="C8" s="24">
        <v>64.239999999999995</v>
      </c>
    </row>
    <row r="9" spans="1:8" hidden="1" x14ac:dyDescent="0.3">
      <c r="A9" s="26">
        <v>45834</v>
      </c>
      <c r="B9" s="27" t="s">
        <v>4</v>
      </c>
      <c r="C9" s="24">
        <v>-80.09</v>
      </c>
    </row>
    <row r="10" spans="1:8" hidden="1" x14ac:dyDescent="0.3">
      <c r="A10" s="26">
        <v>45834</v>
      </c>
      <c r="B10" s="32" t="s">
        <v>21</v>
      </c>
      <c r="C10" s="24">
        <v>4.5999999999999996</v>
      </c>
    </row>
    <row r="11" spans="1:8" hidden="1" x14ac:dyDescent="0.3">
      <c r="A11" s="26">
        <v>45834</v>
      </c>
      <c r="B11" s="34" t="s">
        <v>21</v>
      </c>
      <c r="C11" s="24">
        <v>30.59</v>
      </c>
    </row>
    <row r="12" spans="1:8" hidden="1" x14ac:dyDescent="0.3">
      <c r="A12" s="26">
        <v>45838</v>
      </c>
      <c r="B12" s="31" t="s">
        <v>4</v>
      </c>
      <c r="C12" s="24">
        <v>-35.19</v>
      </c>
    </row>
    <row r="13" spans="1:8" hidden="1" x14ac:dyDescent="0.3">
      <c r="A13" s="26">
        <v>45841</v>
      </c>
      <c r="B13" s="34" t="s">
        <v>21</v>
      </c>
      <c r="C13" s="24">
        <v>50.64</v>
      </c>
    </row>
    <row r="14" spans="1:8" hidden="1" x14ac:dyDescent="0.3">
      <c r="A14" s="26">
        <v>45848</v>
      </c>
      <c r="B14" s="27" t="s">
        <v>4</v>
      </c>
      <c r="C14" s="24">
        <v>-52.84</v>
      </c>
    </row>
    <row r="15" spans="1:8" hidden="1" x14ac:dyDescent="0.3">
      <c r="A15" s="26">
        <v>45848</v>
      </c>
      <c r="B15" s="34" t="s">
        <v>21</v>
      </c>
      <c r="C15" s="24">
        <v>23.56</v>
      </c>
    </row>
    <row r="16" spans="1:8" hidden="1" x14ac:dyDescent="0.3">
      <c r="A16" s="26">
        <v>45854</v>
      </c>
      <c r="B16" s="27" t="s">
        <v>4</v>
      </c>
      <c r="C16" s="24">
        <v>-23.36</v>
      </c>
    </row>
    <row r="17" spans="1:3" hidden="1" x14ac:dyDescent="0.3">
      <c r="A17" s="26">
        <v>45855</v>
      </c>
      <c r="B17" s="34" t="s">
        <v>21</v>
      </c>
      <c r="C17" s="24">
        <v>66.89</v>
      </c>
    </row>
    <row r="18" spans="1:3" hidden="1" x14ac:dyDescent="0.3">
      <c r="A18" s="26">
        <v>45862</v>
      </c>
      <c r="B18" s="27" t="s">
        <v>4</v>
      </c>
      <c r="C18" s="24">
        <v>-66.89</v>
      </c>
    </row>
    <row r="19" spans="1:3" hidden="1" x14ac:dyDescent="0.3">
      <c r="A19" s="26">
        <v>45863</v>
      </c>
      <c r="B19" s="34" t="s">
        <v>21</v>
      </c>
      <c r="C19" s="24">
        <v>27.63</v>
      </c>
    </row>
    <row r="20" spans="1:3" hidden="1" x14ac:dyDescent="0.3">
      <c r="A20" s="26">
        <v>45869</v>
      </c>
      <c r="B20" s="27" t="s">
        <v>4</v>
      </c>
      <c r="C20" s="24">
        <v>-27.63</v>
      </c>
    </row>
    <row r="21" spans="1:3" hidden="1" x14ac:dyDescent="0.3">
      <c r="A21" s="26">
        <v>45869</v>
      </c>
      <c r="B21" s="34" t="s">
        <v>21</v>
      </c>
      <c r="C21" s="24">
        <v>48.85</v>
      </c>
    </row>
    <row r="22" spans="1:3" hidden="1" x14ac:dyDescent="0.3">
      <c r="A22" s="26">
        <v>45875</v>
      </c>
      <c r="B22" s="27" t="s">
        <v>4</v>
      </c>
      <c r="C22" s="24">
        <v>-48.85</v>
      </c>
    </row>
    <row r="23" spans="1:3" hidden="1" x14ac:dyDescent="0.3">
      <c r="A23" s="26">
        <v>45875</v>
      </c>
      <c r="B23" s="32" t="s">
        <v>21</v>
      </c>
      <c r="C23" s="24">
        <v>15.85</v>
      </c>
    </row>
    <row r="24" spans="1:3" hidden="1" x14ac:dyDescent="0.3">
      <c r="A24" s="26">
        <v>45875</v>
      </c>
      <c r="B24" s="34" t="s">
        <v>21</v>
      </c>
      <c r="C24" s="24">
        <v>33.590000000000003</v>
      </c>
    </row>
    <row r="25" spans="1:3" hidden="1" x14ac:dyDescent="0.3">
      <c r="A25" s="26">
        <v>45883</v>
      </c>
      <c r="B25" s="34" t="s">
        <v>21</v>
      </c>
      <c r="C25" s="24">
        <v>44.11</v>
      </c>
    </row>
    <row r="26" spans="1:3" hidden="1" x14ac:dyDescent="0.3">
      <c r="A26" s="26">
        <v>45884</v>
      </c>
      <c r="B26" s="27" t="s">
        <v>7</v>
      </c>
      <c r="C26" s="24">
        <v>-47.45</v>
      </c>
    </row>
    <row r="27" spans="1:3" hidden="1" x14ac:dyDescent="0.3">
      <c r="A27" s="26">
        <v>45890</v>
      </c>
      <c r="B27" s="27" t="s">
        <v>7</v>
      </c>
      <c r="C27" s="24">
        <v>-44.12</v>
      </c>
    </row>
    <row r="28" spans="1:3" hidden="1" x14ac:dyDescent="0.3">
      <c r="A28" s="26">
        <v>45890</v>
      </c>
      <c r="B28" s="34" t="s">
        <v>21</v>
      </c>
      <c r="C28" s="24">
        <v>48.69</v>
      </c>
    </row>
    <row r="29" spans="1:3" hidden="1" x14ac:dyDescent="0.3">
      <c r="A29" s="26">
        <v>45898</v>
      </c>
      <c r="B29" s="27" t="s">
        <v>7</v>
      </c>
      <c r="C29" s="24">
        <v>-48.7</v>
      </c>
    </row>
    <row r="30" spans="1:3" hidden="1" x14ac:dyDescent="0.3">
      <c r="A30" s="26">
        <v>45898</v>
      </c>
      <c r="B30" s="34" t="s">
        <v>21</v>
      </c>
      <c r="C30" s="24">
        <v>39.549999999999997</v>
      </c>
    </row>
    <row r="31" spans="1:3" hidden="1" x14ac:dyDescent="0.3">
      <c r="A31" s="26">
        <v>45904</v>
      </c>
      <c r="B31" s="27" t="s">
        <v>7</v>
      </c>
      <c r="C31" s="24">
        <v>-39.58</v>
      </c>
    </row>
    <row r="32" spans="1:3" hidden="1" x14ac:dyDescent="0.3">
      <c r="A32" s="26">
        <v>45904</v>
      </c>
      <c r="B32" s="32" t="s">
        <v>21</v>
      </c>
      <c r="C32" s="24">
        <v>15.85</v>
      </c>
    </row>
    <row r="33" spans="1:4" hidden="1" x14ac:dyDescent="0.3">
      <c r="A33" s="26">
        <v>45904</v>
      </c>
      <c r="B33" s="34" t="s">
        <v>21</v>
      </c>
      <c r="C33" s="24">
        <v>22.93</v>
      </c>
    </row>
    <row r="34" spans="1:4" hidden="1" x14ac:dyDescent="0.3">
      <c r="A34" s="26">
        <v>45912</v>
      </c>
      <c r="C34" s="24">
        <v>29.19</v>
      </c>
    </row>
    <row r="35" spans="1:4" hidden="1" x14ac:dyDescent="0.3">
      <c r="A35" s="26">
        <v>45919</v>
      </c>
      <c r="B35" s="27" t="s">
        <v>4</v>
      </c>
      <c r="C35" s="24">
        <v>-29.19</v>
      </c>
    </row>
    <row r="36" spans="1:4" hidden="1" x14ac:dyDescent="0.3">
      <c r="A36" s="26">
        <v>45920</v>
      </c>
      <c r="B36" s="27" t="s">
        <v>7</v>
      </c>
      <c r="C36" s="24">
        <v>-38.700000000000003</v>
      </c>
    </row>
    <row r="37" spans="1:4" hidden="1" x14ac:dyDescent="0.3">
      <c r="A37" s="26">
        <v>45920</v>
      </c>
      <c r="B37" s="34" t="s">
        <v>21</v>
      </c>
      <c r="C37" s="24">
        <v>47.89</v>
      </c>
    </row>
    <row r="38" spans="1:4" hidden="1" x14ac:dyDescent="0.3">
      <c r="A38" s="26">
        <v>45925</v>
      </c>
      <c r="B38" s="27" t="s">
        <v>4</v>
      </c>
      <c r="C38" s="24">
        <v>-35.5</v>
      </c>
    </row>
    <row r="39" spans="1:4" hidden="1" x14ac:dyDescent="0.3">
      <c r="A39" s="26">
        <v>45926</v>
      </c>
      <c r="B39" s="27" t="s">
        <v>7</v>
      </c>
      <c r="C39" s="24">
        <v>-12.41</v>
      </c>
    </row>
    <row r="40" spans="1:4" hidden="1" x14ac:dyDescent="0.3">
      <c r="A40" s="26">
        <v>45926</v>
      </c>
      <c r="B40" s="32" t="s">
        <v>21</v>
      </c>
      <c r="C40" s="24">
        <v>15.85</v>
      </c>
    </row>
    <row r="41" spans="1:4" hidden="1" x14ac:dyDescent="0.3">
      <c r="A41" s="26">
        <v>45926</v>
      </c>
      <c r="B41" s="34" t="s">
        <v>21</v>
      </c>
      <c r="C41" s="24">
        <v>18.04</v>
      </c>
    </row>
    <row r="42" spans="1:4" hidden="1" x14ac:dyDescent="0.3">
      <c r="A42" s="26">
        <v>45933</v>
      </c>
      <c r="B42" s="34" t="s">
        <v>21</v>
      </c>
      <c r="C42" s="24">
        <v>32.46</v>
      </c>
    </row>
    <row r="43" spans="1:4" hidden="1" x14ac:dyDescent="0.3">
      <c r="A43" s="26">
        <v>45936</v>
      </c>
      <c r="B43" s="27" t="s">
        <v>4</v>
      </c>
      <c r="C43" s="24">
        <v>-34</v>
      </c>
    </row>
    <row r="44" spans="1:4" hidden="1" x14ac:dyDescent="0.3">
      <c r="A44" s="26">
        <v>45940</v>
      </c>
      <c r="B44" s="27" t="s">
        <v>4</v>
      </c>
      <c r="C44" s="24">
        <v>-32.79</v>
      </c>
    </row>
    <row r="45" spans="1:4" hidden="1" x14ac:dyDescent="0.3">
      <c r="A45" s="26">
        <v>45940</v>
      </c>
      <c r="B45" s="32" t="s">
        <v>21</v>
      </c>
      <c r="C45" s="24">
        <v>16.38</v>
      </c>
      <c r="D45" s="25">
        <v>1</v>
      </c>
    </row>
    <row r="46" spans="1:4" hidden="1" x14ac:dyDescent="0.3">
      <c r="A46" s="26">
        <v>45940</v>
      </c>
      <c r="B46" s="34" t="s">
        <v>21</v>
      </c>
      <c r="C46" s="24">
        <v>20.98</v>
      </c>
    </row>
    <row r="47" spans="1:4" hidden="1" x14ac:dyDescent="0.3">
      <c r="A47" s="26">
        <v>45948</v>
      </c>
      <c r="B47" s="27" t="s">
        <v>4</v>
      </c>
      <c r="C47" s="24">
        <v>-37.36</v>
      </c>
    </row>
    <row r="48" spans="1:4" hidden="1" x14ac:dyDescent="0.3">
      <c r="A48" s="26">
        <v>45954</v>
      </c>
      <c r="B48" s="34" t="s">
        <v>21</v>
      </c>
      <c r="C48" s="24">
        <v>36.93</v>
      </c>
    </row>
    <row r="49" spans="1:3" hidden="1" x14ac:dyDescent="0.3">
      <c r="A49" s="26">
        <v>45961</v>
      </c>
      <c r="B49" s="32" t="s">
        <v>21</v>
      </c>
      <c r="C49" s="24">
        <v>16.38</v>
      </c>
    </row>
    <row r="50" spans="1:3" hidden="1" x14ac:dyDescent="0.3">
      <c r="A50" s="26">
        <v>45961</v>
      </c>
      <c r="B50" s="34" t="s">
        <v>21</v>
      </c>
      <c r="C50" s="24">
        <v>21.87</v>
      </c>
    </row>
    <row r="51" spans="1:3" hidden="1" x14ac:dyDescent="0.3">
      <c r="A51" s="26">
        <v>45968</v>
      </c>
      <c r="B51" s="27" t="s">
        <v>4</v>
      </c>
      <c r="C51" s="24">
        <v>-38.25</v>
      </c>
    </row>
    <row r="52" spans="1:3" hidden="1" x14ac:dyDescent="0.3">
      <c r="A52" s="26">
        <v>45968</v>
      </c>
      <c r="B52" s="34" t="s">
        <v>21</v>
      </c>
      <c r="C52" s="24">
        <v>58.4</v>
      </c>
    </row>
    <row r="53" spans="1:3" hidden="1" x14ac:dyDescent="0.3">
      <c r="A53" s="26">
        <v>45974</v>
      </c>
      <c r="B53" s="27" t="s">
        <v>7</v>
      </c>
      <c r="C53" s="24">
        <v>-58.42</v>
      </c>
    </row>
    <row r="54" spans="1:3" hidden="1" x14ac:dyDescent="0.3">
      <c r="A54" s="26">
        <v>45974</v>
      </c>
      <c r="B54" s="27" t="s">
        <v>1</v>
      </c>
      <c r="C54" s="24">
        <v>25.25</v>
      </c>
    </row>
    <row r="55" spans="1:3" hidden="1" x14ac:dyDescent="0.3">
      <c r="A55" s="26">
        <v>45979</v>
      </c>
      <c r="B55" s="27" t="s">
        <v>4</v>
      </c>
      <c r="C55" s="24">
        <v>-36.93</v>
      </c>
    </row>
    <row r="56" spans="1:3" hidden="1" x14ac:dyDescent="0.3">
      <c r="A56" s="26">
        <v>45982</v>
      </c>
      <c r="B56" s="27" t="s">
        <v>4</v>
      </c>
      <c r="C56" s="24">
        <v>-25.25</v>
      </c>
    </row>
    <row r="57" spans="1:3" x14ac:dyDescent="0.3">
      <c r="A57" s="26">
        <v>45982</v>
      </c>
      <c r="B57" s="27" t="s">
        <v>1</v>
      </c>
      <c r="C57" s="24">
        <v>29.08</v>
      </c>
    </row>
    <row r="58" spans="1:3" x14ac:dyDescent="0.3">
      <c r="A58" s="26">
        <v>45990</v>
      </c>
      <c r="B58" s="27" t="s">
        <v>4</v>
      </c>
      <c r="C58" s="24">
        <v>-29.08</v>
      </c>
    </row>
    <row r="59" spans="1:3" x14ac:dyDescent="0.3">
      <c r="A59" s="26">
        <v>45989</v>
      </c>
      <c r="B59" s="27" t="s">
        <v>1</v>
      </c>
      <c r="C59" s="24">
        <v>17.93</v>
      </c>
    </row>
    <row r="60" spans="1:3" x14ac:dyDescent="0.3">
      <c r="A60" s="26">
        <v>45996</v>
      </c>
      <c r="B60" s="27" t="s">
        <v>7</v>
      </c>
      <c r="C60" s="24">
        <v>-17.96</v>
      </c>
    </row>
    <row r="61" spans="1:3" x14ac:dyDescent="0.3">
      <c r="A61" s="26">
        <v>45996</v>
      </c>
      <c r="B61" s="27" t="s">
        <v>1</v>
      </c>
      <c r="C61" s="24">
        <v>34.159999999999997</v>
      </c>
    </row>
    <row r="62" spans="1:3" x14ac:dyDescent="0.3">
      <c r="A62" s="26">
        <v>46003</v>
      </c>
      <c r="B62" s="27" t="s">
        <v>7</v>
      </c>
      <c r="C62" s="24">
        <v>-12.5</v>
      </c>
    </row>
    <row r="63" spans="1:3" x14ac:dyDescent="0.3">
      <c r="A63" s="26">
        <v>46003</v>
      </c>
      <c r="B63" s="27" t="s">
        <v>1</v>
      </c>
      <c r="C63" s="24">
        <v>19.63</v>
      </c>
    </row>
    <row r="64" spans="1:3" x14ac:dyDescent="0.3">
      <c r="A64" s="26">
        <v>46015</v>
      </c>
      <c r="B64" s="27" t="s">
        <v>4</v>
      </c>
      <c r="C64" s="24">
        <v>-19.63</v>
      </c>
    </row>
    <row r="65" spans="1:3" x14ac:dyDescent="0.3">
      <c r="A65" s="26">
        <v>46017</v>
      </c>
      <c r="B65" s="27" t="s">
        <v>1</v>
      </c>
      <c r="C65" s="24">
        <v>50.62</v>
      </c>
    </row>
    <row r="66" spans="1:3" x14ac:dyDescent="0.3">
      <c r="A66" s="26">
        <v>46027</v>
      </c>
      <c r="B66" s="27" t="s">
        <v>4</v>
      </c>
      <c r="C66" s="24">
        <v>-50.62</v>
      </c>
    </row>
    <row r="67" spans="1:3" x14ac:dyDescent="0.3">
      <c r="A67" s="26">
        <v>46034</v>
      </c>
      <c r="B67" s="27" t="s">
        <v>4</v>
      </c>
      <c r="C67" s="24">
        <v>-21.66</v>
      </c>
    </row>
    <row r="68" spans="1:3" x14ac:dyDescent="0.3">
      <c r="A68" s="26">
        <v>46037</v>
      </c>
      <c r="B68" s="27" t="s">
        <v>1</v>
      </c>
      <c r="C68" s="24">
        <v>21.31</v>
      </c>
    </row>
    <row r="69" spans="1:3" x14ac:dyDescent="0.3">
      <c r="A69" s="26">
        <v>46045</v>
      </c>
      <c r="B69" s="27" t="s">
        <v>4</v>
      </c>
      <c r="C69" s="24">
        <v>-21.31</v>
      </c>
    </row>
    <row r="70" spans="1:3" x14ac:dyDescent="0.3">
      <c r="A70" s="26">
        <v>46045</v>
      </c>
      <c r="B70" s="27" t="s">
        <v>1</v>
      </c>
      <c r="C70" s="24">
        <v>28.77</v>
      </c>
    </row>
    <row r="71" spans="1:3" x14ac:dyDescent="0.3">
      <c r="A71" s="26">
        <v>46052</v>
      </c>
      <c r="B71" s="27" t="s">
        <v>1</v>
      </c>
      <c r="C71" s="24">
        <v>7.79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76428-0D6D-41C3-898F-8523EA8F9E84}">
  <sheetPr codeName="Hoja39"/>
  <dimension ref="A1:H126"/>
  <sheetViews>
    <sheetView view="pageBreakPreview" topLeftCell="A101" zoomScaleNormal="100" zoomScaleSheetLayoutView="100" workbookViewId="0">
      <selection activeCell="C127" sqref="C12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178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2853.5899999999992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45819</v>
      </c>
      <c r="B5" s="32" t="s">
        <v>21</v>
      </c>
      <c r="C5" s="24">
        <v>55.67</v>
      </c>
      <c r="D5" s="30"/>
      <c r="E5" s="30"/>
      <c r="F5" s="30"/>
      <c r="G5" s="22"/>
    </row>
    <row r="6" spans="1:8" hidden="1" x14ac:dyDescent="0.3">
      <c r="A6" s="21">
        <v>45824</v>
      </c>
      <c r="B6" s="27" t="s">
        <v>4</v>
      </c>
      <c r="C6" s="24">
        <v>-55.67</v>
      </c>
    </row>
    <row r="7" spans="1:8" hidden="1" x14ac:dyDescent="0.3">
      <c r="A7" s="21">
        <v>45832</v>
      </c>
      <c r="B7" s="34" t="s">
        <v>21</v>
      </c>
      <c r="C7" s="24">
        <v>125.16</v>
      </c>
    </row>
    <row r="8" spans="1:8" hidden="1" x14ac:dyDescent="0.3">
      <c r="A8" s="21">
        <v>45832</v>
      </c>
      <c r="B8" s="46" t="s">
        <v>21</v>
      </c>
      <c r="C8" s="24">
        <v>36.15</v>
      </c>
    </row>
    <row r="9" spans="1:8" hidden="1" x14ac:dyDescent="0.3">
      <c r="A9" s="26">
        <v>45834</v>
      </c>
      <c r="B9" s="27" t="s">
        <v>4</v>
      </c>
      <c r="C9" s="24">
        <v>-161.31</v>
      </c>
    </row>
    <row r="10" spans="1:8" hidden="1" x14ac:dyDescent="0.3">
      <c r="A10" s="26">
        <v>45839</v>
      </c>
      <c r="B10" s="34" t="s">
        <v>21</v>
      </c>
      <c r="C10" s="24">
        <v>484.2</v>
      </c>
    </row>
    <row r="11" spans="1:8" hidden="1" x14ac:dyDescent="0.3">
      <c r="A11" s="26">
        <v>45839</v>
      </c>
      <c r="B11" s="46" t="s">
        <v>21</v>
      </c>
      <c r="C11" s="24">
        <v>25.68</v>
      </c>
    </row>
    <row r="12" spans="1:8" hidden="1" x14ac:dyDescent="0.3">
      <c r="A12" s="26">
        <v>45845</v>
      </c>
      <c r="B12" s="31" t="s">
        <v>4</v>
      </c>
      <c r="C12" s="24">
        <v>-55.98</v>
      </c>
    </row>
    <row r="13" spans="1:8" hidden="1" x14ac:dyDescent="0.3">
      <c r="A13" s="26">
        <v>45845</v>
      </c>
      <c r="B13" s="31" t="s">
        <v>4</v>
      </c>
      <c r="C13" s="24">
        <v>-453.9</v>
      </c>
    </row>
    <row r="14" spans="1:8" hidden="1" x14ac:dyDescent="0.3">
      <c r="A14" s="26">
        <v>45846</v>
      </c>
      <c r="B14" s="34" t="s">
        <v>21</v>
      </c>
      <c r="C14" s="24">
        <v>441.68</v>
      </c>
    </row>
    <row r="15" spans="1:8" hidden="1" x14ac:dyDescent="0.3">
      <c r="A15" s="26">
        <v>45846</v>
      </c>
      <c r="B15" s="46" t="s">
        <v>21</v>
      </c>
      <c r="C15" s="24">
        <v>10.17</v>
      </c>
    </row>
    <row r="16" spans="1:8" hidden="1" x14ac:dyDescent="0.3">
      <c r="A16" s="26">
        <v>45853</v>
      </c>
      <c r="B16" s="34" t="s">
        <v>21</v>
      </c>
      <c r="C16" s="24">
        <v>396.24</v>
      </c>
    </row>
    <row r="17" spans="1:3" hidden="1" x14ac:dyDescent="0.3">
      <c r="A17" s="26">
        <v>45853</v>
      </c>
      <c r="B17" s="46" t="s">
        <v>21</v>
      </c>
      <c r="C17" s="24">
        <v>32.340000000000003</v>
      </c>
    </row>
    <row r="18" spans="1:3" hidden="1" x14ac:dyDescent="0.3">
      <c r="A18" s="26">
        <v>45854</v>
      </c>
      <c r="B18" s="27" t="s">
        <v>4</v>
      </c>
      <c r="C18" s="24">
        <v>-404.58</v>
      </c>
    </row>
    <row r="19" spans="1:3" hidden="1" x14ac:dyDescent="0.3">
      <c r="A19" s="26">
        <v>45854</v>
      </c>
      <c r="B19" s="27" t="s">
        <v>4</v>
      </c>
      <c r="C19" s="24">
        <v>-47.27</v>
      </c>
    </row>
    <row r="20" spans="1:3" hidden="1" x14ac:dyDescent="0.3">
      <c r="A20" s="26">
        <v>45859</v>
      </c>
      <c r="B20" s="27" t="s">
        <v>4</v>
      </c>
      <c r="C20" s="24">
        <v>-44.64</v>
      </c>
    </row>
    <row r="21" spans="1:3" hidden="1" x14ac:dyDescent="0.3">
      <c r="A21" s="26">
        <v>45859</v>
      </c>
      <c r="B21" s="27" t="s">
        <v>4</v>
      </c>
      <c r="C21" s="24">
        <v>-383.94</v>
      </c>
    </row>
    <row r="22" spans="1:3" hidden="1" x14ac:dyDescent="0.3">
      <c r="A22" s="26">
        <v>45860</v>
      </c>
      <c r="B22" s="32" t="s">
        <v>21</v>
      </c>
      <c r="C22" s="24">
        <v>35.53</v>
      </c>
    </row>
    <row r="23" spans="1:3" hidden="1" x14ac:dyDescent="0.3">
      <c r="A23" s="26">
        <v>45860</v>
      </c>
      <c r="B23" s="34" t="s">
        <v>21</v>
      </c>
      <c r="C23" s="24">
        <v>624</v>
      </c>
    </row>
    <row r="24" spans="1:3" hidden="1" x14ac:dyDescent="0.3">
      <c r="A24" s="26">
        <v>45860</v>
      </c>
      <c r="B24" s="46" t="s">
        <v>21</v>
      </c>
      <c r="C24" s="24">
        <v>84.96</v>
      </c>
    </row>
    <row r="25" spans="1:3" hidden="1" x14ac:dyDescent="0.3">
      <c r="A25" s="26">
        <v>45861</v>
      </c>
      <c r="B25" s="27" t="s">
        <v>4</v>
      </c>
      <c r="C25" s="24">
        <v>-200</v>
      </c>
    </row>
    <row r="26" spans="1:3" hidden="1" x14ac:dyDescent="0.3">
      <c r="A26" s="26">
        <v>45863</v>
      </c>
      <c r="B26" s="27" t="s">
        <v>4</v>
      </c>
      <c r="C26" s="24">
        <v>-234.39</v>
      </c>
    </row>
    <row r="27" spans="1:3" hidden="1" x14ac:dyDescent="0.3">
      <c r="A27" s="26">
        <v>45863</v>
      </c>
      <c r="B27" s="27" t="s">
        <v>4</v>
      </c>
      <c r="C27" s="24">
        <v>-290.10000000000002</v>
      </c>
    </row>
    <row r="28" spans="1:3" hidden="1" x14ac:dyDescent="0.3">
      <c r="A28" s="26">
        <v>45867</v>
      </c>
      <c r="B28" s="34" t="s">
        <v>21</v>
      </c>
      <c r="C28" s="24">
        <v>475.99</v>
      </c>
    </row>
    <row r="29" spans="1:3" hidden="1" x14ac:dyDescent="0.3">
      <c r="A29" s="26">
        <v>45867</v>
      </c>
      <c r="B29" s="46" t="s">
        <v>21</v>
      </c>
      <c r="C29" s="24">
        <v>55.02</v>
      </c>
    </row>
    <row r="30" spans="1:3" hidden="1" x14ac:dyDescent="0.3">
      <c r="A30" s="26">
        <v>45869</v>
      </c>
      <c r="B30" s="27" t="s">
        <v>7</v>
      </c>
      <c r="C30" s="24">
        <v>-20</v>
      </c>
    </row>
    <row r="31" spans="1:3" hidden="1" x14ac:dyDescent="0.3">
      <c r="A31" s="26">
        <v>45874</v>
      </c>
      <c r="B31" s="32" t="s">
        <v>21</v>
      </c>
      <c r="C31" s="24">
        <v>45.37</v>
      </c>
    </row>
    <row r="32" spans="1:3" hidden="1" x14ac:dyDescent="0.3">
      <c r="A32" s="26">
        <v>45874</v>
      </c>
      <c r="B32" s="34" t="s">
        <v>21</v>
      </c>
      <c r="C32" s="24">
        <v>584.02</v>
      </c>
    </row>
    <row r="33" spans="1:3" hidden="1" x14ac:dyDescent="0.3">
      <c r="A33" s="26">
        <v>45876</v>
      </c>
      <c r="B33" s="27" t="s">
        <v>4</v>
      </c>
      <c r="C33" s="24">
        <v>-530.58000000000004</v>
      </c>
    </row>
    <row r="34" spans="1:3" hidden="1" x14ac:dyDescent="0.3">
      <c r="A34" s="26">
        <v>45881</v>
      </c>
      <c r="B34" s="27" t="s">
        <v>4</v>
      </c>
      <c r="C34" s="24">
        <v>-105.1</v>
      </c>
    </row>
    <row r="35" spans="1:3" hidden="1" x14ac:dyDescent="0.3">
      <c r="A35" s="26">
        <v>45881</v>
      </c>
      <c r="B35" s="34" t="s">
        <v>21</v>
      </c>
      <c r="C35" s="24">
        <v>500.7</v>
      </c>
    </row>
    <row r="36" spans="1:3" hidden="1" x14ac:dyDescent="0.3">
      <c r="A36" s="26">
        <v>45881</v>
      </c>
      <c r="B36" s="46" t="s">
        <v>21</v>
      </c>
      <c r="C36" s="24">
        <v>31.86</v>
      </c>
    </row>
    <row r="37" spans="1:3" hidden="1" x14ac:dyDescent="0.3">
      <c r="A37" s="26">
        <v>45888</v>
      </c>
      <c r="B37" s="27" t="s">
        <v>4</v>
      </c>
      <c r="C37" s="24">
        <v>-118.62</v>
      </c>
    </row>
    <row r="38" spans="1:3" hidden="1" x14ac:dyDescent="0.3">
      <c r="A38" s="26">
        <v>45888</v>
      </c>
      <c r="B38" s="27" t="s">
        <v>4</v>
      </c>
      <c r="C38" s="24">
        <v>-524.72</v>
      </c>
    </row>
    <row r="39" spans="1:3" hidden="1" x14ac:dyDescent="0.3">
      <c r="A39" s="26">
        <v>45888</v>
      </c>
      <c r="B39" s="32" t="s">
        <v>21</v>
      </c>
      <c r="C39" s="24">
        <v>52.32</v>
      </c>
    </row>
    <row r="40" spans="1:3" hidden="1" x14ac:dyDescent="0.3">
      <c r="A40" s="26">
        <v>45888</v>
      </c>
      <c r="B40" s="34" t="s">
        <v>21</v>
      </c>
      <c r="C40" s="24">
        <v>841.92</v>
      </c>
    </row>
    <row r="41" spans="1:3" hidden="1" x14ac:dyDescent="0.3">
      <c r="A41" s="26">
        <v>45888</v>
      </c>
      <c r="B41" s="46" t="s">
        <v>21</v>
      </c>
      <c r="C41" s="24">
        <v>48.3</v>
      </c>
    </row>
    <row r="42" spans="1:3" hidden="1" x14ac:dyDescent="0.3">
      <c r="A42" s="26">
        <v>45888</v>
      </c>
      <c r="B42" s="27" t="s">
        <v>4</v>
      </c>
      <c r="C42" s="24">
        <v>-413.94</v>
      </c>
    </row>
    <row r="43" spans="1:3" hidden="1" x14ac:dyDescent="0.3">
      <c r="A43" s="26">
        <v>45890</v>
      </c>
      <c r="B43" s="27" t="s">
        <v>4</v>
      </c>
      <c r="C43" s="24">
        <v>-226.68</v>
      </c>
    </row>
    <row r="44" spans="1:3" hidden="1" x14ac:dyDescent="0.3">
      <c r="A44" s="26">
        <v>45890</v>
      </c>
      <c r="B44" s="27" t="s">
        <v>4</v>
      </c>
      <c r="C44" s="24">
        <v>-92.46</v>
      </c>
    </row>
    <row r="45" spans="1:3" hidden="1" x14ac:dyDescent="0.3">
      <c r="A45" s="26">
        <v>45895</v>
      </c>
      <c r="B45" s="27" t="s">
        <v>4</v>
      </c>
      <c r="C45" s="24">
        <v>-623.4</v>
      </c>
    </row>
    <row r="46" spans="1:3" hidden="1" x14ac:dyDescent="0.3">
      <c r="A46" s="26">
        <v>45895</v>
      </c>
      <c r="B46" s="32" t="s">
        <v>21</v>
      </c>
      <c r="C46" s="24">
        <v>25.69</v>
      </c>
    </row>
    <row r="47" spans="1:3" hidden="1" x14ac:dyDescent="0.3">
      <c r="A47" s="26">
        <v>45895</v>
      </c>
      <c r="B47" s="34" t="s">
        <v>21</v>
      </c>
      <c r="C47" s="24">
        <v>834.06</v>
      </c>
    </row>
    <row r="48" spans="1:3" hidden="1" x14ac:dyDescent="0.3">
      <c r="A48" s="26">
        <v>45895</v>
      </c>
      <c r="B48" s="46" t="s">
        <v>21</v>
      </c>
      <c r="C48" s="24">
        <v>20.76</v>
      </c>
    </row>
    <row r="49" spans="1:3" hidden="1" x14ac:dyDescent="0.3">
      <c r="A49" s="26">
        <v>45902</v>
      </c>
      <c r="B49" s="27" t="s">
        <v>4</v>
      </c>
      <c r="C49" s="24">
        <v>-880.53</v>
      </c>
    </row>
    <row r="50" spans="1:3" hidden="1" x14ac:dyDescent="0.3">
      <c r="A50" s="26">
        <v>45902</v>
      </c>
      <c r="B50" s="32" t="s">
        <v>21</v>
      </c>
      <c r="C50" s="24">
        <v>42.48</v>
      </c>
    </row>
    <row r="51" spans="1:3" hidden="1" x14ac:dyDescent="0.3">
      <c r="A51" s="26">
        <v>45902</v>
      </c>
      <c r="B51" s="34" t="s">
        <v>21</v>
      </c>
      <c r="C51" s="24">
        <v>934.8</v>
      </c>
    </row>
    <row r="52" spans="1:3" hidden="1" x14ac:dyDescent="0.3">
      <c r="A52" s="26">
        <v>45902</v>
      </c>
      <c r="B52" s="46" t="s">
        <v>21</v>
      </c>
      <c r="C52" s="24">
        <v>96.9</v>
      </c>
    </row>
    <row r="53" spans="1:3" hidden="1" x14ac:dyDescent="0.3">
      <c r="A53" s="26">
        <v>45909</v>
      </c>
      <c r="B53" s="27" t="s">
        <v>4</v>
      </c>
      <c r="C53" s="24">
        <v>-352.8</v>
      </c>
    </row>
    <row r="54" spans="1:3" hidden="1" x14ac:dyDescent="0.3">
      <c r="A54" s="26">
        <v>45909</v>
      </c>
      <c r="B54" s="27" t="s">
        <v>4</v>
      </c>
      <c r="C54" s="24">
        <v>-721.38</v>
      </c>
    </row>
    <row r="55" spans="1:3" hidden="1" x14ac:dyDescent="0.3">
      <c r="A55" s="26">
        <v>45909</v>
      </c>
      <c r="B55" s="32" t="s">
        <v>21</v>
      </c>
      <c r="C55" s="24">
        <v>58.33</v>
      </c>
    </row>
    <row r="56" spans="1:3" hidden="1" x14ac:dyDescent="0.3">
      <c r="A56" s="26">
        <v>45909</v>
      </c>
      <c r="B56" s="34" t="s">
        <v>21</v>
      </c>
      <c r="C56" s="24">
        <v>233.24</v>
      </c>
    </row>
    <row r="57" spans="1:3" hidden="1" x14ac:dyDescent="0.3">
      <c r="A57" s="26">
        <v>45909</v>
      </c>
      <c r="B57" s="46" t="s">
        <v>21</v>
      </c>
      <c r="C57" s="24">
        <v>31.38</v>
      </c>
    </row>
    <row r="58" spans="1:3" hidden="1" x14ac:dyDescent="0.3">
      <c r="A58" s="26">
        <v>45916</v>
      </c>
      <c r="B58" s="27" t="s">
        <v>4</v>
      </c>
      <c r="C58" s="24">
        <v>-104.16</v>
      </c>
    </row>
    <row r="59" spans="1:3" hidden="1" x14ac:dyDescent="0.3">
      <c r="A59" s="26">
        <v>45916</v>
      </c>
      <c r="B59" s="27" t="s">
        <v>4</v>
      </c>
      <c r="C59" s="24">
        <v>-218.97</v>
      </c>
    </row>
    <row r="60" spans="1:3" hidden="1" x14ac:dyDescent="0.3">
      <c r="A60" s="26">
        <v>45916</v>
      </c>
      <c r="B60" s="32" t="s">
        <v>21</v>
      </c>
      <c r="C60" s="24">
        <v>24.18</v>
      </c>
    </row>
    <row r="61" spans="1:3" hidden="1" x14ac:dyDescent="0.3">
      <c r="A61" s="26">
        <v>45916</v>
      </c>
      <c r="B61" s="34" t="s">
        <v>21</v>
      </c>
      <c r="C61" s="24">
        <v>1308.58</v>
      </c>
    </row>
    <row r="62" spans="1:3" hidden="1" x14ac:dyDescent="0.3">
      <c r="A62" s="26">
        <v>45916</v>
      </c>
      <c r="B62" s="46" t="s">
        <v>21</v>
      </c>
      <c r="C62" s="24">
        <v>61.14</v>
      </c>
    </row>
    <row r="63" spans="1:3" hidden="1" x14ac:dyDescent="0.3">
      <c r="A63" s="26">
        <v>45922</v>
      </c>
      <c r="B63" s="27" t="s">
        <v>4</v>
      </c>
      <c r="C63" s="24">
        <v>-365.74</v>
      </c>
    </row>
    <row r="64" spans="1:3" hidden="1" x14ac:dyDescent="0.3">
      <c r="A64" s="26">
        <v>45922</v>
      </c>
      <c r="B64" s="27" t="s">
        <v>4</v>
      </c>
      <c r="C64" s="24">
        <v>-967.02</v>
      </c>
    </row>
    <row r="65" spans="1:3" hidden="1" x14ac:dyDescent="0.3">
      <c r="A65" s="26">
        <v>45922</v>
      </c>
      <c r="B65" s="27" t="s">
        <v>4</v>
      </c>
      <c r="C65" s="24">
        <v>-61.14</v>
      </c>
    </row>
    <row r="66" spans="1:3" x14ac:dyDescent="0.3">
      <c r="A66" s="26">
        <v>45923</v>
      </c>
      <c r="B66" s="32" t="s">
        <v>21</v>
      </c>
      <c r="C66" s="24">
        <v>35.53</v>
      </c>
    </row>
    <row r="67" spans="1:3" x14ac:dyDescent="0.3">
      <c r="A67" s="26">
        <v>45923</v>
      </c>
      <c r="B67" s="34" t="s">
        <v>21</v>
      </c>
      <c r="C67" s="24">
        <f>1180.56-7.56</f>
        <v>1173</v>
      </c>
    </row>
    <row r="68" spans="1:3" x14ac:dyDescent="0.3">
      <c r="A68" s="26">
        <v>45923</v>
      </c>
      <c r="B68" s="46" t="s">
        <v>21</v>
      </c>
      <c r="C68" s="24">
        <v>9.36</v>
      </c>
    </row>
    <row r="69" spans="1:3" x14ac:dyDescent="0.3">
      <c r="A69" s="26">
        <v>45930</v>
      </c>
      <c r="B69" s="27" t="s">
        <v>4</v>
      </c>
      <c r="C69" s="24">
        <v>-165.84</v>
      </c>
    </row>
    <row r="70" spans="1:3" x14ac:dyDescent="0.3">
      <c r="A70" s="26">
        <v>45930</v>
      </c>
      <c r="B70" s="27" t="s">
        <v>4</v>
      </c>
      <c r="C70" s="24">
        <v>-1059.6099999999999</v>
      </c>
    </row>
    <row r="71" spans="1:3" x14ac:dyDescent="0.3">
      <c r="A71" s="26">
        <v>45930</v>
      </c>
      <c r="B71" s="32" t="s">
        <v>21</v>
      </c>
      <c r="C71" s="24">
        <v>9</v>
      </c>
    </row>
    <row r="72" spans="1:3" x14ac:dyDescent="0.3">
      <c r="A72" s="26">
        <v>45930</v>
      </c>
      <c r="B72" s="34" t="s">
        <v>21</v>
      </c>
      <c r="C72" s="24">
        <f>1451.09+0.96</f>
        <v>1452.05</v>
      </c>
    </row>
    <row r="73" spans="1:3" x14ac:dyDescent="0.3">
      <c r="A73" s="26">
        <v>45936</v>
      </c>
      <c r="B73" s="27" t="s">
        <v>4</v>
      </c>
      <c r="C73" s="24">
        <v>-860.51</v>
      </c>
    </row>
    <row r="74" spans="1:3" x14ac:dyDescent="0.3">
      <c r="A74" s="26">
        <v>45936</v>
      </c>
      <c r="B74" s="27" t="s">
        <v>4</v>
      </c>
      <c r="C74" s="24">
        <v>-590.58000000000004</v>
      </c>
    </row>
    <row r="75" spans="1:3" x14ac:dyDescent="0.3">
      <c r="A75" s="26">
        <v>45937</v>
      </c>
      <c r="B75" s="32" t="s">
        <v>21</v>
      </c>
      <c r="C75" s="24">
        <v>16.38</v>
      </c>
    </row>
    <row r="76" spans="1:3" x14ac:dyDescent="0.3">
      <c r="A76" s="26">
        <v>45937</v>
      </c>
      <c r="B76" s="34" t="s">
        <v>21</v>
      </c>
      <c r="C76" s="24">
        <v>1552.07</v>
      </c>
    </row>
    <row r="77" spans="1:3" x14ac:dyDescent="0.3">
      <c r="A77" s="26">
        <v>45937</v>
      </c>
      <c r="B77" s="46" t="s">
        <v>21</v>
      </c>
      <c r="C77" s="24">
        <v>87.2</v>
      </c>
    </row>
    <row r="78" spans="1:3" x14ac:dyDescent="0.3">
      <c r="A78" s="26">
        <v>45944</v>
      </c>
      <c r="B78" s="27" t="s">
        <v>4</v>
      </c>
      <c r="C78" s="24">
        <v>-400</v>
      </c>
    </row>
    <row r="79" spans="1:3" x14ac:dyDescent="0.3">
      <c r="A79" s="26">
        <v>45944</v>
      </c>
      <c r="B79" s="34" t="s">
        <v>21</v>
      </c>
      <c r="C79" s="24">
        <v>791.42</v>
      </c>
    </row>
    <row r="80" spans="1:3" x14ac:dyDescent="0.3">
      <c r="A80" s="26">
        <v>45944</v>
      </c>
      <c r="B80" s="46" t="s">
        <v>21</v>
      </c>
      <c r="C80" s="24">
        <v>14.16</v>
      </c>
    </row>
    <row r="81" spans="1:3" x14ac:dyDescent="0.3">
      <c r="A81" s="26">
        <v>45946</v>
      </c>
      <c r="B81" s="27" t="s">
        <v>4</v>
      </c>
      <c r="C81" s="24">
        <v>-1255.17</v>
      </c>
    </row>
    <row r="82" spans="1:3" x14ac:dyDescent="0.3">
      <c r="A82" s="26">
        <v>45950</v>
      </c>
      <c r="B82" s="27" t="s">
        <v>4</v>
      </c>
      <c r="C82" s="24">
        <v>-805.58</v>
      </c>
    </row>
    <row r="83" spans="1:3" x14ac:dyDescent="0.3">
      <c r="A83" s="26">
        <v>45951</v>
      </c>
      <c r="B83" s="32" t="s">
        <v>21</v>
      </c>
      <c r="C83" s="24">
        <v>17.34</v>
      </c>
    </row>
    <row r="84" spans="1:3" x14ac:dyDescent="0.3">
      <c r="A84" s="26">
        <v>45951</v>
      </c>
      <c r="B84" s="34" t="s">
        <v>21</v>
      </c>
      <c r="C84" s="24">
        <v>2105.09</v>
      </c>
    </row>
    <row r="85" spans="1:3" x14ac:dyDescent="0.3">
      <c r="A85" s="26">
        <v>45951</v>
      </c>
      <c r="B85" s="46" t="s">
        <v>21</v>
      </c>
      <c r="C85" s="24">
        <v>89.04</v>
      </c>
    </row>
    <row r="86" spans="1:3" x14ac:dyDescent="0.3">
      <c r="A86" s="26">
        <v>45958</v>
      </c>
      <c r="B86" s="27" t="s">
        <v>4</v>
      </c>
      <c r="C86" s="24">
        <v>-1011.47</v>
      </c>
    </row>
    <row r="87" spans="1:3" x14ac:dyDescent="0.3">
      <c r="A87" s="26">
        <v>45958</v>
      </c>
      <c r="B87" s="32" t="s">
        <v>21</v>
      </c>
      <c r="C87" s="24">
        <v>33.72</v>
      </c>
    </row>
    <row r="88" spans="1:3" x14ac:dyDescent="0.3">
      <c r="A88" s="26">
        <v>45958</v>
      </c>
      <c r="B88" s="34" t="s">
        <v>21</v>
      </c>
      <c r="C88" s="24">
        <v>817.78</v>
      </c>
    </row>
    <row r="89" spans="1:3" x14ac:dyDescent="0.3">
      <c r="A89" s="26">
        <v>45958</v>
      </c>
      <c r="B89" s="46" t="s">
        <v>21</v>
      </c>
      <c r="C89" s="24">
        <v>151.38</v>
      </c>
    </row>
    <row r="90" spans="1:3" x14ac:dyDescent="0.3">
      <c r="A90" s="26">
        <v>45959</v>
      </c>
      <c r="B90" s="27" t="s">
        <v>4</v>
      </c>
      <c r="C90" s="24">
        <v>-200</v>
      </c>
    </row>
    <row r="91" spans="1:3" x14ac:dyDescent="0.3">
      <c r="A91" s="26">
        <v>45964</v>
      </c>
      <c r="B91" s="27" t="s">
        <v>4</v>
      </c>
      <c r="C91" s="24">
        <v>-1000</v>
      </c>
    </row>
    <row r="92" spans="1:3" x14ac:dyDescent="0.3">
      <c r="A92" s="26">
        <v>45968</v>
      </c>
      <c r="B92" s="27" t="s">
        <v>4</v>
      </c>
      <c r="C92" s="24">
        <v>-1002.94</v>
      </c>
    </row>
    <row r="93" spans="1:3" x14ac:dyDescent="0.3">
      <c r="A93" s="26">
        <v>45972</v>
      </c>
      <c r="B93" s="27" t="s">
        <v>4</v>
      </c>
      <c r="C93" s="24">
        <v>1751.53</v>
      </c>
    </row>
    <row r="94" spans="1:3" x14ac:dyDescent="0.3">
      <c r="A94" s="26">
        <v>45979</v>
      </c>
      <c r="B94" s="27" t="s">
        <v>4</v>
      </c>
      <c r="C94" s="24">
        <v>-844.46</v>
      </c>
    </row>
    <row r="95" spans="1:3" x14ac:dyDescent="0.3">
      <c r="A95" s="26">
        <v>45979</v>
      </c>
      <c r="B95" s="27" t="s">
        <v>4</v>
      </c>
      <c r="C95" s="24">
        <v>-844.46</v>
      </c>
    </row>
    <row r="96" spans="1:3" x14ac:dyDescent="0.3">
      <c r="A96" s="26">
        <v>45979</v>
      </c>
      <c r="B96" s="27" t="s">
        <v>1</v>
      </c>
      <c r="C96" s="24">
        <v>1865.7</v>
      </c>
    </row>
    <row r="97" spans="1:3" x14ac:dyDescent="0.3">
      <c r="A97" s="26">
        <v>45980</v>
      </c>
      <c r="B97" s="27" t="s">
        <v>4</v>
      </c>
      <c r="C97" s="24">
        <v>-62.63</v>
      </c>
    </row>
    <row r="98" spans="1:3" x14ac:dyDescent="0.3">
      <c r="A98" s="26">
        <v>45986</v>
      </c>
      <c r="B98" s="27" t="s">
        <v>4</v>
      </c>
      <c r="C98" s="24">
        <v>-1865.7</v>
      </c>
    </row>
    <row r="99" spans="1:3" x14ac:dyDescent="0.3">
      <c r="A99" s="26">
        <v>45986</v>
      </c>
      <c r="B99" s="27" t="s">
        <v>1</v>
      </c>
      <c r="C99" s="24">
        <v>1852.3</v>
      </c>
    </row>
    <row r="100" spans="1:3" x14ac:dyDescent="0.3">
      <c r="A100" s="26">
        <v>45993</v>
      </c>
      <c r="B100" s="27" t="s">
        <v>1</v>
      </c>
      <c r="C100" s="24">
        <v>1232.1600000000001</v>
      </c>
    </row>
    <row r="101" spans="1:3" x14ac:dyDescent="0.3">
      <c r="A101" s="26">
        <v>45994</v>
      </c>
      <c r="B101" s="27" t="s">
        <v>4</v>
      </c>
      <c r="C101" s="24">
        <v>-1850.26</v>
      </c>
    </row>
    <row r="102" spans="1:3" x14ac:dyDescent="0.3">
      <c r="A102" s="26">
        <v>46000</v>
      </c>
      <c r="B102" s="27" t="s">
        <v>4</v>
      </c>
      <c r="C102" s="24">
        <v>-1850.26</v>
      </c>
    </row>
    <row r="103" spans="1:3" x14ac:dyDescent="0.3">
      <c r="A103" s="26">
        <v>46000</v>
      </c>
      <c r="B103" s="27" t="s">
        <v>1</v>
      </c>
      <c r="C103" s="24">
        <v>1749</v>
      </c>
    </row>
    <row r="104" spans="1:3" x14ac:dyDescent="0.3">
      <c r="A104" s="26">
        <v>46007</v>
      </c>
      <c r="B104" s="27" t="s">
        <v>1</v>
      </c>
      <c r="C104" s="24">
        <v>1699.18</v>
      </c>
    </row>
    <row r="105" spans="1:3" x14ac:dyDescent="0.3">
      <c r="A105" s="26">
        <v>46008</v>
      </c>
      <c r="B105" s="27" t="s">
        <v>4</v>
      </c>
      <c r="C105" s="24">
        <v>-1182.6400000000001</v>
      </c>
    </row>
    <row r="106" spans="1:3" x14ac:dyDescent="0.3">
      <c r="A106" s="26">
        <v>45980</v>
      </c>
      <c r="B106" s="27" t="s">
        <v>4</v>
      </c>
      <c r="C106" s="24">
        <v>-299.18</v>
      </c>
    </row>
    <row r="107" spans="1:3" x14ac:dyDescent="0.3">
      <c r="A107" s="26">
        <v>46013</v>
      </c>
      <c r="B107" s="27" t="s">
        <v>4</v>
      </c>
      <c r="C107" s="24">
        <v>-400</v>
      </c>
    </row>
    <row r="108" spans="1:3" x14ac:dyDescent="0.3">
      <c r="A108" s="26">
        <v>46014</v>
      </c>
      <c r="B108" s="27" t="s">
        <v>4</v>
      </c>
      <c r="C108" s="24">
        <v>-500</v>
      </c>
    </row>
    <row r="109" spans="1:3" x14ac:dyDescent="0.3">
      <c r="A109" s="26">
        <v>46014</v>
      </c>
      <c r="B109" s="27" t="s">
        <v>1</v>
      </c>
      <c r="C109" s="24">
        <v>1941.96</v>
      </c>
    </row>
    <row r="110" spans="1:3" x14ac:dyDescent="0.3">
      <c r="A110" s="26">
        <v>46017</v>
      </c>
      <c r="B110" s="27" t="s">
        <v>4</v>
      </c>
      <c r="C110" s="24">
        <v>-500</v>
      </c>
    </row>
    <row r="111" spans="1:3" x14ac:dyDescent="0.3">
      <c r="A111" s="26">
        <v>46020</v>
      </c>
      <c r="B111" s="27" t="s">
        <v>4</v>
      </c>
      <c r="C111" s="24">
        <v>-241.96</v>
      </c>
    </row>
    <row r="112" spans="1:3" x14ac:dyDescent="0.3">
      <c r="A112" s="26">
        <v>46024</v>
      </c>
      <c r="B112" s="27" t="s">
        <v>4</v>
      </c>
      <c r="C112" s="24">
        <v>-1000</v>
      </c>
    </row>
    <row r="113" spans="1:3" x14ac:dyDescent="0.3">
      <c r="A113" s="26">
        <v>46027</v>
      </c>
      <c r="B113" s="27" t="s">
        <v>4</v>
      </c>
      <c r="C113" s="24">
        <v>-700</v>
      </c>
    </row>
    <row r="114" spans="1:3" x14ac:dyDescent="0.3">
      <c r="A114" s="26">
        <v>46028</v>
      </c>
      <c r="B114" s="27" t="s">
        <v>1</v>
      </c>
      <c r="C114" s="24">
        <v>1182.22</v>
      </c>
    </row>
    <row r="115" spans="1:3" x14ac:dyDescent="0.3">
      <c r="A115" s="26">
        <v>46034</v>
      </c>
      <c r="B115" s="27" t="s">
        <v>4</v>
      </c>
      <c r="C115" s="24">
        <v>-1182.22</v>
      </c>
    </row>
    <row r="116" spans="1:3" x14ac:dyDescent="0.3">
      <c r="A116" s="26">
        <v>46035</v>
      </c>
      <c r="B116" s="27" t="s">
        <v>1</v>
      </c>
      <c r="C116" s="24">
        <v>812.8</v>
      </c>
    </row>
    <row r="117" spans="1:3" x14ac:dyDescent="0.3">
      <c r="A117" s="26">
        <v>46037</v>
      </c>
      <c r="B117" s="27" t="s">
        <v>1</v>
      </c>
      <c r="C117" s="24">
        <v>37.200000000000003</v>
      </c>
    </row>
    <row r="118" spans="1:3" x14ac:dyDescent="0.3">
      <c r="A118" s="26">
        <v>46042</v>
      </c>
      <c r="B118" s="27" t="s">
        <v>4</v>
      </c>
      <c r="C118" s="24">
        <v>-312.8</v>
      </c>
    </row>
    <row r="119" spans="1:3" x14ac:dyDescent="0.3">
      <c r="A119" s="26">
        <v>46042</v>
      </c>
      <c r="B119" s="27" t="s">
        <v>4</v>
      </c>
      <c r="C119" s="24">
        <v>-500</v>
      </c>
    </row>
    <row r="120" spans="1:3" x14ac:dyDescent="0.3">
      <c r="A120" s="26">
        <v>46042</v>
      </c>
      <c r="B120" s="27" t="s">
        <v>1</v>
      </c>
      <c r="C120" s="24">
        <v>1452.3</v>
      </c>
    </row>
    <row r="121" spans="1:3" x14ac:dyDescent="0.3">
      <c r="A121" s="26">
        <v>46049</v>
      </c>
      <c r="B121" s="27" t="s">
        <v>4</v>
      </c>
      <c r="C121" s="24">
        <v>-652.29999999999995</v>
      </c>
    </row>
    <row r="122" spans="1:3" x14ac:dyDescent="0.3">
      <c r="A122" s="26">
        <v>46049</v>
      </c>
      <c r="B122" s="27" t="s">
        <v>514</v>
      </c>
      <c r="C122" s="24">
        <v>1498.72</v>
      </c>
    </row>
    <row r="123" spans="1:3" x14ac:dyDescent="0.3">
      <c r="A123" s="26">
        <v>46052</v>
      </c>
      <c r="B123" s="27" t="s">
        <v>4</v>
      </c>
      <c r="C123" s="24">
        <v>-300</v>
      </c>
    </row>
    <row r="124" spans="1:3" x14ac:dyDescent="0.3">
      <c r="A124" s="26">
        <v>46056</v>
      </c>
      <c r="B124" s="27" t="s">
        <v>4</v>
      </c>
      <c r="C124" s="24">
        <v>-500</v>
      </c>
    </row>
    <row r="125" spans="1:3" x14ac:dyDescent="0.3">
      <c r="A125" s="26">
        <v>46056</v>
      </c>
      <c r="B125" s="27" t="s">
        <v>4</v>
      </c>
      <c r="C125" s="24">
        <v>-200</v>
      </c>
    </row>
    <row r="126" spans="1:3" x14ac:dyDescent="0.3">
      <c r="A126" s="26">
        <v>46056</v>
      </c>
      <c r="B126" s="27" t="s">
        <v>1</v>
      </c>
      <c r="C126" s="24">
        <v>1564.77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B40F-77C5-41E0-95D4-46F4299AAF9B}">
  <sheetPr codeName="Hoja40"/>
  <dimension ref="A1:H12"/>
  <sheetViews>
    <sheetView view="pageBreakPreview" zoomScale="80" zoomScaleNormal="100" zoomScaleSheetLayoutView="8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125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45817</v>
      </c>
      <c r="B5" s="31" t="s">
        <v>21</v>
      </c>
      <c r="C5" s="24">
        <v>982.4</v>
      </c>
      <c r="D5" s="30"/>
      <c r="E5" s="30"/>
      <c r="F5" s="30"/>
      <c r="G5" s="22"/>
    </row>
    <row r="6" spans="1:8" x14ac:dyDescent="0.3">
      <c r="A6" s="21">
        <v>45817</v>
      </c>
      <c r="B6" s="72" t="s">
        <v>1</v>
      </c>
      <c r="C6" s="24">
        <v>28.55</v>
      </c>
    </row>
    <row r="7" spans="1:8" x14ac:dyDescent="0.3">
      <c r="A7" s="26">
        <v>45820</v>
      </c>
      <c r="B7" s="27" t="s">
        <v>4</v>
      </c>
      <c r="C7" s="24">
        <v>-149.49</v>
      </c>
    </row>
    <row r="8" spans="1:8" x14ac:dyDescent="0.3">
      <c r="A8" s="26">
        <v>45831</v>
      </c>
      <c r="B8" s="27" t="s">
        <v>4</v>
      </c>
      <c r="C8" s="24">
        <v>-312.94</v>
      </c>
    </row>
    <row r="9" spans="1:8" x14ac:dyDescent="0.3">
      <c r="A9" s="26">
        <v>45834</v>
      </c>
      <c r="B9" s="27" t="s">
        <v>4</v>
      </c>
      <c r="C9" s="24">
        <v>-366.67</v>
      </c>
    </row>
    <row r="10" spans="1:8" x14ac:dyDescent="0.3">
      <c r="A10" s="26">
        <v>45839</v>
      </c>
      <c r="B10" s="31" t="s">
        <v>22</v>
      </c>
      <c r="C10" s="24">
        <v>-181.85</v>
      </c>
    </row>
    <row r="12" spans="1:8" x14ac:dyDescent="0.3">
      <c r="B12" s="31"/>
    </row>
  </sheetData>
  <mergeCells count="1">
    <mergeCell ref="A3:B3"/>
  </mergeCells>
  <pageMargins left="0.7" right="0.7" top="0.75" bottom="0.75" header="0.3" footer="0.3"/>
  <pageSetup paperSize="5" scale="81" orientation="portrait" r:id="rId1"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9F339-141A-4D3B-9016-24D9FD46450A}">
  <dimension ref="A1:H22"/>
  <sheetViews>
    <sheetView view="pageBreakPreview" zoomScale="80" zoomScaleNormal="100" zoomScaleSheetLayoutView="80" workbookViewId="0">
      <selection activeCell="C22" sqref="C2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396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397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0.68999999999999773</v>
      </c>
      <c r="D3" s="20">
        <f>SUM(D$4:D$1048576)</f>
        <v>2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45870</v>
      </c>
      <c r="B5" s="72" t="s">
        <v>21</v>
      </c>
      <c r="C5" s="24">
        <v>25.69</v>
      </c>
      <c r="D5" s="30"/>
      <c r="E5" s="30"/>
      <c r="F5" s="30"/>
      <c r="G5" s="22"/>
    </row>
    <row r="6" spans="1:8" x14ac:dyDescent="0.3">
      <c r="A6" s="21">
        <v>45870</v>
      </c>
      <c r="B6" s="73" t="s">
        <v>21</v>
      </c>
      <c r="C6" s="24">
        <v>74.760000000000005</v>
      </c>
    </row>
    <row r="7" spans="1:8" x14ac:dyDescent="0.3">
      <c r="A7" s="26">
        <v>45888</v>
      </c>
      <c r="B7" s="27" t="s">
        <v>4</v>
      </c>
      <c r="C7" s="24">
        <v>-100.45</v>
      </c>
    </row>
    <row r="8" spans="1:8" x14ac:dyDescent="0.3">
      <c r="A8" s="26">
        <v>45891</v>
      </c>
      <c r="B8" s="72" t="s">
        <v>21</v>
      </c>
      <c r="C8" s="24">
        <v>9.84</v>
      </c>
    </row>
    <row r="9" spans="1:8" x14ac:dyDescent="0.3">
      <c r="A9" s="26">
        <v>45891</v>
      </c>
      <c r="B9" s="73" t="s">
        <v>21</v>
      </c>
      <c r="C9" s="24">
        <v>51.99</v>
      </c>
    </row>
    <row r="10" spans="1:8" x14ac:dyDescent="0.3">
      <c r="A10" s="26">
        <v>45903</v>
      </c>
      <c r="B10" s="31" t="s">
        <v>4</v>
      </c>
      <c r="C10" s="24">
        <v>-61.83</v>
      </c>
    </row>
    <row r="11" spans="1:8" x14ac:dyDescent="0.3">
      <c r="A11" s="26">
        <v>45905</v>
      </c>
      <c r="B11" s="72" t="s">
        <v>21</v>
      </c>
      <c r="C11" s="24">
        <v>25.69</v>
      </c>
    </row>
    <row r="12" spans="1:8" x14ac:dyDescent="0.3">
      <c r="A12" s="26">
        <v>45905</v>
      </c>
      <c r="B12" s="73" t="s">
        <v>21</v>
      </c>
      <c r="C12" s="24">
        <v>68.94</v>
      </c>
    </row>
    <row r="13" spans="1:8" x14ac:dyDescent="0.3">
      <c r="A13" s="26">
        <v>45926</v>
      </c>
      <c r="B13" s="27" t="s">
        <v>4</v>
      </c>
      <c r="C13" s="24">
        <v>-94.57</v>
      </c>
    </row>
    <row r="14" spans="1:8" x14ac:dyDescent="0.3">
      <c r="A14" s="26">
        <v>45926</v>
      </c>
      <c r="B14" s="27" t="s">
        <v>1</v>
      </c>
      <c r="C14" s="24">
        <v>41.6</v>
      </c>
      <c r="D14" s="25">
        <v>2</v>
      </c>
    </row>
    <row r="15" spans="1:8" x14ac:dyDescent="0.3">
      <c r="A15" s="26">
        <v>45926</v>
      </c>
      <c r="B15" s="72" t="s">
        <v>21</v>
      </c>
      <c r="C15" s="24">
        <v>25.69</v>
      </c>
    </row>
    <row r="16" spans="1:8" x14ac:dyDescent="0.3">
      <c r="A16" s="26">
        <v>45926</v>
      </c>
      <c r="B16" s="73" t="s">
        <v>21</v>
      </c>
      <c r="C16" s="24">
        <v>137.19999999999999</v>
      </c>
    </row>
    <row r="17" spans="1:3" x14ac:dyDescent="0.3">
      <c r="A17" s="26">
        <v>45964</v>
      </c>
      <c r="B17" s="27" t="s">
        <v>4</v>
      </c>
      <c r="C17" s="24">
        <v>-204.55</v>
      </c>
    </row>
    <row r="18" spans="1:3" x14ac:dyDescent="0.3">
      <c r="A18" s="26">
        <v>45968</v>
      </c>
      <c r="B18" s="73" t="s">
        <v>21</v>
      </c>
      <c r="C18" s="24">
        <v>108.32</v>
      </c>
    </row>
    <row r="19" spans="1:3" x14ac:dyDescent="0.3">
      <c r="A19" s="26">
        <v>45982</v>
      </c>
      <c r="B19" s="27" t="s">
        <v>4</v>
      </c>
      <c r="C19" s="24">
        <v>-107.63</v>
      </c>
    </row>
    <row r="20" spans="1:3" x14ac:dyDescent="0.3">
      <c r="A20" s="26">
        <v>46017</v>
      </c>
      <c r="B20" s="27" t="s">
        <v>1</v>
      </c>
      <c r="C20" s="24">
        <v>154.88</v>
      </c>
    </row>
    <row r="21" spans="1:3" x14ac:dyDescent="0.3">
      <c r="A21" s="26">
        <v>46042</v>
      </c>
      <c r="B21" s="27" t="s">
        <v>4</v>
      </c>
      <c r="C21" s="24">
        <v>-90</v>
      </c>
    </row>
    <row r="22" spans="1:3" x14ac:dyDescent="0.3">
      <c r="A22" s="26">
        <v>46056</v>
      </c>
      <c r="B22" s="27" t="s">
        <v>4</v>
      </c>
      <c r="C22" s="24">
        <v>-64.88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CC16-69A5-473D-BDFB-071617444090}">
  <sheetPr codeName="Hoja41"/>
  <dimension ref="A1:H126"/>
  <sheetViews>
    <sheetView view="pageBreakPreview" zoomScale="80" zoomScaleNormal="100" zoomScaleSheetLayoutView="80" workbookViewId="0">
      <selection activeCell="D127" sqref="D12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63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329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1198.2</v>
      </c>
      <c r="D3" s="20">
        <f>SUM(D$4:D$1048576)</f>
        <v>5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45813</v>
      </c>
      <c r="B5" s="31" t="s">
        <v>21</v>
      </c>
      <c r="C5" s="24">
        <v>891.9</v>
      </c>
      <c r="D5" s="30"/>
      <c r="E5" s="30"/>
      <c r="F5" s="30"/>
      <c r="G5" s="22"/>
    </row>
    <row r="6" spans="1:8" hidden="1" x14ac:dyDescent="0.3">
      <c r="A6" s="21">
        <v>45820</v>
      </c>
      <c r="B6" s="31" t="s">
        <v>1</v>
      </c>
      <c r="C6" s="24">
        <v>944.65</v>
      </c>
      <c r="D6" s="25">
        <v>1</v>
      </c>
    </row>
    <row r="7" spans="1:8" hidden="1" x14ac:dyDescent="0.3">
      <c r="A7" s="21">
        <v>45820</v>
      </c>
      <c r="B7" s="27" t="s">
        <v>1</v>
      </c>
      <c r="C7" s="24">
        <v>25.4</v>
      </c>
    </row>
    <row r="8" spans="1:8" hidden="1" x14ac:dyDescent="0.3">
      <c r="A8" s="26">
        <v>45824</v>
      </c>
      <c r="B8" s="27" t="s">
        <v>4</v>
      </c>
      <c r="C8" s="24">
        <v>-891.9</v>
      </c>
    </row>
    <row r="9" spans="1:8" hidden="1" x14ac:dyDescent="0.3">
      <c r="A9" s="26">
        <v>45825</v>
      </c>
      <c r="B9" s="27" t="s">
        <v>4</v>
      </c>
      <c r="C9" s="24">
        <v>-480</v>
      </c>
    </row>
    <row r="10" spans="1:8" hidden="1" x14ac:dyDescent="0.3">
      <c r="A10" s="26">
        <v>45825</v>
      </c>
      <c r="B10" s="31" t="s">
        <v>4</v>
      </c>
      <c r="C10" s="24">
        <v>-270</v>
      </c>
    </row>
    <row r="11" spans="1:8" hidden="1" x14ac:dyDescent="0.3">
      <c r="A11" s="26">
        <v>45827</v>
      </c>
      <c r="B11" s="27" t="s">
        <v>1</v>
      </c>
      <c r="C11" s="24">
        <v>242.9</v>
      </c>
      <c r="D11" s="25">
        <v>-1</v>
      </c>
    </row>
    <row r="12" spans="1:8" hidden="1" x14ac:dyDescent="0.3">
      <c r="A12" s="26">
        <v>45827</v>
      </c>
      <c r="B12" s="72" t="s">
        <v>1</v>
      </c>
      <c r="C12" s="24">
        <v>15.85</v>
      </c>
    </row>
    <row r="13" spans="1:8" hidden="1" x14ac:dyDescent="0.3">
      <c r="A13" s="26">
        <v>45828</v>
      </c>
      <c r="B13" s="27" t="s">
        <v>4</v>
      </c>
      <c r="C13" s="24">
        <v>-235.9</v>
      </c>
    </row>
    <row r="14" spans="1:8" hidden="1" x14ac:dyDescent="0.3">
      <c r="A14" s="26">
        <v>45832</v>
      </c>
      <c r="B14" s="27" t="s">
        <v>4</v>
      </c>
      <c r="C14" s="24">
        <v>-242.9</v>
      </c>
    </row>
    <row r="15" spans="1:8" hidden="1" x14ac:dyDescent="0.3">
      <c r="A15" s="26">
        <v>45833</v>
      </c>
      <c r="B15" s="27" t="s">
        <v>1</v>
      </c>
      <c r="C15" s="24">
        <v>499.6</v>
      </c>
    </row>
    <row r="16" spans="1:8" hidden="1" x14ac:dyDescent="0.3">
      <c r="A16" s="26">
        <v>45833</v>
      </c>
      <c r="B16" s="72" t="s">
        <v>1</v>
      </c>
      <c r="C16" s="24">
        <v>7.5</v>
      </c>
    </row>
    <row r="17" spans="1:4" hidden="1" x14ac:dyDescent="0.3">
      <c r="A17" s="26">
        <v>45838</v>
      </c>
      <c r="B17" s="27" t="s">
        <v>4</v>
      </c>
      <c r="C17" s="24">
        <v>-307.61</v>
      </c>
    </row>
    <row r="18" spans="1:4" hidden="1" x14ac:dyDescent="0.3">
      <c r="A18" s="26">
        <v>45839</v>
      </c>
      <c r="B18" s="27" t="s">
        <v>4</v>
      </c>
      <c r="C18" s="24">
        <v>-201.1</v>
      </c>
    </row>
    <row r="19" spans="1:4" hidden="1" x14ac:dyDescent="0.3">
      <c r="A19" s="26">
        <v>45841</v>
      </c>
      <c r="B19" s="27" t="s">
        <v>1</v>
      </c>
      <c r="C19" s="24">
        <v>24.9</v>
      </c>
    </row>
    <row r="20" spans="1:4" hidden="1" x14ac:dyDescent="0.3">
      <c r="A20" s="26">
        <v>45841</v>
      </c>
      <c r="B20" s="72" t="s">
        <v>1</v>
      </c>
      <c r="C20" s="24">
        <v>15.85</v>
      </c>
    </row>
    <row r="21" spans="1:4" hidden="1" x14ac:dyDescent="0.3">
      <c r="A21" s="26">
        <v>45845</v>
      </c>
      <c r="B21" s="27" t="s">
        <v>4</v>
      </c>
      <c r="C21" s="24">
        <v>-40.75</v>
      </c>
    </row>
    <row r="22" spans="1:4" hidden="1" x14ac:dyDescent="0.3">
      <c r="A22" s="26">
        <v>45848</v>
      </c>
      <c r="B22" s="27" t="s">
        <v>1</v>
      </c>
      <c r="C22" s="24">
        <v>323</v>
      </c>
    </row>
    <row r="23" spans="1:4" hidden="1" x14ac:dyDescent="0.3">
      <c r="A23" s="26">
        <v>45848</v>
      </c>
      <c r="B23" s="72" t="s">
        <v>1</v>
      </c>
      <c r="C23" s="24">
        <v>12.5</v>
      </c>
    </row>
    <row r="24" spans="1:4" hidden="1" x14ac:dyDescent="0.3">
      <c r="A24" s="21">
        <v>45848</v>
      </c>
      <c r="B24" s="27" t="s">
        <v>4</v>
      </c>
      <c r="C24" s="24">
        <v>-335.5</v>
      </c>
    </row>
    <row r="25" spans="1:4" hidden="1" x14ac:dyDescent="0.3">
      <c r="A25" s="26">
        <v>45854</v>
      </c>
      <c r="B25" s="27" t="s">
        <v>1</v>
      </c>
      <c r="C25" s="24">
        <v>619</v>
      </c>
      <c r="D25" s="25">
        <v>7</v>
      </c>
    </row>
    <row r="26" spans="1:4" hidden="1" x14ac:dyDescent="0.3">
      <c r="A26" s="26">
        <v>45855</v>
      </c>
      <c r="B26" s="27" t="s">
        <v>4</v>
      </c>
      <c r="C26" s="24">
        <v>-339.97</v>
      </c>
    </row>
    <row r="27" spans="1:4" hidden="1" x14ac:dyDescent="0.3">
      <c r="A27" s="26">
        <v>45859</v>
      </c>
      <c r="B27" s="27" t="s">
        <v>4</v>
      </c>
      <c r="C27" s="24">
        <v>-209</v>
      </c>
    </row>
    <row r="28" spans="1:4" hidden="1" x14ac:dyDescent="0.3">
      <c r="A28" s="26">
        <v>45859</v>
      </c>
      <c r="B28" s="27" t="s">
        <v>4</v>
      </c>
      <c r="C28" s="24">
        <v>-70</v>
      </c>
    </row>
    <row r="29" spans="1:4" x14ac:dyDescent="0.3">
      <c r="A29" s="26">
        <v>45868</v>
      </c>
      <c r="B29" s="27" t="s">
        <v>4</v>
      </c>
      <c r="C29" s="24">
        <f>-599.97</f>
        <v>-599.97</v>
      </c>
    </row>
    <row r="30" spans="1:4" x14ac:dyDescent="0.3">
      <c r="A30" s="26">
        <v>45868</v>
      </c>
      <c r="B30" s="27" t="s">
        <v>1</v>
      </c>
      <c r="C30" s="24">
        <v>910.5</v>
      </c>
    </row>
    <row r="31" spans="1:4" x14ac:dyDescent="0.3">
      <c r="A31" s="26">
        <v>45873</v>
      </c>
      <c r="B31" s="27" t="s">
        <v>4</v>
      </c>
      <c r="C31" s="24">
        <v>-216.31</v>
      </c>
    </row>
    <row r="32" spans="1:4" x14ac:dyDescent="0.3">
      <c r="A32" s="26">
        <v>45874</v>
      </c>
      <c r="B32" s="27" t="s">
        <v>1</v>
      </c>
      <c r="C32" s="24">
        <v>1303.5999999999999</v>
      </c>
    </row>
    <row r="33" spans="1:7" x14ac:dyDescent="0.3">
      <c r="A33" s="26">
        <v>45874</v>
      </c>
      <c r="B33" s="72" t="s">
        <v>1</v>
      </c>
      <c r="C33" s="24">
        <v>18.600000000000001</v>
      </c>
    </row>
    <row r="34" spans="1:7" x14ac:dyDescent="0.3">
      <c r="A34" s="26">
        <v>45875</v>
      </c>
      <c r="B34" s="27" t="s">
        <v>4</v>
      </c>
      <c r="C34" s="24">
        <v>-92.64</v>
      </c>
    </row>
    <row r="35" spans="1:7" x14ac:dyDescent="0.3">
      <c r="A35" s="26">
        <v>45875</v>
      </c>
      <c r="B35" s="27" t="s">
        <v>4</v>
      </c>
      <c r="C35" s="24">
        <v>-160</v>
      </c>
    </row>
    <row r="36" spans="1:7" x14ac:dyDescent="0.3">
      <c r="A36" s="26">
        <v>45875</v>
      </c>
      <c r="B36" s="27" t="s">
        <v>4</v>
      </c>
      <c r="C36" s="24">
        <v>-305</v>
      </c>
    </row>
    <row r="37" spans="1:7" x14ac:dyDescent="0.3">
      <c r="A37" s="26">
        <v>45877</v>
      </c>
      <c r="B37" s="27" t="s">
        <v>4</v>
      </c>
      <c r="C37" s="24">
        <v>-305</v>
      </c>
    </row>
    <row r="38" spans="1:7" x14ac:dyDescent="0.3">
      <c r="A38" s="26">
        <v>45880</v>
      </c>
      <c r="B38" s="27" t="s">
        <v>4</v>
      </c>
      <c r="C38" s="24">
        <v>-551.20000000000005</v>
      </c>
    </row>
    <row r="39" spans="1:7" x14ac:dyDescent="0.3">
      <c r="A39" s="26">
        <v>45883</v>
      </c>
      <c r="B39" s="27" t="s">
        <v>1</v>
      </c>
      <c r="C39" s="24">
        <f>231.8-G39</f>
        <v>207.83</v>
      </c>
      <c r="G39" s="24">
        <v>23.97</v>
      </c>
    </row>
    <row r="40" spans="1:7" x14ac:dyDescent="0.3">
      <c r="A40" s="26">
        <v>45883</v>
      </c>
      <c r="B40" s="72" t="s">
        <v>1</v>
      </c>
      <c r="C40" s="24">
        <v>15.85</v>
      </c>
    </row>
    <row r="41" spans="1:7" x14ac:dyDescent="0.3">
      <c r="A41" s="26">
        <v>45890</v>
      </c>
      <c r="B41" s="27" t="s">
        <v>1</v>
      </c>
      <c r="C41" s="24">
        <v>1010.2</v>
      </c>
    </row>
    <row r="42" spans="1:7" x14ac:dyDescent="0.3">
      <c r="A42" s="26">
        <v>45891</v>
      </c>
      <c r="B42" s="27" t="s">
        <v>4</v>
      </c>
      <c r="C42" s="24">
        <v>-280</v>
      </c>
    </row>
    <row r="43" spans="1:7" x14ac:dyDescent="0.3">
      <c r="A43" s="26">
        <v>45891</v>
      </c>
      <c r="B43" s="27" t="s">
        <v>4</v>
      </c>
      <c r="C43" s="24">
        <v>-644.17999999999995</v>
      </c>
    </row>
    <row r="44" spans="1:7" x14ac:dyDescent="0.3">
      <c r="A44" s="26">
        <v>45895</v>
      </c>
      <c r="B44" s="27" t="s">
        <v>4</v>
      </c>
      <c r="C44" s="24">
        <v>-80.2</v>
      </c>
    </row>
    <row r="45" spans="1:7" x14ac:dyDescent="0.3">
      <c r="A45" s="26">
        <v>45896</v>
      </c>
      <c r="B45" s="27" t="s">
        <v>4</v>
      </c>
      <c r="C45" s="24">
        <v>-220</v>
      </c>
      <c r="G45" s="24">
        <v>-23.97</v>
      </c>
    </row>
    <row r="46" spans="1:7" x14ac:dyDescent="0.3">
      <c r="A46" s="26">
        <v>45897</v>
      </c>
      <c r="B46" s="27" t="s">
        <v>1</v>
      </c>
      <c r="C46" s="24">
        <v>1159.7</v>
      </c>
    </row>
    <row r="47" spans="1:7" x14ac:dyDescent="0.3">
      <c r="A47" s="26">
        <v>45897</v>
      </c>
      <c r="B47" s="72" t="s">
        <v>1</v>
      </c>
      <c r="C47" s="24">
        <v>23.5</v>
      </c>
    </row>
    <row r="48" spans="1:7" x14ac:dyDescent="0.3">
      <c r="A48" s="26">
        <v>45898</v>
      </c>
      <c r="B48" s="73" t="s">
        <v>1</v>
      </c>
      <c r="C48" s="24">
        <v>21.26</v>
      </c>
    </row>
    <row r="49" spans="1:7" x14ac:dyDescent="0.3">
      <c r="A49" s="26">
        <v>45898</v>
      </c>
      <c r="B49" s="27" t="s">
        <v>4</v>
      </c>
      <c r="C49" s="24">
        <v>-390</v>
      </c>
    </row>
    <row r="50" spans="1:7" x14ac:dyDescent="0.3">
      <c r="A50" s="26">
        <v>45901</v>
      </c>
      <c r="B50" s="27" t="s">
        <v>4</v>
      </c>
      <c r="C50" s="24">
        <v>-793.22</v>
      </c>
    </row>
    <row r="51" spans="1:7" x14ac:dyDescent="0.3">
      <c r="A51" s="26">
        <v>45902</v>
      </c>
      <c r="B51" s="27" t="s">
        <v>4</v>
      </c>
      <c r="C51" s="24">
        <v>-21.26</v>
      </c>
    </row>
    <row r="52" spans="1:7" x14ac:dyDescent="0.3">
      <c r="A52" s="26">
        <v>45902</v>
      </c>
      <c r="B52" s="27" t="s">
        <v>1</v>
      </c>
      <c r="C52" s="24">
        <v>984.7</v>
      </c>
      <c r="D52" s="25">
        <f>-7+18</f>
        <v>11</v>
      </c>
    </row>
    <row r="53" spans="1:7" x14ac:dyDescent="0.3">
      <c r="A53" s="26">
        <v>45903</v>
      </c>
      <c r="B53" s="27" t="s">
        <v>4</v>
      </c>
      <c r="C53" s="24">
        <v>-230</v>
      </c>
    </row>
    <row r="54" spans="1:7" x14ac:dyDescent="0.3">
      <c r="A54" s="26">
        <v>45904</v>
      </c>
      <c r="B54" s="73" t="s">
        <v>1</v>
      </c>
      <c r="C54" s="24">
        <v>10.99</v>
      </c>
    </row>
    <row r="55" spans="1:7" x14ac:dyDescent="0.3">
      <c r="A55" s="26">
        <v>45908</v>
      </c>
      <c r="B55" s="27" t="s">
        <v>4</v>
      </c>
      <c r="C55" s="24">
        <v>-580</v>
      </c>
    </row>
    <row r="56" spans="1:7" x14ac:dyDescent="0.3">
      <c r="A56" s="26">
        <v>45908</v>
      </c>
      <c r="B56" s="27" t="s">
        <v>4</v>
      </c>
      <c r="C56" s="24">
        <v>-10.99</v>
      </c>
    </row>
    <row r="57" spans="1:7" x14ac:dyDescent="0.3">
      <c r="A57" s="26">
        <v>45909</v>
      </c>
      <c r="B57" s="27" t="s">
        <v>4</v>
      </c>
      <c r="C57" s="24">
        <v>-102.46</v>
      </c>
    </row>
    <row r="58" spans="1:7" x14ac:dyDescent="0.3">
      <c r="A58" s="26">
        <v>45911</v>
      </c>
      <c r="B58" s="27" t="s">
        <v>1</v>
      </c>
      <c r="C58" s="24">
        <f>296.7-G58</f>
        <v>268.65999999999997</v>
      </c>
      <c r="G58" s="24">
        <v>28.04</v>
      </c>
    </row>
    <row r="59" spans="1:7" x14ac:dyDescent="0.3">
      <c r="A59" s="26">
        <v>45911</v>
      </c>
      <c r="B59" s="72" t="s">
        <v>1</v>
      </c>
      <c r="C59" s="24">
        <v>30.05</v>
      </c>
    </row>
    <row r="60" spans="1:7" x14ac:dyDescent="0.3">
      <c r="A60" s="26">
        <v>45911</v>
      </c>
      <c r="B60" s="73" t="s">
        <v>1</v>
      </c>
      <c r="C60" s="24">
        <v>13.21</v>
      </c>
    </row>
    <row r="61" spans="1:7" x14ac:dyDescent="0.3">
      <c r="A61" s="26">
        <v>45916</v>
      </c>
      <c r="B61" s="27" t="s">
        <v>4</v>
      </c>
      <c r="C61" s="24">
        <v>-292.95</v>
      </c>
      <c r="G61" s="24">
        <v>-28.04</v>
      </c>
    </row>
    <row r="62" spans="1:7" x14ac:dyDescent="0.3">
      <c r="A62" s="26">
        <v>45918</v>
      </c>
      <c r="B62" s="27" t="s">
        <v>1</v>
      </c>
      <c r="C62" s="24">
        <v>746.3</v>
      </c>
      <c r="D62" s="25">
        <v>-11</v>
      </c>
    </row>
    <row r="63" spans="1:7" x14ac:dyDescent="0.3">
      <c r="A63" s="26">
        <v>45918</v>
      </c>
      <c r="B63" s="72" t="s">
        <v>1</v>
      </c>
      <c r="C63" s="24">
        <v>4.5999999999999996</v>
      </c>
    </row>
    <row r="64" spans="1:7" x14ac:dyDescent="0.3">
      <c r="A64" s="26">
        <v>45925</v>
      </c>
      <c r="B64" s="27" t="s">
        <v>1</v>
      </c>
      <c r="C64" s="24">
        <v>623.20000000000005</v>
      </c>
    </row>
    <row r="65" spans="1:3" x14ac:dyDescent="0.3">
      <c r="A65" s="26">
        <v>45926</v>
      </c>
      <c r="B65" s="73" t="s">
        <v>1</v>
      </c>
      <c r="C65" s="24">
        <v>14.38</v>
      </c>
    </row>
    <row r="66" spans="1:3" x14ac:dyDescent="0.3">
      <c r="A66" s="26">
        <v>45929</v>
      </c>
      <c r="B66" s="27" t="s">
        <v>4</v>
      </c>
      <c r="C66" s="24">
        <v>-623.21</v>
      </c>
    </row>
    <row r="67" spans="1:3" x14ac:dyDescent="0.3">
      <c r="A67" s="26">
        <v>45929</v>
      </c>
      <c r="B67" s="27" t="s">
        <v>4</v>
      </c>
      <c r="C67" s="24">
        <v>-14.38</v>
      </c>
    </row>
    <row r="68" spans="1:3" x14ac:dyDescent="0.3">
      <c r="A68" s="26">
        <v>45931</v>
      </c>
      <c r="B68" s="27" t="s">
        <v>4</v>
      </c>
      <c r="C68" s="24">
        <v>-462</v>
      </c>
    </row>
    <row r="69" spans="1:3" x14ac:dyDescent="0.3">
      <c r="A69" s="26">
        <v>45932</v>
      </c>
      <c r="B69" s="27" t="s">
        <v>4</v>
      </c>
      <c r="C69" s="24">
        <v>-750.91</v>
      </c>
    </row>
    <row r="70" spans="1:3" x14ac:dyDescent="0.3">
      <c r="A70" s="26">
        <v>45931</v>
      </c>
      <c r="B70" s="27" t="s">
        <v>1</v>
      </c>
      <c r="C70" s="24">
        <v>575.20000000000005</v>
      </c>
    </row>
    <row r="71" spans="1:3" x14ac:dyDescent="0.3">
      <c r="A71" s="26">
        <v>45931</v>
      </c>
      <c r="B71" s="72" t="s">
        <v>1</v>
      </c>
      <c r="C71" s="24">
        <v>9.6</v>
      </c>
    </row>
    <row r="72" spans="1:3" x14ac:dyDescent="0.3">
      <c r="A72" s="26">
        <v>45936</v>
      </c>
      <c r="B72" s="27" t="s">
        <v>4</v>
      </c>
      <c r="C72" s="24">
        <v>-122.8</v>
      </c>
    </row>
    <row r="73" spans="1:3" x14ac:dyDescent="0.3">
      <c r="A73" s="26">
        <v>45939</v>
      </c>
      <c r="B73" s="27" t="s">
        <v>1</v>
      </c>
      <c r="C73" s="24">
        <v>1031.73</v>
      </c>
    </row>
    <row r="74" spans="1:3" x14ac:dyDescent="0.3">
      <c r="A74" s="26">
        <v>45939</v>
      </c>
      <c r="B74" s="72" t="s">
        <v>1</v>
      </c>
      <c r="C74" s="24">
        <v>7.5</v>
      </c>
    </row>
    <row r="75" spans="1:3" x14ac:dyDescent="0.3">
      <c r="A75" s="26">
        <v>45940</v>
      </c>
      <c r="B75" s="73" t="s">
        <v>1</v>
      </c>
      <c r="C75" s="24">
        <v>17.61</v>
      </c>
    </row>
    <row r="76" spans="1:3" x14ac:dyDescent="0.3">
      <c r="A76" s="26">
        <v>45943</v>
      </c>
      <c r="B76" s="27" t="s">
        <v>4</v>
      </c>
      <c r="C76" s="24">
        <v>-307</v>
      </c>
    </row>
    <row r="77" spans="1:3" x14ac:dyDescent="0.3">
      <c r="A77" s="26">
        <v>45944</v>
      </c>
      <c r="B77" s="27" t="s">
        <v>4</v>
      </c>
      <c r="C77" s="24">
        <v>-108</v>
      </c>
    </row>
    <row r="78" spans="1:3" x14ac:dyDescent="0.3">
      <c r="A78" s="26">
        <v>45947</v>
      </c>
      <c r="B78" s="27" t="s">
        <v>4</v>
      </c>
      <c r="C78" s="24">
        <v>-624.23</v>
      </c>
    </row>
    <row r="79" spans="1:3" x14ac:dyDescent="0.3">
      <c r="A79" s="26">
        <v>45947</v>
      </c>
      <c r="B79" s="27" t="s">
        <v>4</v>
      </c>
      <c r="C79" s="24">
        <v>-17.61</v>
      </c>
    </row>
    <row r="80" spans="1:3" x14ac:dyDescent="0.3">
      <c r="A80" s="26">
        <v>45951</v>
      </c>
      <c r="B80" s="27" t="s">
        <v>4</v>
      </c>
      <c r="C80" s="24">
        <v>-407</v>
      </c>
    </row>
    <row r="81" spans="1:3" x14ac:dyDescent="0.3">
      <c r="A81" s="26">
        <v>45951</v>
      </c>
      <c r="B81" s="27" t="s">
        <v>1</v>
      </c>
      <c r="C81" s="24">
        <v>772.17</v>
      </c>
    </row>
    <row r="82" spans="1:3" x14ac:dyDescent="0.3">
      <c r="A82" s="26">
        <v>45951</v>
      </c>
      <c r="B82" s="72" t="s">
        <v>1</v>
      </c>
      <c r="C82" s="24">
        <v>25.48</v>
      </c>
    </row>
    <row r="83" spans="1:3" x14ac:dyDescent="0.3">
      <c r="A83" s="26">
        <v>45952</v>
      </c>
      <c r="B83" s="27" t="s">
        <v>4</v>
      </c>
      <c r="C83" s="24">
        <v>-390.65</v>
      </c>
    </row>
    <row r="84" spans="1:3" x14ac:dyDescent="0.3">
      <c r="A84" s="26">
        <v>45954</v>
      </c>
      <c r="B84" s="73" t="s">
        <v>1</v>
      </c>
      <c r="C84" s="24">
        <v>22.3</v>
      </c>
    </row>
    <row r="85" spans="1:3" x14ac:dyDescent="0.3">
      <c r="A85" s="26">
        <v>45960</v>
      </c>
      <c r="B85" s="27" t="s">
        <v>1</v>
      </c>
      <c r="C85" s="24">
        <v>129.35</v>
      </c>
    </row>
    <row r="86" spans="1:3" x14ac:dyDescent="0.3">
      <c r="A86" s="26">
        <v>45964</v>
      </c>
      <c r="B86" s="27" t="s">
        <v>4</v>
      </c>
      <c r="C86" s="24">
        <v>-115.97</v>
      </c>
    </row>
    <row r="87" spans="1:3" x14ac:dyDescent="0.3">
      <c r="A87" s="26">
        <v>45964</v>
      </c>
      <c r="B87" s="27" t="s">
        <v>4</v>
      </c>
      <c r="C87" s="24">
        <v>-22.3</v>
      </c>
    </row>
    <row r="88" spans="1:3" x14ac:dyDescent="0.3">
      <c r="A88" s="26">
        <v>45967</v>
      </c>
      <c r="B88" s="27" t="s">
        <v>1</v>
      </c>
      <c r="C88" s="24">
        <v>669</v>
      </c>
    </row>
    <row r="89" spans="1:3" x14ac:dyDescent="0.3">
      <c r="A89" s="26">
        <v>45968</v>
      </c>
      <c r="B89" s="27" t="s">
        <v>4</v>
      </c>
      <c r="C89" s="24">
        <v>-440</v>
      </c>
    </row>
    <row r="90" spans="1:3" x14ac:dyDescent="0.3">
      <c r="A90" s="26">
        <v>45968</v>
      </c>
      <c r="B90" s="73" t="s">
        <v>1</v>
      </c>
      <c r="C90" s="24">
        <v>12.73</v>
      </c>
    </row>
    <row r="91" spans="1:3" x14ac:dyDescent="0.3">
      <c r="A91" s="26">
        <v>45972</v>
      </c>
      <c r="B91" s="27" t="s">
        <v>4</v>
      </c>
      <c r="C91" s="24">
        <v>-229</v>
      </c>
    </row>
    <row r="92" spans="1:3" x14ac:dyDescent="0.3">
      <c r="A92" s="26">
        <v>45974</v>
      </c>
      <c r="B92" s="27" t="s">
        <v>4</v>
      </c>
      <c r="C92" s="24">
        <v>-874.44</v>
      </c>
    </row>
    <row r="93" spans="1:3" x14ac:dyDescent="0.3">
      <c r="A93" s="26">
        <v>45974</v>
      </c>
      <c r="B93" s="27" t="s">
        <v>1</v>
      </c>
      <c r="C93" s="24">
        <v>874.44</v>
      </c>
    </row>
    <row r="94" spans="1:3" x14ac:dyDescent="0.3">
      <c r="A94" s="26">
        <v>45975</v>
      </c>
      <c r="B94" s="27" t="s">
        <v>1</v>
      </c>
      <c r="C94" s="24">
        <v>15.84</v>
      </c>
    </row>
    <row r="95" spans="1:3" x14ac:dyDescent="0.3">
      <c r="A95" s="26">
        <v>45978</v>
      </c>
      <c r="B95" s="27" t="s">
        <v>4</v>
      </c>
      <c r="C95" s="24">
        <v>-15.84</v>
      </c>
    </row>
    <row r="96" spans="1:3" x14ac:dyDescent="0.3">
      <c r="A96" s="26">
        <v>45978</v>
      </c>
      <c r="B96" s="27" t="s">
        <v>4</v>
      </c>
      <c r="C96" s="24">
        <v>-12.73</v>
      </c>
    </row>
    <row r="97" spans="1:3" x14ac:dyDescent="0.3">
      <c r="A97" s="26">
        <v>45981</v>
      </c>
      <c r="B97" s="27" t="s">
        <v>1</v>
      </c>
      <c r="C97" s="24">
        <v>333.27</v>
      </c>
    </row>
    <row r="98" spans="1:3" x14ac:dyDescent="0.3">
      <c r="A98" s="26">
        <v>45985</v>
      </c>
      <c r="B98" s="27" t="s">
        <v>4</v>
      </c>
      <c r="C98" s="24">
        <v>-126.7</v>
      </c>
    </row>
    <row r="99" spans="1:3" x14ac:dyDescent="0.3">
      <c r="A99" s="26">
        <v>45988</v>
      </c>
      <c r="B99" s="27" t="s">
        <v>4</v>
      </c>
      <c r="C99" s="24">
        <v>-513</v>
      </c>
    </row>
    <row r="100" spans="1:3" x14ac:dyDescent="0.3">
      <c r="A100" s="26">
        <v>45988</v>
      </c>
      <c r="B100" s="27" t="s">
        <v>1</v>
      </c>
      <c r="C100" s="24">
        <v>781.24</v>
      </c>
    </row>
    <row r="101" spans="1:3" x14ac:dyDescent="0.3">
      <c r="A101" s="26">
        <v>45989</v>
      </c>
      <c r="B101" s="27" t="s">
        <v>1</v>
      </c>
      <c r="C101" s="24">
        <v>15.99</v>
      </c>
    </row>
    <row r="102" spans="1:3" x14ac:dyDescent="0.3">
      <c r="A102" s="26">
        <v>45992</v>
      </c>
      <c r="B102" s="27" t="s">
        <v>4</v>
      </c>
      <c r="C102" s="24">
        <v>-268.24</v>
      </c>
    </row>
    <row r="103" spans="1:3" x14ac:dyDescent="0.3">
      <c r="A103" s="26">
        <v>45994</v>
      </c>
      <c r="B103" s="27" t="s">
        <v>4</v>
      </c>
      <c r="C103" s="24">
        <v>-15.99</v>
      </c>
    </row>
    <row r="104" spans="1:3" x14ac:dyDescent="0.3">
      <c r="A104" s="26">
        <v>45998</v>
      </c>
      <c r="B104" s="27" t="s">
        <v>4</v>
      </c>
      <c r="C104" s="24">
        <v>-10.84</v>
      </c>
    </row>
    <row r="105" spans="1:3" x14ac:dyDescent="0.3">
      <c r="A105" s="26">
        <v>45996</v>
      </c>
      <c r="B105" s="27" t="s">
        <v>1</v>
      </c>
      <c r="C105" s="24">
        <v>10.84</v>
      </c>
    </row>
    <row r="106" spans="1:3" x14ac:dyDescent="0.3">
      <c r="A106" s="26">
        <v>46002</v>
      </c>
      <c r="B106" s="27" t="s">
        <v>1</v>
      </c>
      <c r="C106" s="24">
        <v>1000</v>
      </c>
    </row>
    <row r="107" spans="1:3" x14ac:dyDescent="0.3">
      <c r="A107" s="26">
        <v>46006</v>
      </c>
      <c r="B107" s="27" t="s">
        <v>4</v>
      </c>
      <c r="C107" s="24">
        <v>-1000</v>
      </c>
    </row>
    <row r="108" spans="1:3" x14ac:dyDescent="0.3">
      <c r="A108" s="26">
        <v>46010</v>
      </c>
      <c r="B108" s="27" t="s">
        <v>1</v>
      </c>
      <c r="C108" s="24">
        <v>773.04</v>
      </c>
    </row>
    <row r="109" spans="1:3" x14ac:dyDescent="0.3">
      <c r="A109" s="26">
        <v>46010</v>
      </c>
      <c r="B109" s="27" t="s">
        <v>4</v>
      </c>
      <c r="C109" s="24">
        <v>-225</v>
      </c>
    </row>
    <row r="110" spans="1:3" x14ac:dyDescent="0.3">
      <c r="A110" s="26">
        <v>46014</v>
      </c>
      <c r="B110" s="27" t="s">
        <v>1</v>
      </c>
      <c r="C110" s="24">
        <v>1324.33</v>
      </c>
    </row>
    <row r="111" spans="1:3" x14ac:dyDescent="0.3">
      <c r="A111" s="26">
        <v>46017</v>
      </c>
      <c r="B111" s="27" t="s">
        <v>4</v>
      </c>
      <c r="C111" s="24">
        <v>-1324.33</v>
      </c>
    </row>
    <row r="112" spans="1:3" x14ac:dyDescent="0.3">
      <c r="A112" s="26">
        <v>46017</v>
      </c>
      <c r="B112" s="27" t="s">
        <v>1</v>
      </c>
      <c r="C112" s="24">
        <v>34.86</v>
      </c>
    </row>
    <row r="113" spans="1:4" x14ac:dyDescent="0.3">
      <c r="A113" s="26">
        <v>46020</v>
      </c>
      <c r="B113" s="27" t="s">
        <v>1</v>
      </c>
      <c r="C113" s="24">
        <v>1286.04</v>
      </c>
      <c r="D113" s="25">
        <v>9</v>
      </c>
    </row>
    <row r="114" spans="1:4" x14ac:dyDescent="0.3">
      <c r="A114" s="26">
        <v>46024</v>
      </c>
      <c r="B114" s="27" t="s">
        <v>4</v>
      </c>
      <c r="C114" s="24">
        <v>-1286.04</v>
      </c>
    </row>
    <row r="115" spans="1:4" x14ac:dyDescent="0.3">
      <c r="A115" s="26">
        <v>46035</v>
      </c>
      <c r="B115" s="27" t="s">
        <v>4</v>
      </c>
      <c r="C115" s="24">
        <v>-1107.6600000000001</v>
      </c>
    </row>
    <row r="116" spans="1:4" x14ac:dyDescent="0.3">
      <c r="A116" s="26">
        <v>46035</v>
      </c>
      <c r="B116" s="27" t="s">
        <v>1</v>
      </c>
      <c r="C116" s="24">
        <v>1107.6400000000001</v>
      </c>
    </row>
    <row r="117" spans="1:4" x14ac:dyDescent="0.3">
      <c r="A117" s="26">
        <v>46038</v>
      </c>
      <c r="B117" s="27" t="s">
        <v>1</v>
      </c>
      <c r="C117" s="24">
        <v>104.57</v>
      </c>
    </row>
    <row r="118" spans="1:4" x14ac:dyDescent="0.3">
      <c r="A118" s="26">
        <v>46038</v>
      </c>
      <c r="B118" s="27" t="s">
        <v>503</v>
      </c>
      <c r="C118" s="24">
        <v>-7.2</v>
      </c>
    </row>
    <row r="119" spans="1:4" x14ac:dyDescent="0.3">
      <c r="A119" s="26">
        <v>46042</v>
      </c>
      <c r="B119" s="27" t="s">
        <v>4</v>
      </c>
      <c r="C119" s="24">
        <v>-104.57</v>
      </c>
    </row>
    <row r="120" spans="1:4" x14ac:dyDescent="0.3">
      <c r="A120" s="26">
        <v>46044</v>
      </c>
      <c r="B120" s="27" t="s">
        <v>1</v>
      </c>
      <c r="C120" s="24">
        <v>352.28</v>
      </c>
      <c r="D120" s="25">
        <v>-16</v>
      </c>
    </row>
    <row r="121" spans="1:4" x14ac:dyDescent="0.3">
      <c r="A121" s="26">
        <v>46049</v>
      </c>
      <c r="B121" s="27" t="s">
        <v>4</v>
      </c>
      <c r="C121" s="24">
        <v>-352.28</v>
      </c>
    </row>
    <row r="122" spans="1:4" x14ac:dyDescent="0.3">
      <c r="A122" s="26">
        <v>46052</v>
      </c>
      <c r="B122" s="27" t="s">
        <v>1</v>
      </c>
      <c r="C122" s="24">
        <v>17.34</v>
      </c>
    </row>
    <row r="123" spans="1:4" x14ac:dyDescent="0.3">
      <c r="A123" s="26">
        <v>46055</v>
      </c>
      <c r="B123" s="27" t="s">
        <v>1</v>
      </c>
      <c r="C123" s="24">
        <v>591.33000000000004</v>
      </c>
      <c r="D123" s="25">
        <v>25</v>
      </c>
    </row>
    <row r="124" spans="1:4" x14ac:dyDescent="0.3">
      <c r="A124" s="26">
        <v>46055</v>
      </c>
      <c r="B124" s="27" t="s">
        <v>4</v>
      </c>
      <c r="C124" s="24">
        <v>-608.66999999999996</v>
      </c>
    </row>
    <row r="125" spans="1:4" x14ac:dyDescent="0.3">
      <c r="A125" s="26">
        <v>46056</v>
      </c>
      <c r="B125" s="27" t="s">
        <v>4</v>
      </c>
      <c r="C125" s="24">
        <v>-279.49</v>
      </c>
    </row>
    <row r="126" spans="1:4" x14ac:dyDescent="0.3">
      <c r="A126" s="26">
        <v>46056</v>
      </c>
      <c r="B126" s="27" t="s">
        <v>1</v>
      </c>
      <c r="C126" s="24">
        <v>580.39</v>
      </c>
      <c r="D126" s="25">
        <v>-20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413B-0F83-4240-8F7A-0AD430CA2709}">
  <sheetPr codeName="Hoja42"/>
  <dimension ref="A1:H102"/>
  <sheetViews>
    <sheetView view="pageBreakPreview" zoomScale="80" zoomScaleNormal="100" zoomScaleSheetLayoutView="80" workbookViewId="0">
      <selection activeCell="C103" sqref="C10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209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210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-0.16000000000003212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45820</v>
      </c>
      <c r="B5" s="32" t="s">
        <v>21</v>
      </c>
      <c r="C5" s="24">
        <v>31.25</v>
      </c>
      <c r="D5" s="30"/>
      <c r="E5" s="30"/>
      <c r="F5" s="30"/>
      <c r="G5" s="22"/>
    </row>
    <row r="6" spans="1:8" hidden="1" x14ac:dyDescent="0.3">
      <c r="A6" s="21">
        <v>45820</v>
      </c>
      <c r="B6" s="34" t="s">
        <v>21</v>
      </c>
      <c r="C6" s="24">
        <v>71.78</v>
      </c>
    </row>
    <row r="7" spans="1:8" hidden="1" x14ac:dyDescent="0.3">
      <c r="A7" s="21">
        <v>45826</v>
      </c>
      <c r="B7" s="27" t="s">
        <v>7</v>
      </c>
      <c r="C7" s="24">
        <v>-103.12</v>
      </c>
    </row>
    <row r="8" spans="1:8" hidden="1" x14ac:dyDescent="0.3">
      <c r="A8" s="21">
        <v>45826</v>
      </c>
      <c r="B8" s="32" t="s">
        <v>21</v>
      </c>
      <c r="C8" s="24">
        <v>17.54</v>
      </c>
    </row>
    <row r="9" spans="1:8" hidden="1" x14ac:dyDescent="0.3">
      <c r="A9" s="21">
        <v>45826</v>
      </c>
      <c r="B9" s="34" t="s">
        <v>21</v>
      </c>
      <c r="C9" s="24">
        <v>73.59</v>
      </c>
    </row>
    <row r="10" spans="1:8" hidden="1" x14ac:dyDescent="0.3">
      <c r="A10" s="26">
        <v>45833</v>
      </c>
      <c r="B10" s="31" t="s">
        <v>7</v>
      </c>
      <c r="C10" s="24">
        <v>-91.15</v>
      </c>
    </row>
    <row r="11" spans="1:8" hidden="1" x14ac:dyDescent="0.3">
      <c r="A11" s="26">
        <v>45833</v>
      </c>
      <c r="B11" s="32" t="s">
        <v>21</v>
      </c>
      <c r="C11" s="24">
        <v>14.2</v>
      </c>
    </row>
    <row r="12" spans="1:8" hidden="1" x14ac:dyDescent="0.3">
      <c r="A12" s="26">
        <v>45833</v>
      </c>
      <c r="B12" s="34" t="s">
        <v>21</v>
      </c>
      <c r="C12" s="24">
        <v>58.5</v>
      </c>
    </row>
    <row r="13" spans="1:8" hidden="1" x14ac:dyDescent="0.3">
      <c r="A13" s="26">
        <v>45840</v>
      </c>
      <c r="B13" s="27" t="s">
        <v>7</v>
      </c>
      <c r="C13" s="24">
        <v>-72.59</v>
      </c>
    </row>
    <row r="14" spans="1:8" hidden="1" x14ac:dyDescent="0.3">
      <c r="A14" s="26">
        <v>45840</v>
      </c>
      <c r="B14" s="32" t="s">
        <v>21</v>
      </c>
      <c r="C14" s="24">
        <v>15.85</v>
      </c>
    </row>
    <row r="15" spans="1:8" hidden="1" x14ac:dyDescent="0.3">
      <c r="A15" s="26">
        <v>45840</v>
      </c>
      <c r="B15" s="34" t="s">
        <v>21</v>
      </c>
      <c r="C15" s="24">
        <v>51.91</v>
      </c>
    </row>
    <row r="16" spans="1:8" hidden="1" x14ac:dyDescent="0.3">
      <c r="A16" s="26">
        <v>45847</v>
      </c>
      <c r="B16" s="27" t="s">
        <v>7</v>
      </c>
      <c r="C16" s="24">
        <v>-67.81</v>
      </c>
    </row>
    <row r="17" spans="1:3" hidden="1" x14ac:dyDescent="0.3">
      <c r="A17" s="26">
        <v>45847</v>
      </c>
      <c r="B17" s="27" t="s">
        <v>1</v>
      </c>
      <c r="C17" s="24">
        <v>20.8</v>
      </c>
    </row>
    <row r="18" spans="1:3" hidden="1" x14ac:dyDescent="0.3">
      <c r="A18" s="26">
        <v>45847</v>
      </c>
      <c r="B18" s="32" t="s">
        <v>21</v>
      </c>
      <c r="C18" s="24">
        <v>12.1</v>
      </c>
    </row>
    <row r="19" spans="1:3" hidden="1" x14ac:dyDescent="0.3">
      <c r="A19" s="26">
        <v>45847</v>
      </c>
      <c r="B19" s="34" t="s">
        <v>21</v>
      </c>
      <c r="C19" s="24">
        <v>60.48</v>
      </c>
    </row>
    <row r="20" spans="1:3" hidden="1" x14ac:dyDescent="0.3">
      <c r="A20" s="26">
        <v>45854</v>
      </c>
      <c r="B20" s="27" t="s">
        <v>7</v>
      </c>
      <c r="C20" s="24">
        <v>-93.4</v>
      </c>
    </row>
    <row r="21" spans="1:3" hidden="1" x14ac:dyDescent="0.3">
      <c r="A21" s="26">
        <v>45854</v>
      </c>
      <c r="B21" s="32" t="s">
        <v>21</v>
      </c>
      <c r="C21" s="24">
        <v>42.79</v>
      </c>
    </row>
    <row r="22" spans="1:3" hidden="1" x14ac:dyDescent="0.3">
      <c r="A22" s="26">
        <v>45854</v>
      </c>
      <c r="B22" s="34" t="s">
        <v>21</v>
      </c>
      <c r="C22" s="24">
        <v>60.18</v>
      </c>
    </row>
    <row r="23" spans="1:3" hidden="1" x14ac:dyDescent="0.3">
      <c r="A23" s="26">
        <v>45861</v>
      </c>
      <c r="B23" s="27" t="s">
        <v>7</v>
      </c>
      <c r="C23" s="24">
        <v>-103.12</v>
      </c>
    </row>
    <row r="24" spans="1:3" hidden="1" x14ac:dyDescent="0.3">
      <c r="A24" s="26">
        <v>45861</v>
      </c>
      <c r="B24" s="32" t="s">
        <v>21</v>
      </c>
      <c r="C24" s="24">
        <v>9.1999999999999993</v>
      </c>
    </row>
    <row r="25" spans="1:3" hidden="1" x14ac:dyDescent="0.3">
      <c r="A25" s="26">
        <v>45861</v>
      </c>
      <c r="B25" s="34" t="s">
        <v>21</v>
      </c>
      <c r="C25" s="24">
        <v>51.11</v>
      </c>
    </row>
    <row r="26" spans="1:3" hidden="1" x14ac:dyDescent="0.3">
      <c r="A26" s="26">
        <v>45868</v>
      </c>
      <c r="B26" s="27" t="s">
        <v>7</v>
      </c>
      <c r="C26" s="24">
        <v>-64.510000000000005</v>
      </c>
    </row>
    <row r="27" spans="1:3" hidden="1" x14ac:dyDescent="0.3">
      <c r="A27" s="26">
        <v>45868</v>
      </c>
      <c r="B27" s="27" t="s">
        <v>1</v>
      </c>
      <c r="C27" s="24">
        <v>20.8</v>
      </c>
    </row>
    <row r="28" spans="1:3" hidden="1" x14ac:dyDescent="0.3">
      <c r="A28" s="26">
        <v>45868</v>
      </c>
      <c r="B28" s="32" t="s">
        <v>21</v>
      </c>
      <c r="C28" s="24">
        <v>15</v>
      </c>
    </row>
    <row r="29" spans="1:3" hidden="1" x14ac:dyDescent="0.3">
      <c r="A29" s="26">
        <v>45868</v>
      </c>
      <c r="B29" s="34" t="s">
        <v>21</v>
      </c>
      <c r="C29" s="24">
        <v>50.5</v>
      </c>
    </row>
    <row r="30" spans="1:3" hidden="1" x14ac:dyDescent="0.3">
      <c r="A30" s="26">
        <v>45875</v>
      </c>
      <c r="B30" s="27" t="s">
        <v>7</v>
      </c>
      <c r="C30" s="24">
        <v>-81.93</v>
      </c>
    </row>
    <row r="31" spans="1:3" hidden="1" x14ac:dyDescent="0.3">
      <c r="A31" s="26">
        <v>45875</v>
      </c>
      <c r="B31" s="27" t="s">
        <v>1</v>
      </c>
      <c r="C31" s="24">
        <v>20.8</v>
      </c>
    </row>
    <row r="32" spans="1:3" hidden="1" x14ac:dyDescent="0.3">
      <c r="A32" s="26">
        <v>45875</v>
      </c>
      <c r="B32" s="32" t="s">
        <v>21</v>
      </c>
      <c r="C32" s="24">
        <v>42.19</v>
      </c>
    </row>
    <row r="33" spans="1:3" hidden="1" x14ac:dyDescent="0.3">
      <c r="A33" s="26">
        <v>45875</v>
      </c>
      <c r="B33" s="34" t="s">
        <v>21</v>
      </c>
      <c r="C33" s="24">
        <v>5.52</v>
      </c>
    </row>
    <row r="34" spans="1:3" hidden="1" x14ac:dyDescent="0.3">
      <c r="A34" s="26">
        <v>45882</v>
      </c>
      <c r="B34" s="27" t="s">
        <v>7</v>
      </c>
      <c r="C34" s="24">
        <v>-68.48</v>
      </c>
    </row>
    <row r="35" spans="1:3" hidden="1" x14ac:dyDescent="0.3">
      <c r="A35" s="26">
        <v>45882</v>
      </c>
      <c r="B35" s="32" t="s">
        <v>21</v>
      </c>
      <c r="C35" s="24">
        <v>9</v>
      </c>
    </row>
    <row r="36" spans="1:3" hidden="1" x14ac:dyDescent="0.3">
      <c r="A36" s="26">
        <v>45882</v>
      </c>
      <c r="B36" s="34" t="s">
        <v>21</v>
      </c>
      <c r="C36" s="24">
        <v>55.73</v>
      </c>
    </row>
    <row r="37" spans="1:3" hidden="1" x14ac:dyDescent="0.3">
      <c r="A37" s="26">
        <v>45889</v>
      </c>
      <c r="B37" s="27" t="s">
        <v>7</v>
      </c>
      <c r="C37" s="24">
        <v>-64.739999999999995</v>
      </c>
    </row>
    <row r="38" spans="1:3" hidden="1" x14ac:dyDescent="0.3">
      <c r="A38" s="26">
        <v>45889</v>
      </c>
      <c r="B38" s="32" t="s">
        <v>21</v>
      </c>
      <c r="C38" s="24">
        <v>19.8</v>
      </c>
    </row>
    <row r="39" spans="1:3" hidden="1" x14ac:dyDescent="0.3">
      <c r="A39" s="26">
        <v>45889</v>
      </c>
      <c r="B39" s="34" t="s">
        <v>21</v>
      </c>
      <c r="C39" s="24">
        <v>59.47</v>
      </c>
    </row>
    <row r="40" spans="1:3" hidden="1" x14ac:dyDescent="0.3">
      <c r="A40" s="26">
        <v>45896</v>
      </c>
      <c r="B40" s="27" t="s">
        <v>7</v>
      </c>
      <c r="C40" s="24">
        <v>-79.349999999999994</v>
      </c>
    </row>
    <row r="41" spans="1:3" hidden="1" x14ac:dyDescent="0.3">
      <c r="A41" s="26">
        <v>45896</v>
      </c>
      <c r="B41" s="32" t="s">
        <v>21</v>
      </c>
      <c r="C41" s="24">
        <v>32.35</v>
      </c>
    </row>
    <row r="42" spans="1:3" hidden="1" x14ac:dyDescent="0.3">
      <c r="A42" s="26">
        <v>45896</v>
      </c>
      <c r="B42" s="34" t="s">
        <v>21</v>
      </c>
      <c r="C42" s="24">
        <v>43.89</v>
      </c>
    </row>
    <row r="43" spans="1:3" hidden="1" x14ac:dyDescent="0.3">
      <c r="A43" s="26">
        <v>45898</v>
      </c>
      <c r="B43" s="27" t="s">
        <v>1</v>
      </c>
      <c r="C43" s="24">
        <v>20.8</v>
      </c>
    </row>
    <row r="44" spans="1:3" hidden="1" x14ac:dyDescent="0.3">
      <c r="A44" s="26">
        <v>45903</v>
      </c>
      <c r="B44" s="27" t="s">
        <v>7</v>
      </c>
      <c r="C44" s="24">
        <v>-97.09</v>
      </c>
    </row>
    <row r="45" spans="1:3" hidden="1" x14ac:dyDescent="0.3">
      <c r="A45" s="26">
        <v>45903</v>
      </c>
      <c r="B45" s="32" t="s">
        <v>21</v>
      </c>
      <c r="C45" s="24">
        <v>30.94</v>
      </c>
    </row>
    <row r="46" spans="1:3" hidden="1" x14ac:dyDescent="0.3">
      <c r="A46" s="26">
        <v>45903</v>
      </c>
      <c r="B46" s="34" t="s">
        <v>21</v>
      </c>
      <c r="C46" s="24">
        <v>13.46</v>
      </c>
    </row>
    <row r="47" spans="1:3" hidden="1" x14ac:dyDescent="0.3">
      <c r="A47" s="26">
        <v>45910</v>
      </c>
      <c r="B47" s="27" t="s">
        <v>7</v>
      </c>
      <c r="C47" s="24">
        <v>-44.25</v>
      </c>
    </row>
    <row r="48" spans="1:3" hidden="1" x14ac:dyDescent="0.3">
      <c r="A48" s="26">
        <v>45910</v>
      </c>
      <c r="B48" s="32" t="s">
        <v>21</v>
      </c>
      <c r="C48" s="24">
        <v>33.950000000000003</v>
      </c>
    </row>
    <row r="49" spans="1:3" hidden="1" x14ac:dyDescent="0.3">
      <c r="A49" s="26">
        <v>45910</v>
      </c>
      <c r="B49" s="34" t="s">
        <v>21</v>
      </c>
      <c r="C49" s="24">
        <v>30.87</v>
      </c>
    </row>
    <row r="50" spans="1:3" hidden="1" x14ac:dyDescent="0.3">
      <c r="A50" s="26">
        <v>45917</v>
      </c>
      <c r="B50" s="27" t="s">
        <v>7</v>
      </c>
      <c r="C50" s="24">
        <v>-64.83</v>
      </c>
    </row>
    <row r="51" spans="1:3" hidden="1" x14ac:dyDescent="0.3">
      <c r="A51" s="26">
        <v>45917</v>
      </c>
      <c r="B51" s="32" t="s">
        <v>21</v>
      </c>
      <c r="C51" s="24">
        <v>18</v>
      </c>
    </row>
    <row r="52" spans="1:3" hidden="1" x14ac:dyDescent="0.3">
      <c r="A52" s="26">
        <v>45917</v>
      </c>
      <c r="B52" s="34" t="s">
        <v>21</v>
      </c>
      <c r="C52" s="24">
        <v>82.51</v>
      </c>
    </row>
    <row r="53" spans="1:3" hidden="1" x14ac:dyDescent="0.3">
      <c r="A53" s="26">
        <v>45924</v>
      </c>
      <c r="B53" s="27" t="s">
        <v>7</v>
      </c>
      <c r="C53" s="24">
        <v>-59.67</v>
      </c>
    </row>
    <row r="54" spans="1:3" hidden="1" x14ac:dyDescent="0.3">
      <c r="A54" s="26">
        <v>45924</v>
      </c>
      <c r="B54" s="27" t="s">
        <v>1</v>
      </c>
      <c r="C54" s="24">
        <v>20.8</v>
      </c>
    </row>
    <row r="55" spans="1:3" hidden="1" x14ac:dyDescent="0.3">
      <c r="A55" s="26">
        <v>45924</v>
      </c>
      <c r="B55" s="32" t="s">
        <v>21</v>
      </c>
      <c r="C55" s="24">
        <v>41.35</v>
      </c>
    </row>
    <row r="56" spans="1:3" hidden="1" x14ac:dyDescent="0.3">
      <c r="A56" s="26">
        <v>45924</v>
      </c>
      <c r="B56" s="34" t="s">
        <v>21</v>
      </c>
      <c r="C56" s="24">
        <v>30.64</v>
      </c>
    </row>
    <row r="57" spans="1:3" hidden="1" x14ac:dyDescent="0.3">
      <c r="A57" s="26">
        <v>45925</v>
      </c>
      <c r="B57" s="27" t="s">
        <v>291</v>
      </c>
      <c r="C57" s="24">
        <v>-41.05</v>
      </c>
    </row>
    <row r="58" spans="1:3" hidden="1" x14ac:dyDescent="0.3">
      <c r="A58" s="26">
        <v>45931</v>
      </c>
      <c r="B58" s="27" t="s">
        <v>7</v>
      </c>
      <c r="C58" s="24">
        <v>-92.88</v>
      </c>
    </row>
    <row r="59" spans="1:3" hidden="1" x14ac:dyDescent="0.3">
      <c r="A59" s="26">
        <v>45931</v>
      </c>
      <c r="B59" s="27" t="s">
        <v>1</v>
      </c>
      <c r="C59" s="24">
        <v>20.8</v>
      </c>
    </row>
    <row r="60" spans="1:3" hidden="1" x14ac:dyDescent="0.3">
      <c r="A60" s="26">
        <v>45931</v>
      </c>
      <c r="B60" s="32" t="s">
        <v>21</v>
      </c>
      <c r="C60" s="24">
        <v>21.1</v>
      </c>
    </row>
    <row r="61" spans="1:3" hidden="1" x14ac:dyDescent="0.3">
      <c r="A61" s="26">
        <v>45931</v>
      </c>
      <c r="B61" s="34" t="s">
        <v>21</v>
      </c>
      <c r="C61" s="24">
        <v>74.64</v>
      </c>
    </row>
    <row r="62" spans="1:3" hidden="1" x14ac:dyDescent="0.3">
      <c r="A62" s="26">
        <v>45938</v>
      </c>
      <c r="B62" s="27" t="s">
        <v>7</v>
      </c>
      <c r="C62" s="24">
        <v>-116.23</v>
      </c>
    </row>
    <row r="63" spans="1:3" hidden="1" x14ac:dyDescent="0.3">
      <c r="A63" s="26">
        <v>45938</v>
      </c>
      <c r="B63" s="27" t="s">
        <v>1</v>
      </c>
      <c r="C63" s="24">
        <v>23</v>
      </c>
    </row>
    <row r="64" spans="1:3" hidden="1" x14ac:dyDescent="0.3">
      <c r="A64" s="26">
        <v>45938</v>
      </c>
      <c r="B64" s="32" t="s">
        <v>21</v>
      </c>
      <c r="C64" s="24">
        <v>60.58</v>
      </c>
    </row>
    <row r="65" spans="1:3" hidden="1" x14ac:dyDescent="0.3">
      <c r="A65" s="26">
        <v>45938</v>
      </c>
      <c r="B65" s="34" t="s">
        <v>21</v>
      </c>
      <c r="C65" s="24">
        <v>57.14</v>
      </c>
    </row>
    <row r="66" spans="1:3" hidden="1" x14ac:dyDescent="0.3">
      <c r="A66" s="26">
        <v>45945</v>
      </c>
      <c r="B66" s="27" t="s">
        <v>7</v>
      </c>
      <c r="C66" s="24">
        <v>-140.72999999999999</v>
      </c>
    </row>
    <row r="67" spans="1:3" x14ac:dyDescent="0.3">
      <c r="A67" s="26">
        <v>45945</v>
      </c>
      <c r="B67" s="32" t="s">
        <v>21</v>
      </c>
      <c r="C67" s="24">
        <v>50.28</v>
      </c>
    </row>
    <row r="68" spans="1:3" x14ac:dyDescent="0.3">
      <c r="A68" s="26">
        <v>45945</v>
      </c>
      <c r="B68" s="34" t="s">
        <v>21</v>
      </c>
      <c r="C68" s="24">
        <v>39.68</v>
      </c>
    </row>
    <row r="69" spans="1:3" x14ac:dyDescent="0.3">
      <c r="A69" s="26">
        <v>45952</v>
      </c>
      <c r="B69" s="27" t="s">
        <v>7</v>
      </c>
      <c r="C69" s="24">
        <v>-52.96</v>
      </c>
    </row>
    <row r="70" spans="1:3" x14ac:dyDescent="0.3">
      <c r="A70" s="26">
        <v>45952</v>
      </c>
      <c r="B70" s="32" t="s">
        <v>21</v>
      </c>
      <c r="C70" s="24">
        <v>54.82</v>
      </c>
    </row>
    <row r="71" spans="1:3" x14ac:dyDescent="0.3">
      <c r="A71" s="26">
        <v>45952</v>
      </c>
      <c r="B71" s="34" t="s">
        <v>21</v>
      </c>
      <c r="C71" s="24">
        <v>62.66</v>
      </c>
    </row>
    <row r="72" spans="1:3" x14ac:dyDescent="0.3">
      <c r="A72" s="26">
        <v>45959</v>
      </c>
      <c r="B72" s="27" t="s">
        <v>7</v>
      </c>
      <c r="C72" s="24">
        <v>-117.48</v>
      </c>
    </row>
    <row r="73" spans="1:3" x14ac:dyDescent="0.3">
      <c r="A73" s="26">
        <v>45959</v>
      </c>
      <c r="B73" s="32" t="s">
        <v>21</v>
      </c>
      <c r="C73" s="24">
        <v>33.840000000000003</v>
      </c>
    </row>
    <row r="74" spans="1:3" x14ac:dyDescent="0.3">
      <c r="A74" s="26">
        <v>45959</v>
      </c>
      <c r="B74" s="34" t="s">
        <v>21</v>
      </c>
      <c r="C74" s="24">
        <v>31.44</v>
      </c>
    </row>
    <row r="75" spans="1:3" x14ac:dyDescent="0.3">
      <c r="A75" s="26">
        <v>45966</v>
      </c>
      <c r="B75" s="27" t="s">
        <v>1</v>
      </c>
      <c r="C75" s="24">
        <v>23</v>
      </c>
    </row>
    <row r="76" spans="1:3" x14ac:dyDescent="0.3">
      <c r="A76" s="26">
        <v>45966</v>
      </c>
      <c r="B76" s="32" t="s">
        <v>21</v>
      </c>
      <c r="C76" s="24">
        <v>19.5</v>
      </c>
    </row>
    <row r="77" spans="1:3" x14ac:dyDescent="0.3">
      <c r="A77" s="26">
        <v>45966</v>
      </c>
      <c r="B77" s="34" t="s">
        <v>21</v>
      </c>
      <c r="C77" s="24">
        <v>69.58</v>
      </c>
    </row>
    <row r="78" spans="1:3" x14ac:dyDescent="0.3">
      <c r="A78" s="26">
        <v>45966</v>
      </c>
      <c r="B78" s="27" t="s">
        <v>7</v>
      </c>
      <c r="C78" s="24">
        <v>-65.290000000000006</v>
      </c>
    </row>
    <row r="79" spans="1:3" x14ac:dyDescent="0.3">
      <c r="A79" s="26">
        <v>45973</v>
      </c>
      <c r="B79" s="27" t="s">
        <v>7</v>
      </c>
      <c r="C79" s="24">
        <v>-112.14</v>
      </c>
    </row>
    <row r="80" spans="1:3" x14ac:dyDescent="0.3">
      <c r="A80" s="26">
        <v>45973</v>
      </c>
      <c r="B80" s="27" t="s">
        <v>1</v>
      </c>
      <c r="C80" s="24">
        <v>75.41</v>
      </c>
    </row>
    <row r="81" spans="1:3" x14ac:dyDescent="0.3">
      <c r="A81" s="26">
        <v>45980</v>
      </c>
      <c r="B81" s="27" t="s">
        <v>7</v>
      </c>
      <c r="C81" s="24">
        <v>-75.42</v>
      </c>
    </row>
    <row r="82" spans="1:3" x14ac:dyDescent="0.3">
      <c r="A82" s="26">
        <v>45980</v>
      </c>
      <c r="B82" s="27" t="s">
        <v>1</v>
      </c>
      <c r="C82" s="24">
        <v>107.76</v>
      </c>
    </row>
    <row r="83" spans="1:3" x14ac:dyDescent="0.3">
      <c r="A83" s="26">
        <v>45987</v>
      </c>
      <c r="B83" s="27" t="s">
        <v>7</v>
      </c>
      <c r="C83" s="24">
        <v>-107.78</v>
      </c>
    </row>
    <row r="84" spans="1:3" x14ac:dyDescent="0.3">
      <c r="A84" s="26">
        <v>45987</v>
      </c>
      <c r="B84" s="27" t="s">
        <v>1</v>
      </c>
      <c r="C84" s="24">
        <v>112.32</v>
      </c>
    </row>
    <row r="85" spans="1:3" x14ac:dyDescent="0.3">
      <c r="A85" s="26">
        <v>45994</v>
      </c>
      <c r="B85" s="27" t="s">
        <v>7</v>
      </c>
      <c r="C85" s="24">
        <v>-112.35</v>
      </c>
    </row>
    <row r="86" spans="1:3" x14ac:dyDescent="0.3">
      <c r="A86" s="26">
        <v>45994</v>
      </c>
      <c r="B86" s="27" t="s">
        <v>1</v>
      </c>
      <c r="C86" s="24">
        <v>78.97</v>
      </c>
    </row>
    <row r="87" spans="1:3" x14ac:dyDescent="0.3">
      <c r="A87" s="26">
        <v>46001</v>
      </c>
      <c r="B87" s="27" t="s">
        <v>7</v>
      </c>
      <c r="C87" s="24">
        <v>-115.82</v>
      </c>
    </row>
    <row r="88" spans="1:3" x14ac:dyDescent="0.3">
      <c r="A88" s="26">
        <v>46001</v>
      </c>
      <c r="B88" s="27" t="s">
        <v>1</v>
      </c>
      <c r="C88" s="24">
        <v>76.319999999999993</v>
      </c>
    </row>
    <row r="89" spans="1:3" x14ac:dyDescent="0.3">
      <c r="A89" s="26">
        <v>46008</v>
      </c>
      <c r="B89" s="27" t="s">
        <v>7</v>
      </c>
      <c r="C89" s="24">
        <v>-76.42</v>
      </c>
    </row>
    <row r="90" spans="1:3" x14ac:dyDescent="0.3">
      <c r="A90" s="26">
        <v>46008</v>
      </c>
      <c r="B90" s="27" t="s">
        <v>1</v>
      </c>
      <c r="C90" s="24">
        <v>108.04</v>
      </c>
    </row>
    <row r="91" spans="1:3" x14ac:dyDescent="0.3">
      <c r="A91" s="26">
        <v>46021</v>
      </c>
      <c r="B91" s="27" t="s">
        <v>7</v>
      </c>
      <c r="C91" s="24">
        <v>-107.96</v>
      </c>
    </row>
    <row r="92" spans="1:3" x14ac:dyDescent="0.3">
      <c r="A92" s="26">
        <v>46021</v>
      </c>
      <c r="B92" s="27" t="s">
        <v>1</v>
      </c>
      <c r="C92" s="24">
        <v>17.34</v>
      </c>
    </row>
    <row r="93" spans="1:3" x14ac:dyDescent="0.3">
      <c r="A93" s="26">
        <v>46029</v>
      </c>
      <c r="B93" s="27" t="s">
        <v>7</v>
      </c>
      <c r="C93" s="24">
        <v>-17.36</v>
      </c>
    </row>
    <row r="94" spans="1:3" x14ac:dyDescent="0.3">
      <c r="A94" s="26">
        <v>46029</v>
      </c>
      <c r="B94" s="27" t="s">
        <v>1</v>
      </c>
      <c r="C94" s="24">
        <v>76.16</v>
      </c>
    </row>
    <row r="95" spans="1:3" x14ac:dyDescent="0.3">
      <c r="A95" s="26">
        <v>46036</v>
      </c>
      <c r="B95" s="27" t="s">
        <v>1</v>
      </c>
      <c r="C95" s="24">
        <v>45.54</v>
      </c>
    </row>
    <row r="96" spans="1:3" x14ac:dyDescent="0.3">
      <c r="A96" s="26">
        <v>46036</v>
      </c>
      <c r="B96" s="27" t="s">
        <v>7</v>
      </c>
      <c r="C96" s="24">
        <v>-76.12</v>
      </c>
    </row>
    <row r="97" spans="1:3" x14ac:dyDescent="0.3">
      <c r="A97" s="26">
        <v>46043</v>
      </c>
      <c r="B97" s="27" t="s">
        <v>4</v>
      </c>
      <c r="C97" s="24">
        <v>-48.59</v>
      </c>
    </row>
    <row r="98" spans="1:3" x14ac:dyDescent="0.3">
      <c r="A98" s="26">
        <v>46043</v>
      </c>
      <c r="B98" s="27" t="s">
        <v>7</v>
      </c>
      <c r="C98" s="24">
        <v>-45.54</v>
      </c>
    </row>
    <row r="99" spans="1:3" x14ac:dyDescent="0.3">
      <c r="A99" s="26">
        <v>46043</v>
      </c>
      <c r="B99" s="27" t="s">
        <v>1</v>
      </c>
      <c r="C99" s="24">
        <v>73.430000000000007</v>
      </c>
    </row>
    <row r="100" spans="1:3" x14ac:dyDescent="0.3">
      <c r="A100" s="26">
        <v>46047</v>
      </c>
      <c r="B100" s="27" t="s">
        <v>4</v>
      </c>
      <c r="C100" s="24">
        <v>-25</v>
      </c>
    </row>
    <row r="101" spans="1:3" x14ac:dyDescent="0.3">
      <c r="A101" s="26">
        <v>46050</v>
      </c>
      <c r="B101" s="27" t="s">
        <v>4</v>
      </c>
      <c r="C101" s="24">
        <v>-32.369999999999997</v>
      </c>
    </row>
    <row r="102" spans="1:3" x14ac:dyDescent="0.3">
      <c r="A102" s="26">
        <v>46050</v>
      </c>
      <c r="B102" s="27" t="s">
        <v>1</v>
      </c>
      <c r="C102" s="24">
        <v>32.369999999999997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3350-638A-4B90-ADF7-B588195CD9F3}">
  <sheetPr codeName="Hoja43"/>
  <dimension ref="A1:H45"/>
  <sheetViews>
    <sheetView view="pageBreakPreview" zoomScale="80" zoomScaleNormal="100" zoomScaleSheetLayoutView="80" workbookViewId="0">
      <selection activeCell="C46" sqref="C4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57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555.44999999999993</v>
      </c>
      <c r="D3" s="20">
        <f>SUM(D$4:D$1048576)</f>
        <v>2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45813</v>
      </c>
      <c r="B5" s="32" t="s">
        <v>21</v>
      </c>
      <c r="C5" s="24">
        <v>92.53</v>
      </c>
      <c r="D5" s="30"/>
      <c r="E5" s="30"/>
      <c r="F5" s="30"/>
      <c r="G5" s="22"/>
    </row>
    <row r="6" spans="1:8" hidden="1" x14ac:dyDescent="0.3">
      <c r="A6" s="21">
        <v>45813</v>
      </c>
      <c r="B6" s="34" t="s">
        <v>21</v>
      </c>
      <c r="C6" s="24">
        <v>493.48</v>
      </c>
    </row>
    <row r="7" spans="1:8" hidden="1" x14ac:dyDescent="0.3">
      <c r="A7" s="21">
        <v>45813</v>
      </c>
      <c r="B7" s="46" t="s">
        <v>21</v>
      </c>
      <c r="C7" s="24">
        <v>141.81</v>
      </c>
    </row>
    <row r="8" spans="1:8" hidden="1" x14ac:dyDescent="0.3">
      <c r="A8" s="26">
        <v>45826</v>
      </c>
      <c r="B8" s="27" t="s">
        <v>4</v>
      </c>
      <c r="C8" s="24">
        <v>-727.84</v>
      </c>
    </row>
    <row r="9" spans="1:8" hidden="1" x14ac:dyDescent="0.3">
      <c r="A9" s="26">
        <v>45832</v>
      </c>
      <c r="B9" s="32" t="s">
        <v>21</v>
      </c>
      <c r="C9" s="24">
        <v>69.02</v>
      </c>
    </row>
    <row r="10" spans="1:8" hidden="1" x14ac:dyDescent="0.3">
      <c r="A10" s="26">
        <v>45832</v>
      </c>
      <c r="B10" s="34" t="s">
        <v>21</v>
      </c>
      <c r="C10" s="24">
        <v>502.9</v>
      </c>
    </row>
    <row r="11" spans="1:8" hidden="1" x14ac:dyDescent="0.3">
      <c r="A11" s="26">
        <v>45832</v>
      </c>
      <c r="B11" s="46" t="s">
        <v>21</v>
      </c>
      <c r="C11" s="24">
        <v>139.84</v>
      </c>
    </row>
    <row r="12" spans="1:8" hidden="1" x14ac:dyDescent="0.3">
      <c r="A12" s="26">
        <v>45840</v>
      </c>
      <c r="B12" s="31" t="s">
        <v>4</v>
      </c>
      <c r="C12" s="24">
        <v>-711.35</v>
      </c>
    </row>
    <row r="13" spans="1:8" hidden="1" x14ac:dyDescent="0.3">
      <c r="A13" s="26">
        <v>45846</v>
      </c>
      <c r="B13" s="32" t="s">
        <v>21</v>
      </c>
      <c r="C13" s="24">
        <v>40.18</v>
      </c>
    </row>
    <row r="14" spans="1:8" hidden="1" x14ac:dyDescent="0.3">
      <c r="A14" s="26">
        <v>45846</v>
      </c>
      <c r="B14" s="34" t="s">
        <v>21</v>
      </c>
      <c r="C14" s="24">
        <v>685.37</v>
      </c>
    </row>
    <row r="15" spans="1:8" hidden="1" x14ac:dyDescent="0.3">
      <c r="A15" s="26">
        <v>45867</v>
      </c>
      <c r="B15" s="27" t="s">
        <v>4</v>
      </c>
      <c r="C15" s="24">
        <v>-500</v>
      </c>
    </row>
    <row r="16" spans="1:8" hidden="1" x14ac:dyDescent="0.3">
      <c r="A16" s="26">
        <v>45868</v>
      </c>
      <c r="B16" s="27" t="s">
        <v>4</v>
      </c>
      <c r="C16" s="24">
        <v>-225.79</v>
      </c>
    </row>
    <row r="17" spans="1:3" hidden="1" x14ac:dyDescent="0.3">
      <c r="A17" s="26">
        <v>45881</v>
      </c>
      <c r="B17" s="32" t="s">
        <v>21</v>
      </c>
      <c r="C17" s="24">
        <v>98.82</v>
      </c>
    </row>
    <row r="18" spans="1:3" hidden="1" x14ac:dyDescent="0.3">
      <c r="A18" s="26">
        <v>45881</v>
      </c>
      <c r="B18" s="34" t="s">
        <v>21</v>
      </c>
      <c r="C18" s="24">
        <v>383.72</v>
      </c>
    </row>
    <row r="19" spans="1:3" hidden="1" x14ac:dyDescent="0.3">
      <c r="A19" s="26">
        <v>45881</v>
      </c>
      <c r="B19" s="46" t="s">
        <v>21</v>
      </c>
      <c r="C19" s="24">
        <v>140.57</v>
      </c>
    </row>
    <row r="20" spans="1:3" hidden="1" x14ac:dyDescent="0.3">
      <c r="A20" s="26">
        <v>45890</v>
      </c>
      <c r="B20" s="27" t="s">
        <v>4</v>
      </c>
      <c r="C20" s="24">
        <v>-617.42999999999995</v>
      </c>
    </row>
    <row r="21" spans="1:3" hidden="1" x14ac:dyDescent="0.3">
      <c r="A21" s="26">
        <v>45894</v>
      </c>
      <c r="B21" s="27" t="s">
        <v>4</v>
      </c>
      <c r="C21" s="24">
        <v>-5.85</v>
      </c>
    </row>
    <row r="22" spans="1:3" x14ac:dyDescent="0.3">
      <c r="A22" s="26">
        <v>45895</v>
      </c>
      <c r="B22" s="32" t="s">
        <v>21</v>
      </c>
      <c r="C22" s="24">
        <v>94.34</v>
      </c>
    </row>
    <row r="23" spans="1:3" x14ac:dyDescent="0.3">
      <c r="A23" s="26">
        <v>45895</v>
      </c>
      <c r="B23" s="34" t="s">
        <v>21</v>
      </c>
      <c r="C23" s="24">
        <v>786.4</v>
      </c>
    </row>
    <row r="24" spans="1:3" x14ac:dyDescent="0.3">
      <c r="A24" s="26">
        <v>45895</v>
      </c>
      <c r="B24" s="46" t="s">
        <v>21</v>
      </c>
      <c r="C24" s="24">
        <v>225.13</v>
      </c>
    </row>
    <row r="25" spans="1:3" x14ac:dyDescent="0.3">
      <c r="A25" s="26">
        <v>45908</v>
      </c>
      <c r="B25" s="27" t="s">
        <v>4</v>
      </c>
      <c r="C25" s="24">
        <v>-844.1</v>
      </c>
    </row>
    <row r="26" spans="1:3" x14ac:dyDescent="0.3">
      <c r="A26" s="26">
        <v>45909</v>
      </c>
      <c r="B26" s="27" t="s">
        <v>4</v>
      </c>
      <c r="C26" s="24">
        <v>-267.77</v>
      </c>
    </row>
    <row r="27" spans="1:3" x14ac:dyDescent="0.3">
      <c r="A27" s="26">
        <v>45909</v>
      </c>
      <c r="B27" s="32" t="s">
        <v>21</v>
      </c>
      <c r="C27" s="24">
        <v>192.97</v>
      </c>
    </row>
    <row r="28" spans="1:3" x14ac:dyDescent="0.3">
      <c r="A28" s="26">
        <v>45909</v>
      </c>
      <c r="B28" s="34" t="s">
        <v>21</v>
      </c>
      <c r="C28" s="24">
        <v>682.72</v>
      </c>
    </row>
    <row r="29" spans="1:3" x14ac:dyDescent="0.3">
      <c r="A29" s="26">
        <v>45909</v>
      </c>
      <c r="B29" s="46" t="s">
        <v>21</v>
      </c>
      <c r="C29" s="24">
        <v>84.36</v>
      </c>
    </row>
    <row r="30" spans="1:3" x14ac:dyDescent="0.3">
      <c r="A30" s="26">
        <v>45936</v>
      </c>
      <c r="B30" s="27" t="s">
        <v>4</v>
      </c>
      <c r="C30" s="24">
        <v>-961.01</v>
      </c>
    </row>
    <row r="31" spans="1:3" x14ac:dyDescent="0.3">
      <c r="A31" s="26">
        <v>45937</v>
      </c>
      <c r="B31" s="32" t="s">
        <v>21</v>
      </c>
      <c r="C31" s="24">
        <v>120.38</v>
      </c>
    </row>
    <row r="32" spans="1:3" x14ac:dyDescent="0.3">
      <c r="A32" s="26">
        <v>45937</v>
      </c>
      <c r="B32" s="34" t="s">
        <v>21</v>
      </c>
      <c r="C32" s="24">
        <v>865.61</v>
      </c>
    </row>
    <row r="33" spans="1:4" x14ac:dyDescent="0.3">
      <c r="A33" s="26">
        <v>45937</v>
      </c>
      <c r="B33" s="46" t="s">
        <v>21</v>
      </c>
      <c r="C33" s="24">
        <v>62.76</v>
      </c>
    </row>
    <row r="34" spans="1:4" x14ac:dyDescent="0.3">
      <c r="A34" s="26">
        <v>45954</v>
      </c>
      <c r="B34" s="27" t="s">
        <v>4</v>
      </c>
      <c r="C34" s="24">
        <v>-1034.77</v>
      </c>
    </row>
    <row r="35" spans="1:4" x14ac:dyDescent="0.3">
      <c r="A35" s="26">
        <v>45958</v>
      </c>
      <c r="B35" s="32" t="s">
        <v>21</v>
      </c>
      <c r="C35" s="24">
        <v>131.15</v>
      </c>
    </row>
    <row r="36" spans="1:4" x14ac:dyDescent="0.3">
      <c r="A36" s="26">
        <v>45958</v>
      </c>
      <c r="B36" s="34" t="s">
        <v>21</v>
      </c>
      <c r="C36" s="24">
        <v>485.27</v>
      </c>
    </row>
    <row r="37" spans="1:4" x14ac:dyDescent="0.3">
      <c r="A37" s="26">
        <v>45958</v>
      </c>
      <c r="B37" s="46" t="s">
        <v>21</v>
      </c>
      <c r="C37" s="24">
        <v>314.68</v>
      </c>
    </row>
    <row r="38" spans="1:4" x14ac:dyDescent="0.3">
      <c r="A38" s="26">
        <v>45960</v>
      </c>
      <c r="B38" s="27" t="s">
        <v>4</v>
      </c>
      <c r="C38" s="24">
        <v>-7</v>
      </c>
    </row>
    <row r="39" spans="1:4" x14ac:dyDescent="0.3">
      <c r="A39" s="26">
        <v>46013</v>
      </c>
      <c r="B39" s="27" t="s">
        <v>4</v>
      </c>
      <c r="C39" s="24">
        <v>-969.39</v>
      </c>
    </row>
    <row r="40" spans="1:4" x14ac:dyDescent="0.3">
      <c r="A40" s="26">
        <v>46014</v>
      </c>
      <c r="B40" s="27" t="s">
        <v>1</v>
      </c>
      <c r="C40" s="24">
        <v>651.99</v>
      </c>
      <c r="D40" s="25">
        <v>1</v>
      </c>
    </row>
    <row r="41" spans="1:4" x14ac:dyDescent="0.3">
      <c r="A41" s="26">
        <v>46027</v>
      </c>
      <c r="B41" s="27" t="s">
        <v>4</v>
      </c>
      <c r="C41" s="24">
        <v>-613.70000000000005</v>
      </c>
    </row>
    <row r="42" spans="1:4" x14ac:dyDescent="0.3">
      <c r="A42" s="26">
        <v>46028</v>
      </c>
      <c r="B42" s="27" t="s">
        <v>1</v>
      </c>
      <c r="C42" s="24">
        <v>1033.1199999999999</v>
      </c>
      <c r="D42" s="25">
        <v>1</v>
      </c>
    </row>
    <row r="43" spans="1:4" x14ac:dyDescent="0.3">
      <c r="A43" s="26">
        <v>46049</v>
      </c>
      <c r="B43" s="27" t="s">
        <v>4</v>
      </c>
      <c r="C43" s="24">
        <v>-197.29</v>
      </c>
    </row>
    <row r="44" spans="1:4" x14ac:dyDescent="0.3">
      <c r="A44" s="26">
        <v>46049</v>
      </c>
      <c r="B44" s="27" t="s">
        <v>4</v>
      </c>
      <c r="C44" s="24">
        <v>-835.83</v>
      </c>
    </row>
    <row r="45" spans="1:4" x14ac:dyDescent="0.3">
      <c r="A45" s="26">
        <v>46049</v>
      </c>
      <c r="B45" s="27" t="s">
        <v>1</v>
      </c>
      <c r="C45" s="24">
        <v>555.45000000000005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0AC54-C212-4A07-A069-6C7C8F63FBE4}">
  <dimension ref="A1:H1048576"/>
  <sheetViews>
    <sheetView view="pageBreakPreview" zoomScale="80" zoomScaleNormal="100" zoomScaleSheetLayoutView="80" workbookViewId="0">
      <selection activeCell="C77" sqref="C7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356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434.46000000000026</v>
      </c>
      <c r="D3" s="20">
        <f>SUM(D$4:D$1048576)</f>
        <v>3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45853</v>
      </c>
      <c r="B5" s="27" t="s">
        <v>21</v>
      </c>
      <c r="C5" s="24">
        <v>684.4</v>
      </c>
      <c r="D5" s="30"/>
      <c r="E5" s="30"/>
      <c r="F5" s="30"/>
      <c r="G5" s="22"/>
    </row>
    <row r="6" spans="1:8" hidden="1" x14ac:dyDescent="0.3">
      <c r="A6" s="21">
        <v>45853</v>
      </c>
      <c r="B6" s="32" t="s">
        <v>1</v>
      </c>
      <c r="C6" s="24">
        <v>55.31</v>
      </c>
    </row>
    <row r="7" spans="1:8" hidden="1" x14ac:dyDescent="0.3">
      <c r="A7" s="21">
        <v>45868</v>
      </c>
      <c r="B7" s="27" t="s">
        <v>4</v>
      </c>
      <c r="C7" s="24">
        <v>-80.72</v>
      </c>
    </row>
    <row r="8" spans="1:8" hidden="1" x14ac:dyDescent="0.3">
      <c r="A8" s="21">
        <v>45868</v>
      </c>
      <c r="B8" s="27" t="s">
        <v>4</v>
      </c>
      <c r="C8" s="24">
        <v>-161.44999999999999</v>
      </c>
    </row>
    <row r="9" spans="1:8" hidden="1" x14ac:dyDescent="0.3">
      <c r="A9" s="26">
        <v>45869</v>
      </c>
      <c r="B9" s="27" t="s">
        <v>4</v>
      </c>
      <c r="C9" s="24">
        <v>-160.63</v>
      </c>
    </row>
    <row r="10" spans="1:8" hidden="1" x14ac:dyDescent="0.3">
      <c r="A10" s="26">
        <v>45874</v>
      </c>
      <c r="B10" s="27" t="s">
        <v>4</v>
      </c>
      <c r="C10" s="24">
        <v>-332.81</v>
      </c>
    </row>
    <row r="11" spans="1:8" hidden="1" x14ac:dyDescent="0.3">
      <c r="A11" s="26">
        <v>45874</v>
      </c>
      <c r="B11" s="27" t="s">
        <v>1</v>
      </c>
      <c r="C11" s="24">
        <v>776</v>
      </c>
      <c r="D11" s="25">
        <v>10</v>
      </c>
    </row>
    <row r="12" spans="1:8" hidden="1" x14ac:dyDescent="0.3">
      <c r="A12" s="26">
        <v>45874</v>
      </c>
      <c r="B12" s="32" t="s">
        <v>1</v>
      </c>
      <c r="C12" s="24">
        <v>7.5</v>
      </c>
    </row>
    <row r="13" spans="1:8" hidden="1" x14ac:dyDescent="0.3">
      <c r="A13" s="26">
        <v>45886</v>
      </c>
      <c r="B13" s="27" t="s">
        <v>4</v>
      </c>
      <c r="C13" s="24">
        <v>-211.84</v>
      </c>
    </row>
    <row r="14" spans="1:8" hidden="1" x14ac:dyDescent="0.3">
      <c r="A14" s="26">
        <v>45886</v>
      </c>
      <c r="B14" s="27" t="s">
        <v>4</v>
      </c>
      <c r="C14" s="24">
        <v>-146.1</v>
      </c>
    </row>
    <row r="15" spans="1:8" hidden="1" x14ac:dyDescent="0.3">
      <c r="A15" s="26">
        <v>45890</v>
      </c>
      <c r="B15" s="27" t="s">
        <v>4</v>
      </c>
      <c r="C15" s="24">
        <v>-121.95</v>
      </c>
    </row>
    <row r="16" spans="1:8" hidden="1" x14ac:dyDescent="0.3">
      <c r="A16" s="26">
        <v>45890</v>
      </c>
      <c r="B16" s="27" t="s">
        <v>4</v>
      </c>
      <c r="C16" s="24">
        <v>-64.56</v>
      </c>
    </row>
    <row r="17" spans="1:4" hidden="1" x14ac:dyDescent="0.3">
      <c r="A17" s="26">
        <v>45891</v>
      </c>
      <c r="B17" s="27" t="s">
        <v>4</v>
      </c>
      <c r="C17" s="24">
        <v>-235.19</v>
      </c>
    </row>
    <row r="18" spans="1:4" hidden="1" x14ac:dyDescent="0.3">
      <c r="A18" s="26">
        <v>45890</v>
      </c>
      <c r="B18" s="27" t="s">
        <v>1</v>
      </c>
      <c r="C18" s="24">
        <v>855.8</v>
      </c>
      <c r="D18" s="25">
        <v>-10</v>
      </c>
    </row>
    <row r="19" spans="1:4" hidden="1" x14ac:dyDescent="0.3">
      <c r="A19" s="26">
        <v>45890</v>
      </c>
      <c r="B19" s="27" t="s">
        <v>22</v>
      </c>
      <c r="D19" s="25">
        <v>19</v>
      </c>
    </row>
    <row r="20" spans="1:4" hidden="1" x14ac:dyDescent="0.3">
      <c r="A20" s="26">
        <v>45890</v>
      </c>
      <c r="B20" s="32" t="s">
        <v>1</v>
      </c>
      <c r="C20" s="24">
        <v>84.2</v>
      </c>
    </row>
    <row r="21" spans="1:4" hidden="1" x14ac:dyDescent="0.3">
      <c r="A21" s="26">
        <v>45902</v>
      </c>
      <c r="B21" s="27" t="s">
        <v>4</v>
      </c>
      <c r="C21" s="24">
        <v>-936.66</v>
      </c>
    </row>
    <row r="22" spans="1:4" hidden="1" x14ac:dyDescent="0.3">
      <c r="A22" s="26">
        <v>45903</v>
      </c>
      <c r="B22" s="27" t="s">
        <v>4</v>
      </c>
      <c r="C22" s="24">
        <v>-44.51</v>
      </c>
    </row>
    <row r="23" spans="1:4" hidden="1" x14ac:dyDescent="0.3">
      <c r="A23" s="26">
        <v>45902</v>
      </c>
      <c r="B23" s="27" t="s">
        <v>1</v>
      </c>
      <c r="C23" s="24">
        <v>662.4</v>
      </c>
      <c r="D23" s="25">
        <f>-19+18</f>
        <v>-1</v>
      </c>
    </row>
    <row r="24" spans="1:4" hidden="1" x14ac:dyDescent="0.3">
      <c r="A24" s="26">
        <v>45902</v>
      </c>
      <c r="B24" s="32" t="s">
        <v>1</v>
      </c>
      <c r="C24" s="24">
        <v>44.61</v>
      </c>
    </row>
    <row r="25" spans="1:4" hidden="1" x14ac:dyDescent="0.3">
      <c r="A25" s="26">
        <v>45922</v>
      </c>
      <c r="B25" s="27" t="s">
        <v>4</v>
      </c>
      <c r="C25" s="24">
        <v>-362.25</v>
      </c>
    </row>
    <row r="26" spans="1:4" hidden="1" x14ac:dyDescent="0.3">
      <c r="A26" s="26">
        <v>45923</v>
      </c>
      <c r="B26" s="27" t="s">
        <v>1</v>
      </c>
      <c r="C26" s="24">
        <v>855.8</v>
      </c>
    </row>
    <row r="27" spans="1:4" hidden="1" x14ac:dyDescent="0.3">
      <c r="A27" s="26">
        <v>45923</v>
      </c>
      <c r="B27" s="32" t="s">
        <v>1</v>
      </c>
      <c r="C27" s="24">
        <v>157.57</v>
      </c>
    </row>
    <row r="28" spans="1:4" hidden="1" x14ac:dyDescent="0.3">
      <c r="A28" s="26">
        <v>45930</v>
      </c>
      <c r="B28" s="27" t="s">
        <v>4</v>
      </c>
      <c r="C28" s="24">
        <v>-64.180000000000007</v>
      </c>
    </row>
    <row r="29" spans="1:4" hidden="1" x14ac:dyDescent="0.3">
      <c r="A29" s="26">
        <v>45931</v>
      </c>
      <c r="B29" s="27" t="s">
        <v>1</v>
      </c>
      <c r="C29" s="24">
        <v>639</v>
      </c>
    </row>
    <row r="30" spans="1:4" hidden="1" x14ac:dyDescent="0.3">
      <c r="A30" s="26">
        <v>45932</v>
      </c>
      <c r="B30" s="27" t="s">
        <v>4</v>
      </c>
      <c r="C30" s="24">
        <v>-165.47</v>
      </c>
    </row>
    <row r="31" spans="1:4" hidden="1" x14ac:dyDescent="0.3">
      <c r="A31" s="26">
        <v>45933</v>
      </c>
      <c r="B31" s="27" t="s">
        <v>4</v>
      </c>
      <c r="C31" s="24">
        <v>-174.73</v>
      </c>
    </row>
    <row r="32" spans="1:4" hidden="1" x14ac:dyDescent="0.3">
      <c r="A32" s="26">
        <v>45937</v>
      </c>
      <c r="B32" s="27" t="s">
        <v>4</v>
      </c>
      <c r="C32" s="24">
        <v>-469.86</v>
      </c>
    </row>
    <row r="33" spans="1:4" hidden="1" x14ac:dyDescent="0.3">
      <c r="A33" s="26">
        <v>45938</v>
      </c>
      <c r="B33" s="27" t="s">
        <v>4</v>
      </c>
      <c r="C33" s="24">
        <v>-300.14999999999998</v>
      </c>
    </row>
    <row r="34" spans="1:4" hidden="1" x14ac:dyDescent="0.3">
      <c r="A34" s="26">
        <v>45940</v>
      </c>
      <c r="B34" s="27" t="s">
        <v>4</v>
      </c>
      <c r="C34" s="24">
        <v>-139.12</v>
      </c>
    </row>
    <row r="35" spans="1:4" hidden="1" x14ac:dyDescent="0.3">
      <c r="A35" s="26">
        <v>45942</v>
      </c>
      <c r="B35" s="27" t="s">
        <v>4</v>
      </c>
      <c r="C35" s="24">
        <v>-127.02</v>
      </c>
    </row>
    <row r="36" spans="1:4" hidden="1" x14ac:dyDescent="0.3">
      <c r="A36" s="26">
        <v>45944</v>
      </c>
      <c r="B36" s="27" t="s">
        <v>4</v>
      </c>
      <c r="C36" s="24">
        <v>-70.91</v>
      </c>
    </row>
    <row r="37" spans="1:4" hidden="1" x14ac:dyDescent="0.3">
      <c r="A37" s="26">
        <v>45945</v>
      </c>
      <c r="B37" s="27" t="s">
        <v>4</v>
      </c>
      <c r="C37" s="24">
        <v>-441.07</v>
      </c>
    </row>
    <row r="38" spans="1:4" hidden="1" x14ac:dyDescent="0.3">
      <c r="A38" s="26">
        <v>45947</v>
      </c>
      <c r="B38" s="27" t="s">
        <v>4</v>
      </c>
      <c r="C38" s="24">
        <v>-256.20999999999998</v>
      </c>
    </row>
    <row r="39" spans="1:4" hidden="1" x14ac:dyDescent="0.3">
      <c r="A39" s="26">
        <v>45946</v>
      </c>
      <c r="B39" s="27" t="s">
        <v>1</v>
      </c>
      <c r="C39" s="24">
        <v>230</v>
      </c>
    </row>
    <row r="40" spans="1:4" hidden="1" x14ac:dyDescent="0.3">
      <c r="A40" s="26">
        <v>45951</v>
      </c>
      <c r="B40" s="27" t="s">
        <v>1</v>
      </c>
      <c r="C40" s="24">
        <v>460</v>
      </c>
    </row>
    <row r="41" spans="1:4" hidden="1" x14ac:dyDescent="0.3">
      <c r="A41" s="26">
        <v>45954</v>
      </c>
      <c r="B41" s="27" t="s">
        <v>4</v>
      </c>
      <c r="C41" s="24">
        <v>-120</v>
      </c>
    </row>
    <row r="42" spans="1:4" hidden="1" x14ac:dyDescent="0.3">
      <c r="A42" s="26">
        <v>45957</v>
      </c>
      <c r="B42" s="27" t="s">
        <v>4</v>
      </c>
      <c r="C42" s="24">
        <v>-224.15</v>
      </c>
    </row>
    <row r="43" spans="1:4" hidden="1" x14ac:dyDescent="0.3">
      <c r="A43" s="26">
        <v>45960</v>
      </c>
      <c r="B43" s="27" t="s">
        <v>4</v>
      </c>
      <c r="C43" s="24">
        <v>-101.05</v>
      </c>
    </row>
    <row r="44" spans="1:4" x14ac:dyDescent="0.3">
      <c r="A44" s="26">
        <v>45961</v>
      </c>
      <c r="B44" s="27" t="s">
        <v>1</v>
      </c>
      <c r="C44" s="24">
        <v>460</v>
      </c>
      <c r="D44" s="25">
        <v>-18</v>
      </c>
    </row>
    <row r="45" spans="1:4" x14ac:dyDescent="0.3">
      <c r="A45" s="26">
        <v>45961</v>
      </c>
      <c r="B45" s="32" t="s">
        <v>1</v>
      </c>
      <c r="C45" s="24">
        <v>25.3</v>
      </c>
    </row>
    <row r="46" spans="1:4" x14ac:dyDescent="0.3">
      <c r="A46" s="26">
        <v>45967</v>
      </c>
      <c r="B46" s="27" t="s">
        <v>4</v>
      </c>
      <c r="C46" s="24">
        <v>-29.51</v>
      </c>
    </row>
    <row r="47" spans="1:4" x14ac:dyDescent="0.3">
      <c r="A47" s="26">
        <v>45966</v>
      </c>
      <c r="B47" s="27" t="s">
        <v>1</v>
      </c>
      <c r="C47" s="24">
        <v>1725</v>
      </c>
      <c r="D47" s="25">
        <v>46</v>
      </c>
    </row>
    <row r="48" spans="1:4" x14ac:dyDescent="0.3">
      <c r="A48" s="26">
        <v>45966</v>
      </c>
      <c r="B48" s="32" t="s">
        <v>1</v>
      </c>
      <c r="C48" s="24">
        <v>29.51</v>
      </c>
    </row>
    <row r="49" spans="1:4" x14ac:dyDescent="0.3">
      <c r="A49" s="26">
        <v>45971</v>
      </c>
      <c r="B49" s="27" t="s">
        <v>4</v>
      </c>
      <c r="C49" s="24">
        <v>-190.44</v>
      </c>
    </row>
    <row r="50" spans="1:4" x14ac:dyDescent="0.3">
      <c r="A50" s="26">
        <v>45971</v>
      </c>
      <c r="B50" s="27" t="s">
        <v>4</v>
      </c>
      <c r="C50" s="24">
        <v>-264.02</v>
      </c>
    </row>
    <row r="51" spans="1:4" x14ac:dyDescent="0.3">
      <c r="A51" s="26">
        <v>45972</v>
      </c>
      <c r="B51" s="27" t="s">
        <v>4</v>
      </c>
      <c r="C51" s="24">
        <v>-30.86</v>
      </c>
    </row>
    <row r="52" spans="1:4" x14ac:dyDescent="0.3">
      <c r="A52" s="26">
        <v>45973</v>
      </c>
      <c r="B52" s="27" t="s">
        <v>4</v>
      </c>
      <c r="C52" s="24">
        <v>-214.55</v>
      </c>
    </row>
    <row r="53" spans="1:4" x14ac:dyDescent="0.3">
      <c r="A53" s="26">
        <v>45973</v>
      </c>
      <c r="B53" s="27" t="s">
        <v>4</v>
      </c>
      <c r="C53" s="24">
        <v>-190.95</v>
      </c>
    </row>
    <row r="54" spans="1:4" x14ac:dyDescent="0.3">
      <c r="A54" s="26">
        <v>45972</v>
      </c>
      <c r="B54" s="27" t="s">
        <v>1</v>
      </c>
      <c r="C54" s="24">
        <v>474.35</v>
      </c>
    </row>
    <row r="55" spans="1:4" x14ac:dyDescent="0.3">
      <c r="A55" s="26">
        <v>45974</v>
      </c>
      <c r="B55" s="27" t="s">
        <v>4</v>
      </c>
      <c r="C55" s="24">
        <v>-68.849999999999994</v>
      </c>
    </row>
    <row r="56" spans="1:4" x14ac:dyDescent="0.3">
      <c r="A56" s="26">
        <v>45975</v>
      </c>
      <c r="B56" s="27" t="s">
        <v>4</v>
      </c>
      <c r="C56" s="24">
        <v>-173.71</v>
      </c>
    </row>
    <row r="57" spans="1:4" x14ac:dyDescent="0.3">
      <c r="A57" s="26">
        <v>45975</v>
      </c>
      <c r="B57" s="27" t="s">
        <v>4</v>
      </c>
      <c r="C57" s="24">
        <v>-93.67</v>
      </c>
    </row>
    <row r="58" spans="1:4" x14ac:dyDescent="0.3">
      <c r="A58" s="26">
        <v>45978</v>
      </c>
      <c r="B58" s="27" t="s">
        <v>4</v>
      </c>
      <c r="C58" s="24">
        <v>-198.66</v>
      </c>
    </row>
    <row r="59" spans="1:4" x14ac:dyDescent="0.3">
      <c r="A59" s="26">
        <v>45981</v>
      </c>
      <c r="B59" s="27" t="s">
        <v>4</v>
      </c>
      <c r="C59" s="24">
        <v>-100</v>
      </c>
    </row>
    <row r="60" spans="1:4" x14ac:dyDescent="0.3">
      <c r="A60" s="26">
        <v>45981</v>
      </c>
      <c r="B60" s="27" t="s">
        <v>1</v>
      </c>
      <c r="C60" s="24">
        <v>230</v>
      </c>
    </row>
    <row r="61" spans="1:4" x14ac:dyDescent="0.3">
      <c r="A61" s="26">
        <v>45982</v>
      </c>
      <c r="B61" s="27" t="s">
        <v>1</v>
      </c>
      <c r="C61" s="24">
        <v>1126.76</v>
      </c>
      <c r="D61" s="25">
        <v>40</v>
      </c>
    </row>
    <row r="62" spans="1:4" x14ac:dyDescent="0.3">
      <c r="A62" s="26">
        <v>45985</v>
      </c>
      <c r="B62" s="27" t="s">
        <v>4</v>
      </c>
      <c r="C62" s="24">
        <v>-168.65</v>
      </c>
    </row>
    <row r="63" spans="1:4" x14ac:dyDescent="0.3">
      <c r="A63" s="26">
        <v>45985</v>
      </c>
      <c r="B63" s="27" t="s">
        <v>4</v>
      </c>
      <c r="C63" s="24">
        <v>-100</v>
      </c>
    </row>
    <row r="64" spans="1:4" x14ac:dyDescent="0.3">
      <c r="A64" s="26">
        <v>45985</v>
      </c>
      <c r="B64" s="27" t="s">
        <v>4</v>
      </c>
      <c r="C64" s="24">
        <v>-49.36</v>
      </c>
    </row>
    <row r="65" spans="1:4" x14ac:dyDescent="0.3">
      <c r="A65" s="26">
        <v>45986</v>
      </c>
      <c r="B65" s="27" t="s">
        <v>4</v>
      </c>
      <c r="C65" s="24">
        <v>-326.39</v>
      </c>
    </row>
    <row r="66" spans="1:4" x14ac:dyDescent="0.3">
      <c r="A66" s="26">
        <v>45986</v>
      </c>
      <c r="B66" s="27" t="s">
        <v>4</v>
      </c>
      <c r="C66" s="24">
        <v>-71.98</v>
      </c>
    </row>
    <row r="67" spans="1:4" x14ac:dyDescent="0.3">
      <c r="A67" s="26">
        <v>45986</v>
      </c>
      <c r="B67" s="27" t="s">
        <v>4</v>
      </c>
      <c r="C67" s="24">
        <v>-287.93</v>
      </c>
    </row>
    <row r="68" spans="1:4" x14ac:dyDescent="0.3">
      <c r="A68" s="26">
        <v>45986</v>
      </c>
      <c r="B68" s="27" t="s">
        <v>4</v>
      </c>
      <c r="C68" s="24">
        <v>-143.97</v>
      </c>
    </row>
    <row r="69" spans="1:4" x14ac:dyDescent="0.3">
      <c r="A69" s="26">
        <v>45986</v>
      </c>
      <c r="B69" s="27" t="s">
        <v>4</v>
      </c>
      <c r="C69" s="24">
        <v>-10.61</v>
      </c>
    </row>
    <row r="70" spans="1:4" x14ac:dyDescent="0.3">
      <c r="A70" s="26">
        <v>46008</v>
      </c>
      <c r="B70" s="27" t="s">
        <v>4</v>
      </c>
      <c r="C70" s="24">
        <v>-198.86</v>
      </c>
    </row>
    <row r="71" spans="1:4" x14ac:dyDescent="0.3">
      <c r="A71" s="26">
        <v>46009</v>
      </c>
      <c r="B71" s="27" t="s">
        <v>4</v>
      </c>
      <c r="C71" s="24">
        <v>-89.43</v>
      </c>
    </row>
    <row r="72" spans="1:4" x14ac:dyDescent="0.3">
      <c r="A72" s="26">
        <v>46012</v>
      </c>
      <c r="B72" s="27" t="s">
        <v>4</v>
      </c>
      <c r="C72" s="24">
        <v>-350.38</v>
      </c>
    </row>
    <row r="73" spans="1:4" x14ac:dyDescent="0.3">
      <c r="A73" s="26">
        <v>46027</v>
      </c>
      <c r="B73" s="27" t="s">
        <v>4</v>
      </c>
      <c r="C73" s="24">
        <v>-33.18</v>
      </c>
    </row>
    <row r="74" spans="1:4" x14ac:dyDescent="0.3">
      <c r="A74" s="26">
        <v>46027</v>
      </c>
      <c r="B74" s="27" t="s">
        <v>4</v>
      </c>
      <c r="C74" s="24">
        <v>-150</v>
      </c>
    </row>
    <row r="75" spans="1:4" x14ac:dyDescent="0.3">
      <c r="A75" s="26">
        <v>46045</v>
      </c>
      <c r="B75" s="27" t="s">
        <v>22</v>
      </c>
      <c r="D75" s="25">
        <v>-83</v>
      </c>
    </row>
    <row r="76" spans="1:4" x14ac:dyDescent="0.3">
      <c r="A76" s="26">
        <v>46055</v>
      </c>
      <c r="B76" s="27" t="s">
        <v>4</v>
      </c>
      <c r="C76" s="24">
        <v>-100.5</v>
      </c>
    </row>
    <row r="1048576" spans="1:1" x14ac:dyDescent="0.3">
      <c r="A1048576" s="2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0715-4DC4-45F8-8B8E-065D53E21648}">
  <sheetPr codeName="Hoja44"/>
  <dimension ref="A1:H45"/>
  <sheetViews>
    <sheetView view="pageBreakPreview" zoomScale="80" zoomScaleNormal="100" zoomScaleSheetLayoutView="80" workbookViewId="0">
      <selection activeCell="C46" sqref="C4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163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164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184.72999999999996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45819</v>
      </c>
      <c r="B5" s="32" t="s">
        <v>21</v>
      </c>
      <c r="C5" s="24">
        <v>9.84</v>
      </c>
      <c r="D5" s="30"/>
      <c r="E5" s="30"/>
      <c r="F5" s="30"/>
      <c r="G5" s="22"/>
    </row>
    <row r="6" spans="1:8" hidden="1" x14ac:dyDescent="0.3">
      <c r="A6" s="21">
        <v>45819</v>
      </c>
      <c r="B6" s="34" t="s">
        <v>21</v>
      </c>
      <c r="C6" s="24">
        <v>63.67</v>
      </c>
    </row>
    <row r="7" spans="1:8" hidden="1" x14ac:dyDescent="0.3">
      <c r="A7" s="21">
        <v>45826</v>
      </c>
      <c r="B7" s="27" t="s">
        <v>4</v>
      </c>
      <c r="C7" s="24">
        <v>-73.510000000000005</v>
      </c>
    </row>
    <row r="8" spans="1:8" hidden="1" x14ac:dyDescent="0.3">
      <c r="A8" s="21">
        <v>45826</v>
      </c>
      <c r="B8" s="34" t="s">
        <v>21</v>
      </c>
      <c r="C8" s="24">
        <v>27.76</v>
      </c>
    </row>
    <row r="9" spans="1:8" hidden="1" x14ac:dyDescent="0.3">
      <c r="A9" s="26">
        <v>45833</v>
      </c>
      <c r="B9" s="27" t="s">
        <v>4</v>
      </c>
      <c r="C9" s="24">
        <v>-27.76</v>
      </c>
    </row>
    <row r="10" spans="1:8" hidden="1" x14ac:dyDescent="0.3">
      <c r="A10" s="26">
        <v>45833</v>
      </c>
      <c r="B10" s="32" t="s">
        <v>21</v>
      </c>
      <c r="C10" s="24">
        <v>20.77</v>
      </c>
    </row>
    <row r="11" spans="1:8" hidden="1" x14ac:dyDescent="0.3">
      <c r="A11" s="26">
        <v>45833</v>
      </c>
      <c r="B11" s="34" t="s">
        <v>21</v>
      </c>
      <c r="C11" s="24">
        <v>25.84</v>
      </c>
    </row>
    <row r="12" spans="1:8" hidden="1" x14ac:dyDescent="0.3">
      <c r="A12" s="26">
        <v>45833</v>
      </c>
      <c r="B12" s="46" t="s">
        <v>21</v>
      </c>
      <c r="C12" s="24">
        <v>4.68</v>
      </c>
    </row>
    <row r="13" spans="1:8" hidden="1" x14ac:dyDescent="0.3">
      <c r="A13" s="26">
        <v>45840</v>
      </c>
      <c r="B13" s="27" t="s">
        <v>4</v>
      </c>
      <c r="C13" s="24">
        <v>-51.29</v>
      </c>
    </row>
    <row r="14" spans="1:8" hidden="1" x14ac:dyDescent="0.3">
      <c r="A14" s="26">
        <v>45840</v>
      </c>
      <c r="B14" s="32" t="s">
        <v>21</v>
      </c>
      <c r="C14" s="24">
        <v>24.84</v>
      </c>
    </row>
    <row r="15" spans="1:8" hidden="1" x14ac:dyDescent="0.3">
      <c r="A15" s="26">
        <v>45840</v>
      </c>
      <c r="B15" s="34" t="s">
        <v>21</v>
      </c>
      <c r="C15" s="24">
        <v>70.2</v>
      </c>
    </row>
    <row r="16" spans="1:8" hidden="1" x14ac:dyDescent="0.3">
      <c r="A16" s="26">
        <v>45847</v>
      </c>
      <c r="B16" s="27" t="s">
        <v>4</v>
      </c>
      <c r="C16" s="24">
        <v>-95.04</v>
      </c>
    </row>
    <row r="17" spans="1:3" hidden="1" x14ac:dyDescent="0.3">
      <c r="A17" s="26">
        <v>45847</v>
      </c>
      <c r="B17" s="34" t="s">
        <v>21</v>
      </c>
      <c r="C17" s="24">
        <v>29.42</v>
      </c>
    </row>
    <row r="18" spans="1:3" hidden="1" x14ac:dyDescent="0.3">
      <c r="A18" s="26">
        <v>45854</v>
      </c>
      <c r="B18" s="27" t="s">
        <v>4</v>
      </c>
      <c r="C18" s="24">
        <v>-29.42</v>
      </c>
    </row>
    <row r="19" spans="1:3" hidden="1" x14ac:dyDescent="0.3">
      <c r="A19" s="26">
        <v>45854</v>
      </c>
      <c r="B19" s="27" t="s">
        <v>4</v>
      </c>
      <c r="C19" s="24">
        <v>-119.57</v>
      </c>
    </row>
    <row r="20" spans="1:3" hidden="1" x14ac:dyDescent="0.3">
      <c r="A20" s="26">
        <v>45854</v>
      </c>
      <c r="B20" s="34" t="s">
        <v>21</v>
      </c>
      <c r="C20" s="24">
        <v>119.57</v>
      </c>
    </row>
    <row r="21" spans="1:3" hidden="1" x14ac:dyDescent="0.3">
      <c r="A21" s="26">
        <v>45868</v>
      </c>
      <c r="B21" s="27" t="s">
        <v>1</v>
      </c>
      <c r="C21" s="24">
        <v>20.8</v>
      </c>
    </row>
    <row r="22" spans="1:3" hidden="1" x14ac:dyDescent="0.3">
      <c r="A22" s="26">
        <v>45868</v>
      </c>
      <c r="B22" s="32" t="s">
        <v>21</v>
      </c>
      <c r="C22" s="24">
        <v>9.84</v>
      </c>
    </row>
    <row r="23" spans="1:3" hidden="1" x14ac:dyDescent="0.3">
      <c r="A23" s="26">
        <v>45868</v>
      </c>
      <c r="B23" s="34" t="s">
        <v>21</v>
      </c>
      <c r="C23" s="24">
        <v>99.27</v>
      </c>
    </row>
    <row r="24" spans="1:3" hidden="1" x14ac:dyDescent="0.3">
      <c r="A24" s="26">
        <v>45876</v>
      </c>
      <c r="B24" s="27" t="s">
        <v>4</v>
      </c>
      <c r="C24" s="24">
        <v>-129.91</v>
      </c>
    </row>
    <row r="25" spans="1:3" hidden="1" x14ac:dyDescent="0.3">
      <c r="A25" s="26">
        <v>45882</v>
      </c>
      <c r="B25" s="27" t="s">
        <v>1</v>
      </c>
      <c r="C25" s="24">
        <v>20.8</v>
      </c>
    </row>
    <row r="26" spans="1:3" hidden="1" x14ac:dyDescent="0.3">
      <c r="A26" s="26">
        <v>45882</v>
      </c>
      <c r="B26" s="34" t="s">
        <v>21</v>
      </c>
      <c r="C26" s="24">
        <v>78.45</v>
      </c>
    </row>
    <row r="27" spans="1:3" hidden="1" x14ac:dyDescent="0.3">
      <c r="A27" s="26">
        <v>45887</v>
      </c>
      <c r="B27" s="27" t="s">
        <v>4</v>
      </c>
      <c r="C27" s="24">
        <v>-99.25</v>
      </c>
    </row>
    <row r="28" spans="1:3" hidden="1" x14ac:dyDescent="0.3">
      <c r="A28" s="26">
        <v>45898</v>
      </c>
      <c r="B28" s="32" t="s">
        <v>21</v>
      </c>
      <c r="C28" s="24">
        <v>15.85</v>
      </c>
    </row>
    <row r="29" spans="1:3" hidden="1" x14ac:dyDescent="0.3">
      <c r="A29" s="26">
        <v>45912</v>
      </c>
      <c r="B29" s="27" t="s">
        <v>4</v>
      </c>
      <c r="C29" s="24">
        <v>-15.73</v>
      </c>
    </row>
    <row r="30" spans="1:3" hidden="1" x14ac:dyDescent="0.3">
      <c r="A30" s="26">
        <v>45939</v>
      </c>
      <c r="B30" s="34" t="s">
        <v>21</v>
      </c>
      <c r="C30" s="24">
        <v>40.799999999999997</v>
      </c>
    </row>
    <row r="31" spans="1:3" hidden="1" x14ac:dyDescent="0.3">
      <c r="A31" s="26">
        <v>45953</v>
      </c>
      <c r="B31" s="27" t="s">
        <v>4</v>
      </c>
      <c r="C31" s="24">
        <v>-40.92</v>
      </c>
    </row>
    <row r="32" spans="1:3" hidden="1" x14ac:dyDescent="0.3">
      <c r="A32" s="26">
        <v>45953</v>
      </c>
      <c r="B32" s="32" t="s">
        <v>21</v>
      </c>
      <c r="C32" s="24">
        <v>20.98</v>
      </c>
    </row>
    <row r="33" spans="1:3" hidden="1" x14ac:dyDescent="0.3">
      <c r="A33" s="26">
        <v>45953</v>
      </c>
      <c r="B33" s="34" t="s">
        <v>21</v>
      </c>
      <c r="C33" s="24">
        <v>112.27</v>
      </c>
    </row>
    <row r="34" spans="1:3" hidden="1" x14ac:dyDescent="0.3">
      <c r="A34" s="26">
        <v>45960</v>
      </c>
      <c r="B34" s="27" t="s">
        <v>4</v>
      </c>
      <c r="C34" s="24">
        <v>-156.25</v>
      </c>
    </row>
    <row r="35" spans="1:3" hidden="1" x14ac:dyDescent="0.3">
      <c r="A35" s="26">
        <v>45960</v>
      </c>
      <c r="B35" s="27" t="s">
        <v>1</v>
      </c>
      <c r="C35" s="24">
        <v>23</v>
      </c>
    </row>
    <row r="36" spans="1:3" x14ac:dyDescent="0.3">
      <c r="A36" s="26">
        <v>45974</v>
      </c>
      <c r="B36" s="27" t="s">
        <v>1</v>
      </c>
      <c r="C36" s="24">
        <v>141.07</v>
      </c>
    </row>
    <row r="37" spans="1:3" x14ac:dyDescent="0.3">
      <c r="A37" s="26">
        <v>45981</v>
      </c>
      <c r="B37" s="27" t="s">
        <v>4</v>
      </c>
      <c r="C37" s="24">
        <v>-230</v>
      </c>
    </row>
    <row r="38" spans="1:3" x14ac:dyDescent="0.3">
      <c r="A38" s="26">
        <v>45981</v>
      </c>
      <c r="B38" s="27" t="s">
        <v>1</v>
      </c>
      <c r="C38" s="24">
        <v>86.48</v>
      </c>
    </row>
    <row r="39" spans="1:3" x14ac:dyDescent="0.3">
      <c r="A39" s="26">
        <v>45988</v>
      </c>
      <c r="B39" s="27" t="s">
        <v>1</v>
      </c>
      <c r="C39" s="24">
        <v>85.89</v>
      </c>
    </row>
    <row r="40" spans="1:3" x14ac:dyDescent="0.3">
      <c r="A40" s="26">
        <v>46010</v>
      </c>
      <c r="B40" s="27" t="s">
        <v>4</v>
      </c>
      <c r="C40" s="24">
        <v>-85.89</v>
      </c>
    </row>
    <row r="41" spans="1:3" x14ac:dyDescent="0.3">
      <c r="A41" s="26">
        <v>46010</v>
      </c>
      <c r="B41" s="27" t="s">
        <v>1</v>
      </c>
      <c r="C41" s="24">
        <v>96.36</v>
      </c>
    </row>
    <row r="42" spans="1:3" x14ac:dyDescent="0.3">
      <c r="A42" s="26">
        <v>46030</v>
      </c>
      <c r="B42" s="27" t="s">
        <v>4</v>
      </c>
      <c r="C42" s="24">
        <v>-68.84</v>
      </c>
    </row>
    <row r="43" spans="1:3" x14ac:dyDescent="0.3">
      <c r="A43" s="26">
        <v>46030</v>
      </c>
      <c r="B43" s="27" t="s">
        <v>1</v>
      </c>
      <c r="C43" s="24">
        <v>68.61</v>
      </c>
    </row>
    <row r="44" spans="1:3" x14ac:dyDescent="0.3">
      <c r="A44" s="26">
        <v>46051</v>
      </c>
      <c r="B44" s="27" t="s">
        <v>4</v>
      </c>
      <c r="C44" s="24">
        <v>-93.68</v>
      </c>
    </row>
    <row r="45" spans="1:3" x14ac:dyDescent="0.3">
      <c r="A45" s="26">
        <v>46051</v>
      </c>
      <c r="B45" s="27" t="s">
        <v>1</v>
      </c>
      <c r="C45" s="24">
        <v>184.73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EC0BC-BFB1-4A4D-BBC2-28EC13044AB5}">
  <sheetPr codeName="Hoja45"/>
  <dimension ref="A1:H68"/>
  <sheetViews>
    <sheetView view="pageBreakPreview" topLeftCell="A33" zoomScale="90" zoomScaleNormal="100" zoomScaleSheetLayoutView="90" workbookViewId="0">
      <selection activeCell="C69" sqref="C6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198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-2.1069999999999993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45820</v>
      </c>
      <c r="B5" s="32" t="s">
        <v>21</v>
      </c>
      <c r="C5" s="24">
        <v>220.55</v>
      </c>
      <c r="D5" s="30"/>
      <c r="E5" s="30"/>
      <c r="F5" s="30"/>
      <c r="G5" s="22"/>
    </row>
    <row r="6" spans="1:8" hidden="1" x14ac:dyDescent="0.3">
      <c r="A6" s="21">
        <v>45820</v>
      </c>
      <c r="B6" s="46" t="s">
        <v>21</v>
      </c>
      <c r="C6" s="24">
        <v>53.66</v>
      </c>
    </row>
    <row r="7" spans="1:8" hidden="1" x14ac:dyDescent="0.3">
      <c r="A7" s="21">
        <v>45825</v>
      </c>
      <c r="B7" s="27" t="s">
        <v>4</v>
      </c>
      <c r="C7" s="24">
        <v>-274.20999999999998</v>
      </c>
    </row>
    <row r="8" spans="1:8" hidden="1" x14ac:dyDescent="0.3">
      <c r="A8" s="26">
        <v>45834</v>
      </c>
      <c r="B8" s="32" t="s">
        <v>21</v>
      </c>
      <c r="C8" s="24">
        <v>15.85</v>
      </c>
    </row>
    <row r="9" spans="1:8" hidden="1" x14ac:dyDescent="0.3">
      <c r="A9" s="26">
        <v>45834</v>
      </c>
      <c r="B9" s="34" t="s">
        <v>21</v>
      </c>
      <c r="C9" s="24">
        <v>129.32</v>
      </c>
    </row>
    <row r="10" spans="1:8" hidden="1" x14ac:dyDescent="0.3">
      <c r="A10" s="26">
        <v>45834</v>
      </c>
      <c r="B10" s="46" t="s">
        <v>21</v>
      </c>
      <c r="C10" s="24">
        <v>5.39</v>
      </c>
    </row>
    <row r="11" spans="1:8" hidden="1" x14ac:dyDescent="0.3">
      <c r="A11" s="26">
        <v>45841</v>
      </c>
      <c r="B11" s="27" t="s">
        <v>4</v>
      </c>
      <c r="C11" s="24">
        <v>-77.16</v>
      </c>
    </row>
    <row r="12" spans="1:8" hidden="1" x14ac:dyDescent="0.3">
      <c r="A12" s="26">
        <v>45842</v>
      </c>
      <c r="B12" s="31" t="s">
        <v>4</v>
      </c>
      <c r="C12" s="24">
        <v>-27</v>
      </c>
    </row>
    <row r="13" spans="1:8" hidden="1" x14ac:dyDescent="0.3">
      <c r="A13" s="26">
        <v>45847</v>
      </c>
      <c r="B13" s="27" t="s">
        <v>4</v>
      </c>
      <c r="C13" s="24">
        <v>-46.4</v>
      </c>
    </row>
    <row r="14" spans="1:8" hidden="1" x14ac:dyDescent="0.3">
      <c r="A14" s="26">
        <v>45847</v>
      </c>
      <c r="B14" s="34" t="s">
        <v>21</v>
      </c>
      <c r="C14" s="24">
        <v>51.96</v>
      </c>
    </row>
    <row r="15" spans="1:8" hidden="1" x14ac:dyDescent="0.3">
      <c r="A15" s="26">
        <v>45861</v>
      </c>
      <c r="B15" s="27" t="s">
        <v>4</v>
      </c>
      <c r="C15" s="24">
        <v>-51.48</v>
      </c>
    </row>
    <row r="16" spans="1:8" hidden="1" x14ac:dyDescent="0.3">
      <c r="A16" s="26">
        <v>45868</v>
      </c>
      <c r="B16" s="27" t="s">
        <v>4</v>
      </c>
      <c r="C16" s="24">
        <v>-162.05000000000001</v>
      </c>
    </row>
    <row r="17" spans="1:3" hidden="1" x14ac:dyDescent="0.3">
      <c r="A17" s="26">
        <v>45868</v>
      </c>
      <c r="B17" s="34" t="s">
        <v>21</v>
      </c>
      <c r="C17" s="24">
        <v>162.06</v>
      </c>
    </row>
    <row r="18" spans="1:3" hidden="1" x14ac:dyDescent="0.3">
      <c r="A18" s="26">
        <v>45882</v>
      </c>
      <c r="B18" s="27" t="s">
        <v>4</v>
      </c>
      <c r="C18" s="24">
        <v>-353.74</v>
      </c>
    </row>
    <row r="19" spans="1:3" hidden="1" x14ac:dyDescent="0.3">
      <c r="A19" s="26">
        <v>45882</v>
      </c>
      <c r="B19" s="34" t="s">
        <v>21</v>
      </c>
      <c r="C19" s="24">
        <v>422.18</v>
      </c>
    </row>
    <row r="20" spans="1:3" hidden="1" x14ac:dyDescent="0.3">
      <c r="A20" s="26">
        <v>45887</v>
      </c>
      <c r="B20" s="27" t="s">
        <v>4</v>
      </c>
      <c r="C20" s="24">
        <v>-68.56</v>
      </c>
    </row>
    <row r="21" spans="1:3" hidden="1" x14ac:dyDescent="0.3">
      <c r="A21" s="26">
        <v>45890</v>
      </c>
      <c r="B21" s="34" t="s">
        <v>21</v>
      </c>
      <c r="C21" s="24">
        <v>103.86</v>
      </c>
    </row>
    <row r="22" spans="1:3" hidden="1" x14ac:dyDescent="0.3">
      <c r="A22" s="26">
        <v>45896</v>
      </c>
      <c r="B22" s="27" t="s">
        <v>4</v>
      </c>
      <c r="C22" s="24">
        <v>-85.2</v>
      </c>
    </row>
    <row r="23" spans="1:3" hidden="1" x14ac:dyDescent="0.3">
      <c r="A23" s="26">
        <v>45897</v>
      </c>
      <c r="B23" s="27" t="s">
        <v>4</v>
      </c>
      <c r="C23" s="24">
        <v>-18.66</v>
      </c>
    </row>
    <row r="24" spans="1:3" hidden="1" x14ac:dyDescent="0.3">
      <c r="A24" s="26">
        <v>45897</v>
      </c>
      <c r="B24" s="34" t="s">
        <v>21</v>
      </c>
      <c r="C24" s="24">
        <v>125.22</v>
      </c>
    </row>
    <row r="25" spans="1:3" hidden="1" x14ac:dyDescent="0.3">
      <c r="A25" s="26">
        <v>45897</v>
      </c>
      <c r="B25" s="46" t="s">
        <v>21</v>
      </c>
      <c r="C25" s="24">
        <v>13.24</v>
      </c>
    </row>
    <row r="26" spans="1:3" hidden="1" x14ac:dyDescent="0.3">
      <c r="A26" s="26">
        <v>45898</v>
      </c>
      <c r="B26" s="27" t="s">
        <v>4</v>
      </c>
      <c r="C26" s="24">
        <v>-34.840000000000003</v>
      </c>
    </row>
    <row r="27" spans="1:3" hidden="1" x14ac:dyDescent="0.3">
      <c r="A27" s="26">
        <v>45900</v>
      </c>
      <c r="B27" s="27" t="s">
        <v>4</v>
      </c>
      <c r="C27" s="24">
        <v>-103.3</v>
      </c>
    </row>
    <row r="28" spans="1:3" x14ac:dyDescent="0.3">
      <c r="A28" s="26">
        <v>45904</v>
      </c>
      <c r="B28" s="34" t="s">
        <v>21</v>
      </c>
      <c r="C28" s="24">
        <v>106.2</v>
      </c>
    </row>
    <row r="29" spans="1:3" x14ac:dyDescent="0.3">
      <c r="A29" s="26">
        <v>45911</v>
      </c>
      <c r="B29" s="27" t="s">
        <v>4</v>
      </c>
      <c r="C29" s="24">
        <v>-23.2</v>
      </c>
    </row>
    <row r="30" spans="1:3" x14ac:dyDescent="0.3">
      <c r="A30" s="26">
        <v>45911</v>
      </c>
      <c r="B30" s="34" t="s">
        <v>21</v>
      </c>
      <c r="C30" s="24">
        <v>78.5</v>
      </c>
    </row>
    <row r="31" spans="1:3" x14ac:dyDescent="0.3">
      <c r="A31" s="26">
        <v>45912</v>
      </c>
      <c r="B31" s="27" t="s">
        <v>4</v>
      </c>
      <c r="C31" s="24">
        <v>-30</v>
      </c>
    </row>
    <row r="32" spans="1:3" x14ac:dyDescent="0.3">
      <c r="A32" s="26">
        <v>45915</v>
      </c>
      <c r="B32" s="27" t="s">
        <v>4</v>
      </c>
      <c r="C32" s="24">
        <v>-53</v>
      </c>
    </row>
    <row r="33" spans="1:3" x14ac:dyDescent="0.3">
      <c r="A33" s="26">
        <v>45917</v>
      </c>
      <c r="B33" s="34" t="s">
        <v>21</v>
      </c>
      <c r="C33" s="24">
        <v>141.61000000000001</v>
      </c>
    </row>
    <row r="34" spans="1:3" x14ac:dyDescent="0.3">
      <c r="A34" s="26">
        <v>45917</v>
      </c>
      <c r="B34" s="27" t="s">
        <v>4</v>
      </c>
      <c r="C34" s="24">
        <v>-81.180000000000007</v>
      </c>
    </row>
    <row r="35" spans="1:3" x14ac:dyDescent="0.3">
      <c r="A35" s="26">
        <v>45924</v>
      </c>
      <c r="B35" s="34" t="s">
        <v>21</v>
      </c>
      <c r="C35" s="24">
        <v>21.963000000000001</v>
      </c>
    </row>
    <row r="36" spans="1:3" x14ac:dyDescent="0.3">
      <c r="A36" s="26">
        <v>45930</v>
      </c>
      <c r="B36" s="27" t="s">
        <v>4</v>
      </c>
      <c r="C36" s="24">
        <v>-163.57</v>
      </c>
    </row>
    <row r="37" spans="1:3" x14ac:dyDescent="0.3">
      <c r="A37" s="26">
        <v>45939</v>
      </c>
      <c r="B37" s="34" t="s">
        <v>21</v>
      </c>
      <c r="C37" s="24">
        <v>189.26</v>
      </c>
    </row>
    <row r="38" spans="1:3" x14ac:dyDescent="0.3">
      <c r="A38" s="26">
        <v>45939</v>
      </c>
      <c r="B38" s="46" t="s">
        <v>21</v>
      </c>
      <c r="C38" s="24">
        <v>16.7</v>
      </c>
    </row>
    <row r="39" spans="1:3" x14ac:dyDescent="0.3">
      <c r="A39" s="26">
        <v>45940</v>
      </c>
      <c r="B39" s="27" t="s">
        <v>4</v>
      </c>
      <c r="C39" s="24">
        <v>-42</v>
      </c>
    </row>
    <row r="40" spans="1:3" x14ac:dyDescent="0.3">
      <c r="A40" s="26">
        <v>45942</v>
      </c>
      <c r="B40" s="27" t="s">
        <v>4</v>
      </c>
      <c r="C40" s="24">
        <v>-32</v>
      </c>
    </row>
    <row r="41" spans="1:3" x14ac:dyDescent="0.3">
      <c r="A41" s="26">
        <v>45946</v>
      </c>
      <c r="B41" s="34" t="s">
        <v>21</v>
      </c>
      <c r="C41" s="24">
        <v>39.130000000000003</v>
      </c>
    </row>
    <row r="42" spans="1:3" x14ac:dyDescent="0.3">
      <c r="A42" s="26">
        <v>45946</v>
      </c>
      <c r="B42" s="46" t="s">
        <v>21</v>
      </c>
      <c r="C42" s="24">
        <v>31.6</v>
      </c>
    </row>
    <row r="43" spans="1:3" x14ac:dyDescent="0.3">
      <c r="A43" s="26">
        <v>45950</v>
      </c>
      <c r="B43" s="27" t="s">
        <v>4</v>
      </c>
      <c r="C43" s="24">
        <v>-127.69</v>
      </c>
    </row>
    <row r="44" spans="1:3" x14ac:dyDescent="0.3">
      <c r="A44" s="26">
        <v>45953</v>
      </c>
      <c r="B44" s="32" t="s">
        <v>21</v>
      </c>
      <c r="C44" s="24">
        <v>26.22</v>
      </c>
    </row>
    <row r="45" spans="1:3" x14ac:dyDescent="0.3">
      <c r="A45" s="26">
        <v>45953</v>
      </c>
      <c r="B45" s="34" t="s">
        <v>21</v>
      </c>
      <c r="C45" s="24">
        <v>72.349999999999994</v>
      </c>
    </row>
    <row r="46" spans="1:3" x14ac:dyDescent="0.3">
      <c r="A46" s="26">
        <v>45953</v>
      </c>
      <c r="B46" s="46" t="s">
        <v>21</v>
      </c>
      <c r="C46" s="24">
        <v>16.260000000000002</v>
      </c>
    </row>
    <row r="47" spans="1:3" x14ac:dyDescent="0.3">
      <c r="A47" s="26">
        <v>45957</v>
      </c>
      <c r="B47" s="27" t="s">
        <v>4</v>
      </c>
      <c r="C47" s="24">
        <v>-62</v>
      </c>
    </row>
    <row r="48" spans="1:3" x14ac:dyDescent="0.3">
      <c r="A48" s="26">
        <v>45957</v>
      </c>
      <c r="B48" s="27" t="s">
        <v>4</v>
      </c>
      <c r="C48" s="24">
        <v>-52.83</v>
      </c>
    </row>
    <row r="49" spans="1:3" x14ac:dyDescent="0.3">
      <c r="A49" s="26">
        <v>45961</v>
      </c>
      <c r="B49" s="34" t="s">
        <v>21</v>
      </c>
      <c r="C49" s="24">
        <v>156.72</v>
      </c>
    </row>
    <row r="50" spans="1:3" x14ac:dyDescent="0.3">
      <c r="A50" s="26">
        <v>45961</v>
      </c>
      <c r="B50" s="46" t="s">
        <v>21</v>
      </c>
      <c r="C50" s="24">
        <v>16.260000000000002</v>
      </c>
    </row>
    <row r="51" spans="1:3" x14ac:dyDescent="0.3">
      <c r="A51" s="26">
        <v>45965</v>
      </c>
      <c r="B51" s="27" t="s">
        <v>4</v>
      </c>
      <c r="C51" s="24">
        <v>-80</v>
      </c>
    </row>
    <row r="52" spans="1:3" x14ac:dyDescent="0.3">
      <c r="A52" s="26">
        <v>45968</v>
      </c>
      <c r="B52" s="34" t="s">
        <v>21</v>
      </c>
      <c r="C52" s="24">
        <v>101.6</v>
      </c>
    </row>
    <row r="53" spans="1:3" x14ac:dyDescent="0.3">
      <c r="A53" s="26">
        <v>45968</v>
      </c>
      <c r="B53" s="46" t="s">
        <v>21</v>
      </c>
      <c r="C53" s="24">
        <v>34.6</v>
      </c>
    </row>
    <row r="54" spans="1:3" x14ac:dyDescent="0.3">
      <c r="A54" s="26">
        <v>45971</v>
      </c>
      <c r="B54" s="27" t="s">
        <v>4</v>
      </c>
      <c r="C54" s="24">
        <v>-93.1</v>
      </c>
    </row>
    <row r="55" spans="1:3" x14ac:dyDescent="0.3">
      <c r="A55" s="26">
        <v>45972</v>
      </c>
      <c r="B55" s="27" t="s">
        <v>4</v>
      </c>
      <c r="C55" s="24">
        <v>-80</v>
      </c>
    </row>
    <row r="56" spans="1:3" x14ac:dyDescent="0.3">
      <c r="A56" s="26">
        <v>45973</v>
      </c>
      <c r="B56" s="27" t="s">
        <v>4</v>
      </c>
      <c r="C56" s="24">
        <v>-56.2</v>
      </c>
    </row>
    <row r="57" spans="1:3" x14ac:dyDescent="0.3">
      <c r="A57" s="26">
        <v>45982</v>
      </c>
      <c r="B57" s="27" t="s">
        <v>1</v>
      </c>
      <c r="C57" s="24">
        <v>168.08</v>
      </c>
    </row>
    <row r="58" spans="1:3" x14ac:dyDescent="0.3">
      <c r="A58" s="26">
        <v>45988</v>
      </c>
      <c r="B58" s="27" t="s">
        <v>4</v>
      </c>
      <c r="C58" s="24">
        <v>-128.08000000000001</v>
      </c>
    </row>
    <row r="59" spans="1:3" x14ac:dyDescent="0.3">
      <c r="A59" s="26">
        <v>45989</v>
      </c>
      <c r="B59" s="27" t="s">
        <v>1</v>
      </c>
      <c r="C59" s="24">
        <v>104</v>
      </c>
    </row>
    <row r="60" spans="1:3" x14ac:dyDescent="0.3">
      <c r="A60" s="26">
        <v>45993</v>
      </c>
      <c r="B60" s="27" t="s">
        <v>4</v>
      </c>
      <c r="C60" s="24">
        <v>-144</v>
      </c>
    </row>
    <row r="61" spans="1:3" x14ac:dyDescent="0.3">
      <c r="A61" s="26">
        <v>46001</v>
      </c>
      <c r="B61" s="27" t="s">
        <v>4</v>
      </c>
      <c r="C61" s="24">
        <v>-75</v>
      </c>
    </row>
    <row r="62" spans="1:3" x14ac:dyDescent="0.3">
      <c r="A62" s="26">
        <v>46001</v>
      </c>
      <c r="B62" s="27" t="s">
        <v>1</v>
      </c>
      <c r="C62" s="24">
        <v>195.84</v>
      </c>
    </row>
    <row r="63" spans="1:3" x14ac:dyDescent="0.3">
      <c r="A63" s="26">
        <v>46010</v>
      </c>
      <c r="B63" s="27" t="s">
        <v>1</v>
      </c>
      <c r="C63" s="24">
        <v>137.29</v>
      </c>
    </row>
    <row r="64" spans="1:3" x14ac:dyDescent="0.3">
      <c r="A64" s="26">
        <v>46017</v>
      </c>
      <c r="B64" s="27" t="s">
        <v>4</v>
      </c>
      <c r="C64" s="24">
        <v>-333.13</v>
      </c>
    </row>
    <row r="65" spans="1:3" x14ac:dyDescent="0.3">
      <c r="A65" s="26">
        <v>46043</v>
      </c>
      <c r="B65" s="27" t="s">
        <v>1</v>
      </c>
      <c r="C65" s="24">
        <v>309.27</v>
      </c>
    </row>
    <row r="66" spans="1:3" x14ac:dyDescent="0.3">
      <c r="A66" s="26">
        <v>46049</v>
      </c>
      <c r="B66" s="27" t="s">
        <v>4</v>
      </c>
      <c r="C66" s="24">
        <v>-40</v>
      </c>
    </row>
    <row r="67" spans="1:3" x14ac:dyDescent="0.3">
      <c r="A67" s="26">
        <v>46049</v>
      </c>
      <c r="B67" s="27" t="s">
        <v>4</v>
      </c>
      <c r="C67" s="24">
        <v>-62.69</v>
      </c>
    </row>
    <row r="68" spans="1:3" x14ac:dyDescent="0.3">
      <c r="A68" s="26">
        <v>46051</v>
      </c>
      <c r="B68" s="27" t="s">
        <v>4</v>
      </c>
      <c r="C68" s="24">
        <v>-206.58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37484-08F6-4E67-A4E5-B16B23B5900E}">
  <sheetPr codeName="Hoja46"/>
  <dimension ref="A1:H33"/>
  <sheetViews>
    <sheetView view="pageBreakPreview" zoomScale="85" zoomScaleNormal="100" zoomScaleSheetLayoutView="85" workbookViewId="0">
      <selection activeCell="C34" sqref="C34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120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355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126.62999999999997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45815</v>
      </c>
      <c r="B5" s="32" t="s">
        <v>21</v>
      </c>
      <c r="C5" s="24">
        <v>31.7</v>
      </c>
      <c r="D5" s="30"/>
      <c r="E5" s="30"/>
      <c r="F5" s="30"/>
      <c r="G5" s="22"/>
    </row>
    <row r="6" spans="1:8" hidden="1" x14ac:dyDescent="0.3">
      <c r="A6" s="21">
        <v>45815</v>
      </c>
      <c r="B6" s="34" t="s">
        <v>21</v>
      </c>
      <c r="C6" s="24">
        <v>48.72</v>
      </c>
    </row>
    <row r="7" spans="1:8" hidden="1" x14ac:dyDescent="0.3">
      <c r="A7" s="26">
        <v>45821</v>
      </c>
      <c r="B7" s="34" t="s">
        <v>21</v>
      </c>
      <c r="C7" s="24">
        <v>40.68</v>
      </c>
    </row>
    <row r="8" spans="1:8" hidden="1" x14ac:dyDescent="0.3">
      <c r="A8" s="26">
        <v>45825</v>
      </c>
      <c r="B8" s="27" t="s">
        <v>4</v>
      </c>
      <c r="C8" s="24">
        <v>-80.41</v>
      </c>
    </row>
    <row r="9" spans="1:8" hidden="1" x14ac:dyDescent="0.3">
      <c r="A9" s="26">
        <v>45828</v>
      </c>
      <c r="B9" s="34" t="s">
        <v>21</v>
      </c>
      <c r="C9" s="24">
        <v>20</v>
      </c>
    </row>
    <row r="10" spans="1:8" hidden="1" x14ac:dyDescent="0.3">
      <c r="A10" s="26">
        <v>45839</v>
      </c>
      <c r="B10" s="31" t="s">
        <v>4</v>
      </c>
      <c r="C10" s="24">
        <v>-60.36</v>
      </c>
    </row>
    <row r="11" spans="1:8" hidden="1" x14ac:dyDescent="0.3">
      <c r="A11" s="26">
        <v>45849</v>
      </c>
      <c r="B11" s="34" t="s">
        <v>21</v>
      </c>
      <c r="C11" s="24">
        <v>40.28</v>
      </c>
    </row>
    <row r="12" spans="1:8" hidden="1" x14ac:dyDescent="0.3">
      <c r="A12" s="26">
        <v>45859</v>
      </c>
      <c r="B12" s="31" t="s">
        <v>4</v>
      </c>
      <c r="C12" s="24">
        <v>-40.61</v>
      </c>
    </row>
    <row r="13" spans="1:8" hidden="1" x14ac:dyDescent="0.3">
      <c r="A13" s="26">
        <v>45856</v>
      </c>
      <c r="B13" s="34" t="s">
        <v>21</v>
      </c>
      <c r="C13" s="24">
        <v>109.32</v>
      </c>
    </row>
    <row r="14" spans="1:8" hidden="1" x14ac:dyDescent="0.3">
      <c r="A14" s="26">
        <v>45877</v>
      </c>
      <c r="B14" s="27" t="s">
        <v>4</v>
      </c>
      <c r="C14" s="24">
        <v>-109.31</v>
      </c>
    </row>
    <row r="15" spans="1:8" hidden="1" x14ac:dyDescent="0.3">
      <c r="A15" s="26">
        <v>45877</v>
      </c>
      <c r="B15" s="34" t="s">
        <v>21</v>
      </c>
      <c r="C15" s="24">
        <v>47.4</v>
      </c>
    </row>
    <row r="16" spans="1:8" hidden="1" x14ac:dyDescent="0.3">
      <c r="A16" s="26">
        <v>45890</v>
      </c>
      <c r="B16" s="27" t="s">
        <v>4</v>
      </c>
      <c r="C16" s="24">
        <v>-46.97</v>
      </c>
    </row>
    <row r="17" spans="1:3" hidden="1" x14ac:dyDescent="0.3">
      <c r="A17" s="26">
        <v>45898</v>
      </c>
      <c r="B17" s="32" t="s">
        <v>21</v>
      </c>
      <c r="C17" s="24">
        <v>30.85</v>
      </c>
    </row>
    <row r="18" spans="1:3" hidden="1" x14ac:dyDescent="0.3">
      <c r="A18" s="26">
        <v>45898</v>
      </c>
      <c r="B18" s="34" t="s">
        <v>21</v>
      </c>
      <c r="C18" s="24">
        <v>92.9</v>
      </c>
    </row>
    <row r="19" spans="1:3" hidden="1" x14ac:dyDescent="0.3">
      <c r="A19" s="26">
        <v>45919</v>
      </c>
      <c r="B19" s="27" t="s">
        <v>4</v>
      </c>
      <c r="C19" s="24">
        <v>-123.75</v>
      </c>
    </row>
    <row r="20" spans="1:3" hidden="1" x14ac:dyDescent="0.3">
      <c r="A20" s="26">
        <v>45919</v>
      </c>
      <c r="B20" s="32" t="s">
        <v>21</v>
      </c>
      <c r="C20" s="24">
        <v>23.35</v>
      </c>
    </row>
    <row r="21" spans="1:3" hidden="1" x14ac:dyDescent="0.3">
      <c r="A21" s="26">
        <v>45919</v>
      </c>
      <c r="B21" s="34" t="s">
        <v>21</v>
      </c>
      <c r="C21" s="24">
        <v>5.86</v>
      </c>
    </row>
    <row r="22" spans="1:3" hidden="1" x14ac:dyDescent="0.3">
      <c r="A22" s="26">
        <v>45947</v>
      </c>
      <c r="B22" s="27" t="s">
        <v>4</v>
      </c>
      <c r="C22" s="24">
        <v>-29.51</v>
      </c>
    </row>
    <row r="23" spans="1:3" hidden="1" x14ac:dyDescent="0.3">
      <c r="A23" s="26">
        <v>45954</v>
      </c>
      <c r="B23" s="32" t="s">
        <v>21</v>
      </c>
      <c r="C23" s="24">
        <v>31.38</v>
      </c>
    </row>
    <row r="24" spans="1:3" hidden="1" x14ac:dyDescent="0.3">
      <c r="A24" s="26">
        <v>45954</v>
      </c>
      <c r="B24" s="34" t="s">
        <v>21</v>
      </c>
      <c r="C24" s="24">
        <v>62.24</v>
      </c>
    </row>
    <row r="25" spans="1:3" hidden="1" x14ac:dyDescent="0.3">
      <c r="A25" s="26">
        <v>45982</v>
      </c>
      <c r="B25" s="27" t="s">
        <v>4</v>
      </c>
      <c r="C25" s="24">
        <v>-93.76</v>
      </c>
    </row>
    <row r="26" spans="1:3" x14ac:dyDescent="0.3">
      <c r="A26" s="26">
        <v>45982</v>
      </c>
      <c r="B26" s="27" t="s">
        <v>1</v>
      </c>
      <c r="C26" s="24">
        <v>191.4</v>
      </c>
    </row>
    <row r="27" spans="1:3" x14ac:dyDescent="0.3">
      <c r="A27" s="26">
        <v>45989</v>
      </c>
      <c r="B27" s="27" t="s">
        <v>1</v>
      </c>
      <c r="C27" s="24">
        <v>16.38</v>
      </c>
    </row>
    <row r="28" spans="1:3" x14ac:dyDescent="0.3">
      <c r="A28" s="26">
        <v>45995</v>
      </c>
      <c r="B28" s="27" t="s">
        <v>4</v>
      </c>
      <c r="C28" s="24">
        <v>-207.78</v>
      </c>
    </row>
    <row r="29" spans="1:3" x14ac:dyDescent="0.3">
      <c r="A29" s="26">
        <v>45996</v>
      </c>
      <c r="B29" s="27" t="s">
        <v>1</v>
      </c>
      <c r="C29" s="24">
        <v>86.66</v>
      </c>
    </row>
    <row r="30" spans="1:3" x14ac:dyDescent="0.3">
      <c r="A30" s="26">
        <v>46038</v>
      </c>
      <c r="B30" s="27" t="s">
        <v>4</v>
      </c>
      <c r="C30" s="24">
        <v>-86.66</v>
      </c>
    </row>
    <row r="31" spans="1:3" x14ac:dyDescent="0.3">
      <c r="A31" s="26">
        <v>46038</v>
      </c>
      <c r="B31" s="27" t="s">
        <v>1</v>
      </c>
      <c r="C31" s="24">
        <v>172.64</v>
      </c>
    </row>
    <row r="32" spans="1:3" x14ac:dyDescent="0.3">
      <c r="A32" s="26">
        <v>46052</v>
      </c>
      <c r="B32" s="27" t="s">
        <v>4</v>
      </c>
      <c r="C32" s="24">
        <v>-172.64</v>
      </c>
    </row>
    <row r="33" spans="1:3" x14ac:dyDescent="0.3">
      <c r="A33" s="26">
        <v>46052</v>
      </c>
      <c r="B33" s="27" t="s">
        <v>1</v>
      </c>
      <c r="C33" s="24">
        <v>126.63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147C-3AB4-4A37-84A6-05EF3D1CED45}">
  <dimension ref="A1:H86"/>
  <sheetViews>
    <sheetView view="pageBreakPreview" zoomScale="80" zoomScaleNormal="100" zoomScaleSheetLayoutView="8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340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-1.0000000000001563E-2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45846</v>
      </c>
      <c r="B5" s="34" t="s">
        <v>21</v>
      </c>
      <c r="C5" s="24">
        <v>5.67</v>
      </c>
      <c r="D5" s="30"/>
      <c r="E5" s="30"/>
      <c r="F5" s="30"/>
      <c r="G5" s="22"/>
    </row>
    <row r="6" spans="1:8" x14ac:dyDescent="0.3">
      <c r="A6" s="21">
        <v>45846</v>
      </c>
      <c r="B6" s="46" t="s">
        <v>1</v>
      </c>
      <c r="C6" s="24">
        <v>14.23</v>
      </c>
    </row>
    <row r="7" spans="1:8" x14ac:dyDescent="0.3">
      <c r="A7" s="21">
        <v>45848</v>
      </c>
      <c r="B7" s="27" t="s">
        <v>7</v>
      </c>
      <c r="C7" s="24">
        <v>-19.91</v>
      </c>
    </row>
    <row r="9" spans="1:8" x14ac:dyDescent="0.3">
      <c r="B9" s="32"/>
    </row>
    <row r="10" spans="1:8" x14ac:dyDescent="0.3">
      <c r="B10" s="34"/>
    </row>
    <row r="12" spans="1:8" x14ac:dyDescent="0.3">
      <c r="B12" s="32"/>
    </row>
    <row r="13" spans="1:8" x14ac:dyDescent="0.3">
      <c r="B13" s="34"/>
    </row>
    <row r="17" spans="2:2" x14ac:dyDescent="0.3">
      <c r="B17" s="32"/>
    </row>
    <row r="18" spans="2:2" x14ac:dyDescent="0.3">
      <c r="B18" s="34"/>
    </row>
    <row r="19" spans="2:2" x14ac:dyDescent="0.3">
      <c r="B19" s="46"/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DC59A-2F21-4CA5-BD89-BFC7F6C41670}">
  <sheetPr codeName="Hoja47"/>
  <dimension ref="A1:H155"/>
  <sheetViews>
    <sheetView view="pageBreakPreview" topLeftCell="A126" zoomScale="90" zoomScaleNormal="100" zoomScaleSheetLayoutView="90" workbookViewId="0">
      <selection activeCell="C156" sqref="C15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67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641.71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45815</v>
      </c>
      <c r="B5" s="28" t="s">
        <v>4</v>
      </c>
      <c r="C5" s="24">
        <v>-30.51</v>
      </c>
      <c r="D5" s="30"/>
      <c r="E5" s="30"/>
      <c r="F5" s="30"/>
      <c r="G5" s="22"/>
    </row>
    <row r="6" spans="1:8" hidden="1" x14ac:dyDescent="0.3">
      <c r="A6" s="26">
        <v>45814</v>
      </c>
      <c r="B6" s="36" t="s">
        <v>21</v>
      </c>
      <c r="C6" s="24">
        <v>30.69</v>
      </c>
    </row>
    <row r="7" spans="1:8" hidden="1" x14ac:dyDescent="0.3">
      <c r="A7" s="26">
        <v>45821</v>
      </c>
      <c r="B7" s="36" t="s">
        <v>21</v>
      </c>
      <c r="C7" s="24">
        <v>15.4</v>
      </c>
    </row>
    <row r="8" spans="1:8" hidden="1" x14ac:dyDescent="0.3">
      <c r="A8" s="26">
        <v>45821</v>
      </c>
      <c r="B8" s="40" t="s">
        <v>21</v>
      </c>
      <c r="C8" s="24">
        <v>81.66</v>
      </c>
    </row>
    <row r="9" spans="1:8" hidden="1" x14ac:dyDescent="0.3">
      <c r="A9" s="26">
        <v>45827</v>
      </c>
      <c r="B9" s="27" t="s">
        <v>4</v>
      </c>
      <c r="C9" s="24">
        <v>-97.06</v>
      </c>
    </row>
    <row r="10" spans="1:8" hidden="1" x14ac:dyDescent="0.3">
      <c r="A10" s="26">
        <v>45828</v>
      </c>
      <c r="B10" s="36" t="s">
        <v>21</v>
      </c>
      <c r="C10" s="24">
        <v>7.7</v>
      </c>
    </row>
    <row r="11" spans="1:8" hidden="1" x14ac:dyDescent="0.3">
      <c r="A11" s="26">
        <v>45828</v>
      </c>
      <c r="B11" s="40" t="s">
        <v>21</v>
      </c>
      <c r="C11" s="24">
        <v>120.1</v>
      </c>
    </row>
    <row r="12" spans="1:8" hidden="1" x14ac:dyDescent="0.3">
      <c r="A12" s="26">
        <v>45831</v>
      </c>
      <c r="B12" s="31" t="s">
        <v>4</v>
      </c>
      <c r="C12" s="24">
        <v>-127.8</v>
      </c>
    </row>
    <row r="13" spans="1:8" hidden="1" x14ac:dyDescent="0.3">
      <c r="A13" s="26">
        <v>45835</v>
      </c>
      <c r="B13" s="36" t="s">
        <v>21</v>
      </c>
      <c r="C13" s="24">
        <v>23.34</v>
      </c>
    </row>
    <row r="14" spans="1:8" hidden="1" x14ac:dyDescent="0.3">
      <c r="A14" s="26">
        <v>45835</v>
      </c>
      <c r="B14" s="40" t="s">
        <v>21</v>
      </c>
      <c r="C14" s="24">
        <v>123.72</v>
      </c>
    </row>
    <row r="15" spans="1:8" hidden="1" x14ac:dyDescent="0.3">
      <c r="A15" s="26">
        <v>45835</v>
      </c>
      <c r="B15" s="51" t="s">
        <v>21</v>
      </c>
      <c r="C15" s="24">
        <v>31.9</v>
      </c>
    </row>
    <row r="16" spans="1:8" hidden="1" x14ac:dyDescent="0.3">
      <c r="A16" s="26">
        <v>45839</v>
      </c>
      <c r="B16" s="27" t="s">
        <v>4</v>
      </c>
      <c r="C16" s="24">
        <v>-100</v>
      </c>
    </row>
    <row r="17" spans="1:3" hidden="1" x14ac:dyDescent="0.3">
      <c r="A17" s="26">
        <v>45840</v>
      </c>
      <c r="B17" s="27" t="s">
        <v>4</v>
      </c>
      <c r="C17" s="24">
        <v>-78.959999999999994</v>
      </c>
    </row>
    <row r="18" spans="1:3" hidden="1" x14ac:dyDescent="0.3">
      <c r="A18" s="26">
        <v>45841</v>
      </c>
      <c r="B18" s="40" t="s">
        <v>21</v>
      </c>
      <c r="C18" s="24">
        <v>91.18</v>
      </c>
    </row>
    <row r="19" spans="1:3" hidden="1" x14ac:dyDescent="0.3">
      <c r="A19" s="26">
        <v>45841</v>
      </c>
      <c r="B19" s="51" t="s">
        <v>21</v>
      </c>
      <c r="C19" s="24">
        <v>68.58</v>
      </c>
    </row>
    <row r="20" spans="1:3" hidden="1" x14ac:dyDescent="0.3">
      <c r="A20" s="26">
        <v>45845</v>
      </c>
      <c r="B20" s="27" t="s">
        <v>4</v>
      </c>
      <c r="C20" s="24">
        <v>-134.63</v>
      </c>
    </row>
    <row r="21" spans="1:3" hidden="1" x14ac:dyDescent="0.3">
      <c r="A21" s="26">
        <v>45848</v>
      </c>
      <c r="B21" s="27" t="s">
        <v>4</v>
      </c>
      <c r="C21" s="24">
        <v>-28.08</v>
      </c>
    </row>
    <row r="22" spans="1:3" hidden="1" x14ac:dyDescent="0.3">
      <c r="A22" s="26">
        <v>45849</v>
      </c>
      <c r="B22" s="36" t="s">
        <v>21</v>
      </c>
      <c r="C22" s="24">
        <v>49.89</v>
      </c>
    </row>
    <row r="23" spans="1:3" hidden="1" x14ac:dyDescent="0.3">
      <c r="A23" s="26">
        <v>45849</v>
      </c>
      <c r="B23" s="40" t="s">
        <v>21</v>
      </c>
      <c r="C23" s="24">
        <v>122.52</v>
      </c>
    </row>
    <row r="24" spans="1:3" hidden="1" x14ac:dyDescent="0.3">
      <c r="A24" s="26">
        <v>45849</v>
      </c>
      <c r="B24" s="51" t="s">
        <v>21</v>
      </c>
      <c r="C24" s="24">
        <v>26.92</v>
      </c>
    </row>
    <row r="25" spans="1:3" hidden="1" x14ac:dyDescent="0.3">
      <c r="A25" s="26">
        <v>45853</v>
      </c>
      <c r="B25" s="27" t="s">
        <v>4</v>
      </c>
      <c r="C25" s="24">
        <v>-50</v>
      </c>
    </row>
    <row r="26" spans="1:3" hidden="1" x14ac:dyDescent="0.3">
      <c r="A26" s="26">
        <v>45855</v>
      </c>
      <c r="B26" s="27" t="s">
        <v>4</v>
      </c>
      <c r="C26" s="24">
        <v>-147.38999999999999</v>
      </c>
    </row>
    <row r="27" spans="1:3" hidden="1" x14ac:dyDescent="0.3">
      <c r="A27" s="26">
        <v>45855</v>
      </c>
      <c r="B27" s="40" t="s">
        <v>21</v>
      </c>
      <c r="C27" s="24">
        <v>63.94</v>
      </c>
    </row>
    <row r="28" spans="1:3" hidden="1" x14ac:dyDescent="0.3">
      <c r="A28" s="26">
        <v>45862</v>
      </c>
      <c r="B28" s="27" t="s">
        <v>4</v>
      </c>
      <c r="C28" s="24">
        <v>-62.15</v>
      </c>
    </row>
    <row r="29" spans="1:3" hidden="1" x14ac:dyDescent="0.3">
      <c r="A29" s="26">
        <v>45862</v>
      </c>
      <c r="B29" s="40" t="s">
        <v>21</v>
      </c>
      <c r="C29" s="24">
        <v>135.44999999999999</v>
      </c>
    </row>
    <row r="30" spans="1:3" hidden="1" x14ac:dyDescent="0.3">
      <c r="A30" s="26">
        <v>45862</v>
      </c>
      <c r="B30" s="36" t="s">
        <v>21</v>
      </c>
      <c r="C30" s="24">
        <v>17.34</v>
      </c>
    </row>
    <row r="31" spans="1:3" hidden="1" x14ac:dyDescent="0.3">
      <c r="A31" s="26">
        <v>45864</v>
      </c>
      <c r="B31" s="27" t="s">
        <v>4</v>
      </c>
      <c r="C31" s="24">
        <v>-52.79</v>
      </c>
    </row>
    <row r="32" spans="1:3" hidden="1" x14ac:dyDescent="0.3">
      <c r="A32" s="26">
        <v>45866</v>
      </c>
      <c r="B32" s="27" t="s">
        <v>4</v>
      </c>
      <c r="C32" s="24">
        <v>-101.79</v>
      </c>
    </row>
    <row r="33" spans="1:3" hidden="1" x14ac:dyDescent="0.3">
      <c r="A33" s="26">
        <v>45870</v>
      </c>
      <c r="B33" s="27" t="s">
        <v>4</v>
      </c>
      <c r="C33" s="24">
        <v>-93.31</v>
      </c>
    </row>
    <row r="34" spans="1:3" hidden="1" x14ac:dyDescent="0.3">
      <c r="A34" s="26">
        <v>45869</v>
      </c>
      <c r="B34" s="36" t="s">
        <v>21</v>
      </c>
      <c r="C34" s="24">
        <v>37.880000000000003</v>
      </c>
    </row>
    <row r="35" spans="1:3" hidden="1" x14ac:dyDescent="0.3">
      <c r="A35" s="26">
        <v>45869</v>
      </c>
      <c r="B35" s="40" t="s">
        <v>21</v>
      </c>
      <c r="C35" s="24">
        <v>258.92</v>
      </c>
    </row>
    <row r="36" spans="1:3" hidden="1" x14ac:dyDescent="0.3">
      <c r="A36" s="26">
        <v>45873</v>
      </c>
      <c r="B36" s="27" t="s">
        <v>4</v>
      </c>
      <c r="C36" s="24">
        <v>-89.65</v>
      </c>
    </row>
    <row r="37" spans="1:3" hidden="1" x14ac:dyDescent="0.3">
      <c r="A37" s="26">
        <v>45874</v>
      </c>
      <c r="B37" s="27" t="s">
        <v>4</v>
      </c>
      <c r="C37" s="24">
        <v>-33</v>
      </c>
    </row>
    <row r="38" spans="1:3" hidden="1" x14ac:dyDescent="0.3">
      <c r="A38" s="26">
        <v>45875</v>
      </c>
      <c r="B38" s="27" t="s">
        <v>4</v>
      </c>
      <c r="C38" s="24">
        <v>-94</v>
      </c>
    </row>
    <row r="39" spans="1:3" hidden="1" x14ac:dyDescent="0.3">
      <c r="A39" s="26">
        <v>45876</v>
      </c>
      <c r="B39" s="27" t="s">
        <v>4</v>
      </c>
      <c r="C39" s="24">
        <v>-73</v>
      </c>
    </row>
    <row r="40" spans="1:3" hidden="1" x14ac:dyDescent="0.3">
      <c r="A40" s="26">
        <v>45876</v>
      </c>
      <c r="B40" s="40" t="s">
        <v>21</v>
      </c>
      <c r="C40" s="24">
        <v>210.88</v>
      </c>
    </row>
    <row r="41" spans="1:3" hidden="1" x14ac:dyDescent="0.3">
      <c r="A41" s="26">
        <v>45880</v>
      </c>
      <c r="B41" s="27" t="s">
        <v>4</v>
      </c>
      <c r="C41" s="24">
        <v>-74.39</v>
      </c>
    </row>
    <row r="42" spans="1:3" hidden="1" x14ac:dyDescent="0.3">
      <c r="A42" s="26">
        <v>45882</v>
      </c>
      <c r="B42" s="27" t="s">
        <v>4</v>
      </c>
      <c r="C42" s="24">
        <v>-55</v>
      </c>
    </row>
    <row r="43" spans="1:3" hidden="1" x14ac:dyDescent="0.3">
      <c r="A43" s="26">
        <v>45883</v>
      </c>
      <c r="B43" s="27" t="s">
        <v>4</v>
      </c>
      <c r="C43" s="24">
        <v>-67.53</v>
      </c>
    </row>
    <row r="44" spans="1:3" hidden="1" x14ac:dyDescent="0.3">
      <c r="A44" s="26">
        <v>45883</v>
      </c>
      <c r="B44" s="36" t="s">
        <v>21</v>
      </c>
      <c r="C44" s="24">
        <v>40.69</v>
      </c>
    </row>
    <row r="45" spans="1:3" hidden="1" x14ac:dyDescent="0.3">
      <c r="A45" s="26">
        <v>45887</v>
      </c>
      <c r="B45" s="27" t="s">
        <v>4</v>
      </c>
      <c r="C45" s="24">
        <v>-40.69</v>
      </c>
    </row>
    <row r="46" spans="1:3" hidden="1" x14ac:dyDescent="0.3">
      <c r="A46" s="26">
        <v>45890</v>
      </c>
      <c r="B46" s="40" t="s">
        <v>21</v>
      </c>
      <c r="C46" s="24">
        <v>242.27</v>
      </c>
    </row>
    <row r="47" spans="1:3" hidden="1" x14ac:dyDescent="0.3">
      <c r="A47" s="26">
        <v>45890</v>
      </c>
      <c r="B47" s="51" t="s">
        <v>21</v>
      </c>
      <c r="C47" s="24">
        <v>47.17</v>
      </c>
    </row>
    <row r="48" spans="1:3" hidden="1" x14ac:dyDescent="0.3">
      <c r="A48" s="26">
        <v>45891</v>
      </c>
      <c r="B48" s="27" t="s">
        <v>4</v>
      </c>
      <c r="C48" s="24">
        <v>-150</v>
      </c>
    </row>
    <row r="49" spans="1:3" hidden="1" x14ac:dyDescent="0.3">
      <c r="A49" s="26">
        <v>45894</v>
      </c>
      <c r="B49" s="27" t="s">
        <v>4</v>
      </c>
      <c r="C49" s="24">
        <v>-100.15</v>
      </c>
    </row>
    <row r="50" spans="1:3" hidden="1" x14ac:dyDescent="0.3">
      <c r="A50" s="26">
        <v>45895</v>
      </c>
      <c r="B50" s="40" t="s">
        <v>21</v>
      </c>
      <c r="C50" s="24">
        <v>32.700000000000003</v>
      </c>
    </row>
    <row r="51" spans="1:3" hidden="1" x14ac:dyDescent="0.3">
      <c r="A51" s="26">
        <v>45897</v>
      </c>
      <c r="B51" s="36" t="s">
        <v>21</v>
      </c>
      <c r="C51" s="24">
        <v>63.99</v>
      </c>
    </row>
    <row r="52" spans="1:3" hidden="1" x14ac:dyDescent="0.3">
      <c r="A52" s="26">
        <v>45897</v>
      </c>
      <c r="B52" s="40" t="s">
        <v>21</v>
      </c>
      <c r="C52" s="24">
        <v>130.19</v>
      </c>
    </row>
    <row r="53" spans="1:3" hidden="1" x14ac:dyDescent="0.3">
      <c r="A53" s="26">
        <v>45900</v>
      </c>
      <c r="B53" s="27" t="s">
        <v>4</v>
      </c>
      <c r="C53" s="24">
        <v>-90</v>
      </c>
    </row>
    <row r="54" spans="1:3" hidden="1" x14ac:dyDescent="0.3">
      <c r="A54" s="26">
        <v>45902</v>
      </c>
      <c r="B54" s="27" t="s">
        <v>4</v>
      </c>
      <c r="C54" s="24">
        <v>-110.63</v>
      </c>
    </row>
    <row r="55" spans="1:3" hidden="1" x14ac:dyDescent="0.3">
      <c r="A55" s="26">
        <v>45904</v>
      </c>
      <c r="B55" s="36" t="s">
        <v>21</v>
      </c>
      <c r="C55" s="24">
        <v>48.19</v>
      </c>
    </row>
    <row r="56" spans="1:3" hidden="1" x14ac:dyDescent="0.3">
      <c r="A56" s="26">
        <v>45904</v>
      </c>
      <c r="B56" s="40" t="s">
        <v>21</v>
      </c>
      <c r="C56" s="24">
        <v>207.26</v>
      </c>
    </row>
    <row r="57" spans="1:3" hidden="1" x14ac:dyDescent="0.3">
      <c r="A57" s="26">
        <v>45904</v>
      </c>
      <c r="B57" s="51" t="s">
        <v>21</v>
      </c>
      <c r="C57" s="24">
        <v>16.84</v>
      </c>
    </row>
    <row r="58" spans="1:3" hidden="1" x14ac:dyDescent="0.3">
      <c r="A58" s="26">
        <v>45906</v>
      </c>
      <c r="B58" s="27" t="s">
        <v>4</v>
      </c>
      <c r="C58" s="24">
        <v>-14.88</v>
      </c>
    </row>
    <row r="59" spans="1:3" hidden="1" x14ac:dyDescent="0.3">
      <c r="A59" s="26">
        <v>45908</v>
      </c>
      <c r="B59" s="27" t="s">
        <v>4</v>
      </c>
      <c r="C59" s="24">
        <v>-150</v>
      </c>
    </row>
    <row r="60" spans="1:3" hidden="1" x14ac:dyDescent="0.3">
      <c r="A60" s="26">
        <v>45908</v>
      </c>
      <c r="B60" s="27" t="s">
        <v>4</v>
      </c>
      <c r="C60" s="24">
        <v>-40</v>
      </c>
    </row>
    <row r="61" spans="1:3" hidden="1" x14ac:dyDescent="0.3">
      <c r="A61" s="26">
        <v>45910</v>
      </c>
      <c r="B61" s="27" t="s">
        <v>4</v>
      </c>
      <c r="C61" s="24">
        <v>-76.33</v>
      </c>
    </row>
    <row r="62" spans="1:3" hidden="1" x14ac:dyDescent="0.3">
      <c r="A62" s="26">
        <v>45911</v>
      </c>
      <c r="B62" s="36" t="s">
        <v>21</v>
      </c>
      <c r="C62" s="24">
        <v>20.68</v>
      </c>
    </row>
    <row r="63" spans="1:3" hidden="1" x14ac:dyDescent="0.3">
      <c r="A63" s="26">
        <v>45911</v>
      </c>
      <c r="B63" s="40" t="s">
        <v>21</v>
      </c>
      <c r="C63" s="24">
        <v>302.20999999999998</v>
      </c>
    </row>
    <row r="64" spans="1:3" hidden="1" x14ac:dyDescent="0.3">
      <c r="A64" s="26">
        <v>45911</v>
      </c>
      <c r="B64" s="51" t="s">
        <v>21</v>
      </c>
      <c r="C64" s="24">
        <v>93.09</v>
      </c>
    </row>
    <row r="65" spans="1:3" hidden="1" x14ac:dyDescent="0.3">
      <c r="A65" s="26">
        <v>45916</v>
      </c>
      <c r="B65" s="27" t="s">
        <v>4</v>
      </c>
      <c r="C65" s="24">
        <v>-51</v>
      </c>
    </row>
    <row r="66" spans="1:3" hidden="1" x14ac:dyDescent="0.3">
      <c r="A66" s="26">
        <v>45917</v>
      </c>
      <c r="B66" s="27" t="s">
        <v>4</v>
      </c>
      <c r="C66" s="24">
        <v>-122</v>
      </c>
    </row>
    <row r="67" spans="1:3" hidden="1" x14ac:dyDescent="0.3">
      <c r="A67" s="26">
        <v>45918</v>
      </c>
      <c r="B67" s="27" t="s">
        <v>4</v>
      </c>
      <c r="C67" s="24">
        <v>-135</v>
      </c>
    </row>
    <row r="68" spans="1:3" hidden="1" x14ac:dyDescent="0.3">
      <c r="A68" s="26">
        <v>45918</v>
      </c>
      <c r="B68" s="40" t="s">
        <v>21</v>
      </c>
      <c r="C68" s="24">
        <v>51.54</v>
      </c>
    </row>
    <row r="69" spans="1:3" hidden="1" x14ac:dyDescent="0.3">
      <c r="A69" s="26">
        <v>45918</v>
      </c>
      <c r="B69" s="51" t="s">
        <v>21</v>
      </c>
      <c r="C69" s="24">
        <v>76.23</v>
      </c>
    </row>
    <row r="70" spans="1:3" hidden="1" x14ac:dyDescent="0.3">
      <c r="A70" s="26">
        <v>45920</v>
      </c>
      <c r="B70" s="27" t="s">
        <v>4</v>
      </c>
      <c r="C70" s="24">
        <v>-117.89</v>
      </c>
    </row>
    <row r="71" spans="1:3" hidden="1" x14ac:dyDescent="0.3">
      <c r="A71" s="26">
        <v>45920</v>
      </c>
      <c r="B71" s="27" t="s">
        <v>4</v>
      </c>
      <c r="C71" s="24">
        <v>-52.63</v>
      </c>
    </row>
    <row r="72" spans="1:3" hidden="1" x14ac:dyDescent="0.3">
      <c r="A72" s="26">
        <v>45923</v>
      </c>
      <c r="B72" s="27" t="s">
        <v>4</v>
      </c>
      <c r="C72" s="24">
        <v>-73.959999999999994</v>
      </c>
    </row>
    <row r="73" spans="1:3" hidden="1" x14ac:dyDescent="0.3">
      <c r="A73" s="26">
        <v>45925</v>
      </c>
      <c r="B73" s="27" t="s">
        <v>1</v>
      </c>
      <c r="C73" s="24">
        <v>5.81</v>
      </c>
    </row>
    <row r="74" spans="1:3" hidden="1" x14ac:dyDescent="0.3">
      <c r="A74" s="26">
        <v>45925</v>
      </c>
      <c r="B74" s="36" t="s">
        <v>21</v>
      </c>
      <c r="C74" s="24">
        <v>65.53</v>
      </c>
    </row>
    <row r="75" spans="1:3" hidden="1" x14ac:dyDescent="0.3">
      <c r="A75" s="26">
        <v>45925</v>
      </c>
      <c r="B75" s="40" t="s">
        <v>21</v>
      </c>
      <c r="C75" s="24">
        <v>119.47</v>
      </c>
    </row>
    <row r="76" spans="1:3" hidden="1" x14ac:dyDescent="0.3">
      <c r="A76" s="26">
        <v>45929</v>
      </c>
      <c r="B76" s="27" t="s">
        <v>4</v>
      </c>
      <c r="C76" s="24">
        <v>-85</v>
      </c>
    </row>
    <row r="77" spans="1:3" hidden="1" x14ac:dyDescent="0.3">
      <c r="A77" s="26">
        <v>45932</v>
      </c>
      <c r="B77" s="27" t="s">
        <v>4</v>
      </c>
      <c r="C77" s="24">
        <v>-82.51</v>
      </c>
    </row>
    <row r="78" spans="1:3" hidden="1" x14ac:dyDescent="0.3">
      <c r="A78" s="26">
        <v>45932</v>
      </c>
      <c r="B78" s="36" t="s">
        <v>21</v>
      </c>
      <c r="C78" s="24">
        <v>102.6</v>
      </c>
    </row>
    <row r="79" spans="1:3" hidden="1" x14ac:dyDescent="0.3">
      <c r="A79" s="26">
        <v>45932</v>
      </c>
      <c r="B79" s="40" t="s">
        <v>21</v>
      </c>
      <c r="C79" s="24">
        <v>209.92</v>
      </c>
    </row>
    <row r="80" spans="1:3" hidden="1" x14ac:dyDescent="0.3">
      <c r="A80" s="26">
        <v>45932</v>
      </c>
      <c r="B80" s="51" t="s">
        <v>21</v>
      </c>
      <c r="C80" s="24">
        <v>48.96</v>
      </c>
    </row>
    <row r="81" spans="1:3" hidden="1" x14ac:dyDescent="0.3">
      <c r="A81" s="26">
        <v>45934</v>
      </c>
      <c r="B81" s="27" t="s">
        <v>4</v>
      </c>
      <c r="C81" s="24">
        <v>-97.79</v>
      </c>
    </row>
    <row r="82" spans="1:3" hidden="1" x14ac:dyDescent="0.3">
      <c r="A82" s="26">
        <v>45936</v>
      </c>
      <c r="B82" s="27" t="s">
        <v>4</v>
      </c>
      <c r="C82" s="24">
        <v>-200</v>
      </c>
    </row>
    <row r="83" spans="1:3" hidden="1" x14ac:dyDescent="0.3">
      <c r="A83" s="26">
        <v>45936</v>
      </c>
      <c r="B83" s="27" t="s">
        <v>4</v>
      </c>
      <c r="C83" s="24">
        <v>-30</v>
      </c>
    </row>
    <row r="84" spans="1:3" hidden="1" x14ac:dyDescent="0.3">
      <c r="A84" s="26">
        <v>45939</v>
      </c>
      <c r="B84" s="27" t="s">
        <v>4</v>
      </c>
      <c r="C84" s="24">
        <v>-32.119999999999997</v>
      </c>
    </row>
    <row r="85" spans="1:3" hidden="1" x14ac:dyDescent="0.3">
      <c r="A85" s="26">
        <v>45939</v>
      </c>
      <c r="B85" s="36" t="s">
        <v>21</v>
      </c>
      <c r="C85" s="24">
        <v>73.180000000000007</v>
      </c>
    </row>
    <row r="86" spans="1:3" hidden="1" x14ac:dyDescent="0.3">
      <c r="A86" s="26">
        <v>45939</v>
      </c>
      <c r="B86" s="40" t="s">
        <v>21</v>
      </c>
      <c r="C86" s="24">
        <v>158.88</v>
      </c>
    </row>
    <row r="87" spans="1:3" hidden="1" x14ac:dyDescent="0.3">
      <c r="A87" s="26">
        <v>45939</v>
      </c>
      <c r="B87" s="51" t="s">
        <v>21</v>
      </c>
      <c r="C87" s="24">
        <v>93.48</v>
      </c>
    </row>
    <row r="88" spans="1:3" hidden="1" x14ac:dyDescent="0.3">
      <c r="A88" s="26">
        <v>45942</v>
      </c>
      <c r="B88" s="27" t="s">
        <v>4</v>
      </c>
      <c r="C88" s="24">
        <v>-63.36</v>
      </c>
    </row>
    <row r="89" spans="1:3" hidden="1" x14ac:dyDescent="0.3">
      <c r="A89" s="26">
        <v>45943</v>
      </c>
      <c r="B89" s="27" t="s">
        <v>4</v>
      </c>
      <c r="C89" s="24">
        <v>-250</v>
      </c>
    </row>
    <row r="90" spans="1:3" hidden="1" x14ac:dyDescent="0.3">
      <c r="A90" s="26">
        <v>45945</v>
      </c>
      <c r="B90" s="27" t="s">
        <v>4</v>
      </c>
      <c r="C90" s="24">
        <v>-11.54</v>
      </c>
    </row>
    <row r="91" spans="1:3" x14ac:dyDescent="0.3">
      <c r="A91" s="26">
        <v>45946</v>
      </c>
      <c r="B91" s="36" t="s">
        <v>21</v>
      </c>
      <c r="C91" s="24">
        <v>43.56</v>
      </c>
    </row>
    <row r="92" spans="1:3" x14ac:dyDescent="0.3">
      <c r="A92" s="26">
        <v>45946</v>
      </c>
      <c r="B92" s="40" t="s">
        <v>21</v>
      </c>
      <c r="C92" s="24">
        <v>267.33999999999997</v>
      </c>
    </row>
    <row r="93" spans="1:3" x14ac:dyDescent="0.3">
      <c r="A93" s="26">
        <v>45946</v>
      </c>
      <c r="B93" s="51" t="s">
        <v>21</v>
      </c>
      <c r="C93" s="24">
        <v>25.56</v>
      </c>
    </row>
    <row r="94" spans="1:3" x14ac:dyDescent="0.3">
      <c r="A94" s="26">
        <v>45950</v>
      </c>
      <c r="B94" s="27" t="s">
        <v>4</v>
      </c>
      <c r="C94" s="24">
        <v>-50</v>
      </c>
    </row>
    <row r="95" spans="1:3" x14ac:dyDescent="0.3">
      <c r="A95" s="26">
        <v>45953</v>
      </c>
      <c r="B95" s="27" t="s">
        <v>4</v>
      </c>
      <c r="C95" s="24">
        <v>-80</v>
      </c>
    </row>
    <row r="96" spans="1:3" x14ac:dyDescent="0.3">
      <c r="A96" s="26">
        <v>45953</v>
      </c>
      <c r="B96" s="36" t="s">
        <v>21</v>
      </c>
      <c r="C96" s="24">
        <v>48.48</v>
      </c>
    </row>
    <row r="97" spans="1:3" x14ac:dyDescent="0.3">
      <c r="A97" s="26">
        <v>45953</v>
      </c>
      <c r="B97" s="40" t="s">
        <v>21</v>
      </c>
      <c r="C97" s="24">
        <v>193.66</v>
      </c>
    </row>
    <row r="98" spans="1:3" x14ac:dyDescent="0.3">
      <c r="A98" s="26">
        <v>45953</v>
      </c>
      <c r="B98" s="51" t="s">
        <v>21</v>
      </c>
      <c r="C98" s="24">
        <v>21.24</v>
      </c>
    </row>
    <row r="99" spans="1:3" x14ac:dyDescent="0.3">
      <c r="A99" s="26">
        <v>45957</v>
      </c>
      <c r="B99" s="27" t="s">
        <v>4</v>
      </c>
      <c r="C99" s="24">
        <v>-124.86</v>
      </c>
    </row>
    <row r="100" spans="1:3" x14ac:dyDescent="0.3">
      <c r="A100" s="26">
        <v>45957</v>
      </c>
      <c r="B100" s="27" t="s">
        <v>4</v>
      </c>
      <c r="C100" s="24">
        <v>-80.459999999999994</v>
      </c>
    </row>
    <row r="101" spans="1:3" x14ac:dyDescent="0.3">
      <c r="A101" s="26">
        <v>45960</v>
      </c>
      <c r="B101" s="27" t="s">
        <v>4</v>
      </c>
      <c r="C101" s="24">
        <v>-105</v>
      </c>
    </row>
    <row r="102" spans="1:3" x14ac:dyDescent="0.3">
      <c r="A102" s="26">
        <v>45960</v>
      </c>
      <c r="B102" s="36" t="s">
        <v>21</v>
      </c>
      <c r="C102" s="24">
        <v>19.68</v>
      </c>
    </row>
    <row r="103" spans="1:3" x14ac:dyDescent="0.3">
      <c r="A103" s="26">
        <v>45960</v>
      </c>
      <c r="B103" s="40" t="s">
        <v>21</v>
      </c>
      <c r="C103" s="24">
        <v>193.7</v>
      </c>
    </row>
    <row r="104" spans="1:3" x14ac:dyDescent="0.3">
      <c r="A104" s="26">
        <v>45960</v>
      </c>
      <c r="B104" s="51" t="s">
        <v>21</v>
      </c>
      <c r="C104" s="24">
        <v>35.04</v>
      </c>
    </row>
    <row r="105" spans="1:3" x14ac:dyDescent="0.3">
      <c r="A105" s="26">
        <v>45961</v>
      </c>
      <c r="B105" s="27" t="s">
        <v>4</v>
      </c>
      <c r="C105" s="24">
        <v>-159.88999999999999</v>
      </c>
    </row>
    <row r="106" spans="1:3" x14ac:dyDescent="0.3">
      <c r="A106" s="26">
        <v>45965</v>
      </c>
      <c r="B106" s="27" t="s">
        <v>4</v>
      </c>
      <c r="C106" s="24">
        <v>-16.97</v>
      </c>
    </row>
    <row r="107" spans="1:3" x14ac:dyDescent="0.3">
      <c r="A107" s="26">
        <v>45967</v>
      </c>
      <c r="B107" s="36" t="s">
        <v>21</v>
      </c>
      <c r="C107" s="24">
        <v>16.38</v>
      </c>
    </row>
    <row r="108" spans="1:3" x14ac:dyDescent="0.3">
      <c r="A108" s="26">
        <v>45967</v>
      </c>
      <c r="B108" s="40" t="s">
        <v>21</v>
      </c>
      <c r="C108" s="24">
        <v>177.53</v>
      </c>
    </row>
    <row r="109" spans="1:3" x14ac:dyDescent="0.3">
      <c r="A109" s="26">
        <v>45967</v>
      </c>
      <c r="B109" s="51" t="s">
        <v>21</v>
      </c>
      <c r="C109" s="24">
        <v>76.040000000000006</v>
      </c>
    </row>
    <row r="110" spans="1:3" x14ac:dyDescent="0.3">
      <c r="A110" s="26">
        <v>45968</v>
      </c>
      <c r="B110" s="27" t="s">
        <v>4</v>
      </c>
      <c r="C110" s="24">
        <v>-140</v>
      </c>
    </row>
    <row r="111" spans="1:3" x14ac:dyDescent="0.3">
      <c r="A111" s="26">
        <v>45973</v>
      </c>
      <c r="B111" s="27" t="s">
        <v>4</v>
      </c>
      <c r="C111" s="24">
        <v>-50</v>
      </c>
    </row>
    <row r="112" spans="1:3" x14ac:dyDescent="0.3">
      <c r="A112" s="26">
        <v>45974</v>
      </c>
      <c r="B112" s="27" t="s">
        <v>4</v>
      </c>
      <c r="C112" s="24">
        <v>-23.42</v>
      </c>
    </row>
    <row r="113" spans="1:3" x14ac:dyDescent="0.3">
      <c r="A113" s="26">
        <v>45974</v>
      </c>
      <c r="B113" s="27" t="s">
        <v>4</v>
      </c>
      <c r="C113" s="24">
        <v>-73</v>
      </c>
    </row>
    <row r="114" spans="1:3" x14ac:dyDescent="0.3">
      <c r="A114" s="26">
        <v>45974</v>
      </c>
      <c r="B114" s="27" t="s">
        <v>1</v>
      </c>
      <c r="C114" s="24">
        <v>227.2</v>
      </c>
    </row>
    <row r="115" spans="1:3" x14ac:dyDescent="0.3">
      <c r="A115" s="26">
        <v>45975</v>
      </c>
      <c r="B115" s="27" t="s">
        <v>1</v>
      </c>
      <c r="C115" s="24">
        <v>50.8</v>
      </c>
    </row>
    <row r="116" spans="1:3" x14ac:dyDescent="0.3">
      <c r="A116" s="26">
        <v>45978</v>
      </c>
      <c r="B116" s="27" t="s">
        <v>4</v>
      </c>
      <c r="C116" s="24">
        <v>-125</v>
      </c>
    </row>
    <row r="117" spans="1:3" x14ac:dyDescent="0.3">
      <c r="A117" s="26">
        <v>45979</v>
      </c>
      <c r="B117" s="27" t="s">
        <v>4</v>
      </c>
      <c r="C117" s="24">
        <v>-128.79</v>
      </c>
    </row>
    <row r="118" spans="1:3" x14ac:dyDescent="0.3">
      <c r="A118" s="26">
        <v>45980</v>
      </c>
      <c r="B118" s="27" t="s">
        <v>4</v>
      </c>
      <c r="C118" s="24">
        <v>-150</v>
      </c>
    </row>
    <row r="119" spans="1:3" x14ac:dyDescent="0.3">
      <c r="A119" s="26">
        <v>45981</v>
      </c>
      <c r="B119" s="27" t="s">
        <v>1</v>
      </c>
      <c r="C119" s="24">
        <v>388.44</v>
      </c>
    </row>
    <row r="120" spans="1:3" x14ac:dyDescent="0.3">
      <c r="A120" s="26">
        <v>45985</v>
      </c>
      <c r="B120" s="27" t="s">
        <v>4</v>
      </c>
      <c r="C120" s="24">
        <v>-111.69</v>
      </c>
    </row>
    <row r="121" spans="1:3" x14ac:dyDescent="0.3">
      <c r="A121" s="26">
        <v>45985</v>
      </c>
      <c r="B121" s="27" t="s">
        <v>4</v>
      </c>
      <c r="C121" s="24">
        <v>-149.05000000000001</v>
      </c>
    </row>
    <row r="122" spans="1:3" x14ac:dyDescent="0.3">
      <c r="A122" s="26">
        <v>45987</v>
      </c>
      <c r="B122" s="27" t="s">
        <v>4</v>
      </c>
      <c r="C122" s="24">
        <v>-26.95</v>
      </c>
    </row>
    <row r="123" spans="1:3" x14ac:dyDescent="0.3">
      <c r="A123" s="26">
        <v>45988</v>
      </c>
      <c r="B123" s="27" t="s">
        <v>4</v>
      </c>
      <c r="C123" s="24">
        <v>-185</v>
      </c>
    </row>
    <row r="124" spans="1:3" x14ac:dyDescent="0.3">
      <c r="A124" s="26">
        <v>45988</v>
      </c>
      <c r="B124" s="27" t="s">
        <v>1</v>
      </c>
      <c r="C124" s="24">
        <v>264.64</v>
      </c>
    </row>
    <row r="125" spans="1:3" x14ac:dyDescent="0.3">
      <c r="A125" s="26">
        <v>45992</v>
      </c>
      <c r="B125" s="27" t="s">
        <v>4</v>
      </c>
      <c r="C125" s="24">
        <v>-89</v>
      </c>
    </row>
    <row r="126" spans="1:3" x14ac:dyDescent="0.3">
      <c r="A126" s="26">
        <v>45992</v>
      </c>
      <c r="B126" s="27" t="s">
        <v>4</v>
      </c>
      <c r="C126" s="24">
        <v>-174.64</v>
      </c>
    </row>
    <row r="127" spans="1:3" x14ac:dyDescent="0.3">
      <c r="A127" s="26">
        <v>45995</v>
      </c>
      <c r="B127" s="27" t="s">
        <v>1</v>
      </c>
      <c r="C127" s="24">
        <v>283.3</v>
      </c>
    </row>
    <row r="128" spans="1:3" x14ac:dyDescent="0.3">
      <c r="A128" s="26">
        <v>45996</v>
      </c>
      <c r="B128" s="27" t="s">
        <v>4</v>
      </c>
      <c r="C128" s="24">
        <v>-88</v>
      </c>
    </row>
    <row r="129" spans="1:3" x14ac:dyDescent="0.3">
      <c r="A129" s="26">
        <v>46002</v>
      </c>
      <c r="B129" s="27" t="s">
        <v>1</v>
      </c>
      <c r="C129" s="24">
        <v>355.29</v>
      </c>
    </row>
    <row r="130" spans="1:3" x14ac:dyDescent="0.3">
      <c r="A130" s="26">
        <v>46006</v>
      </c>
      <c r="B130" s="27" t="s">
        <v>4</v>
      </c>
      <c r="C130" s="24">
        <v>-35</v>
      </c>
    </row>
    <row r="131" spans="1:3" x14ac:dyDescent="0.3">
      <c r="A131" s="26">
        <v>46007</v>
      </c>
      <c r="B131" s="27" t="s">
        <v>4</v>
      </c>
      <c r="C131" s="24">
        <v>-125</v>
      </c>
    </row>
    <row r="132" spans="1:3" x14ac:dyDescent="0.3">
      <c r="A132" s="26">
        <v>46009</v>
      </c>
      <c r="B132" s="27" t="s">
        <v>4</v>
      </c>
      <c r="C132" s="24">
        <v>-40.56</v>
      </c>
    </row>
    <row r="133" spans="1:3" x14ac:dyDescent="0.3">
      <c r="A133" s="26">
        <v>46009</v>
      </c>
      <c r="B133" s="27" t="s">
        <v>4</v>
      </c>
      <c r="C133" s="24">
        <v>-95</v>
      </c>
    </row>
    <row r="134" spans="1:3" x14ac:dyDescent="0.3">
      <c r="A134" s="26">
        <v>46010</v>
      </c>
      <c r="B134" s="27" t="s">
        <v>4</v>
      </c>
      <c r="C134" s="24">
        <v>-200</v>
      </c>
    </row>
    <row r="135" spans="1:3" x14ac:dyDescent="0.3">
      <c r="A135" s="26">
        <v>46013</v>
      </c>
      <c r="B135" s="27" t="s">
        <v>4</v>
      </c>
      <c r="C135" s="24">
        <v>-60.59</v>
      </c>
    </row>
    <row r="136" spans="1:3" x14ac:dyDescent="0.3">
      <c r="A136" s="26">
        <v>46014</v>
      </c>
      <c r="B136" s="27" t="s">
        <v>1</v>
      </c>
      <c r="C136" s="24">
        <v>766.61</v>
      </c>
    </row>
    <row r="137" spans="1:3" x14ac:dyDescent="0.3">
      <c r="A137" s="26">
        <v>46017</v>
      </c>
      <c r="B137" s="27" t="s">
        <v>4</v>
      </c>
      <c r="C137" s="24">
        <v>-300</v>
      </c>
    </row>
    <row r="138" spans="1:3" x14ac:dyDescent="0.3">
      <c r="A138" s="26">
        <v>46021</v>
      </c>
      <c r="B138" s="27" t="s">
        <v>1</v>
      </c>
      <c r="C138" s="24">
        <v>181.68</v>
      </c>
    </row>
    <row r="139" spans="1:3" x14ac:dyDescent="0.3">
      <c r="A139" s="26">
        <v>46022</v>
      </c>
      <c r="B139" s="27" t="s">
        <v>4</v>
      </c>
      <c r="C139" s="24">
        <v>-198.85</v>
      </c>
    </row>
    <row r="140" spans="1:3" x14ac:dyDescent="0.3">
      <c r="A140" s="26">
        <v>46024</v>
      </c>
      <c r="B140" s="27" t="s">
        <v>4</v>
      </c>
      <c r="C140" s="24">
        <v>-143</v>
      </c>
    </row>
    <row r="141" spans="1:3" x14ac:dyDescent="0.3">
      <c r="A141" s="26">
        <v>46027</v>
      </c>
      <c r="B141" s="27" t="s">
        <v>4</v>
      </c>
      <c r="C141" s="24">
        <v>-86</v>
      </c>
    </row>
    <row r="142" spans="1:3" x14ac:dyDescent="0.3">
      <c r="A142" s="26">
        <v>46030</v>
      </c>
      <c r="B142" s="27" t="s">
        <v>4</v>
      </c>
      <c r="C142" s="24">
        <v>-219.29</v>
      </c>
    </row>
    <row r="143" spans="1:3" x14ac:dyDescent="0.3">
      <c r="A143" s="26">
        <v>46031</v>
      </c>
      <c r="B143" s="27" t="s">
        <v>4</v>
      </c>
      <c r="C143" s="24">
        <v>-89.78</v>
      </c>
    </row>
    <row r="144" spans="1:3" x14ac:dyDescent="0.3">
      <c r="A144" s="26">
        <v>46030</v>
      </c>
      <c r="B144" s="27" t="s">
        <v>1</v>
      </c>
      <c r="C144" s="24">
        <v>339.93</v>
      </c>
    </row>
    <row r="145" spans="1:3" x14ac:dyDescent="0.3">
      <c r="A145" s="26">
        <v>46031</v>
      </c>
      <c r="B145" s="27" t="s">
        <v>4</v>
      </c>
      <c r="C145" s="24">
        <v>-170</v>
      </c>
    </row>
    <row r="146" spans="1:3" x14ac:dyDescent="0.3">
      <c r="A146" s="26">
        <v>46032</v>
      </c>
      <c r="B146" s="27" t="s">
        <v>4</v>
      </c>
      <c r="C146" s="24">
        <v>-77.739999999999995</v>
      </c>
    </row>
    <row r="147" spans="1:3" x14ac:dyDescent="0.3">
      <c r="A147" s="26">
        <v>46037</v>
      </c>
      <c r="B147" s="27" t="s">
        <v>1</v>
      </c>
      <c r="C147" s="24">
        <v>378.64</v>
      </c>
    </row>
    <row r="148" spans="1:3" x14ac:dyDescent="0.3">
      <c r="A148" s="26">
        <v>46042</v>
      </c>
      <c r="B148" s="27" t="s">
        <v>4</v>
      </c>
      <c r="C148" s="24">
        <v>-143.84</v>
      </c>
    </row>
    <row r="149" spans="1:3" x14ac:dyDescent="0.3">
      <c r="A149" s="26">
        <v>46042</v>
      </c>
      <c r="B149" s="27" t="s">
        <v>4</v>
      </c>
      <c r="C149" s="24">
        <v>-141.85</v>
      </c>
    </row>
    <row r="150" spans="1:3" x14ac:dyDescent="0.3">
      <c r="A150" s="26">
        <v>46044</v>
      </c>
      <c r="B150" s="27" t="s">
        <v>4</v>
      </c>
      <c r="C150" s="24">
        <v>-93.86</v>
      </c>
    </row>
    <row r="151" spans="1:3" x14ac:dyDescent="0.3">
      <c r="A151" s="26">
        <v>46044</v>
      </c>
      <c r="B151" s="27" t="s">
        <v>1</v>
      </c>
      <c r="C151" s="24">
        <v>311.42</v>
      </c>
    </row>
    <row r="152" spans="1:3" x14ac:dyDescent="0.3">
      <c r="A152" s="26">
        <v>46049</v>
      </c>
      <c r="B152" s="27" t="s">
        <v>4</v>
      </c>
      <c r="C152" s="24">
        <v>-180</v>
      </c>
    </row>
    <row r="153" spans="1:3" x14ac:dyDescent="0.3">
      <c r="A153" s="26">
        <v>46051</v>
      </c>
      <c r="B153" s="27" t="s">
        <v>4</v>
      </c>
      <c r="C153" s="24">
        <v>-135.86000000000001</v>
      </c>
    </row>
    <row r="154" spans="1:3" x14ac:dyDescent="0.3">
      <c r="A154" s="26">
        <v>46051</v>
      </c>
      <c r="B154" s="27" t="s">
        <v>1</v>
      </c>
      <c r="C154" s="24">
        <v>498.12</v>
      </c>
    </row>
    <row r="155" spans="1:3" x14ac:dyDescent="0.3">
      <c r="A155" s="26">
        <v>46052</v>
      </c>
      <c r="B155" s="27" t="s">
        <v>1</v>
      </c>
      <c r="C155" s="24">
        <v>145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35CB-BD59-499A-AB3D-B9CED46C036B}">
  <sheetPr codeName="Hoja48"/>
  <dimension ref="A1:H26"/>
  <sheetViews>
    <sheetView view="pageBreakPreview" zoomScale="80" zoomScaleNormal="100" zoomScaleSheetLayoutView="80" workbookViewId="0">
      <selection activeCell="A22" sqref="A5:XFD2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131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132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-1.0200000000000173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45818</v>
      </c>
      <c r="B5" s="32" t="s">
        <v>21</v>
      </c>
      <c r="C5" s="24">
        <v>101.45</v>
      </c>
      <c r="D5" s="30"/>
      <c r="E5" s="30"/>
      <c r="F5" s="30"/>
      <c r="G5" s="22"/>
    </row>
    <row r="6" spans="1:8" hidden="1" x14ac:dyDescent="0.3">
      <c r="A6" s="21">
        <v>45818</v>
      </c>
      <c r="B6" s="34" t="s">
        <v>21</v>
      </c>
      <c r="C6" s="24">
        <v>18.899999999999999</v>
      </c>
    </row>
    <row r="7" spans="1:8" hidden="1" x14ac:dyDescent="0.3">
      <c r="A7" s="21">
        <v>45819</v>
      </c>
      <c r="B7" s="27" t="s">
        <v>1</v>
      </c>
      <c r="C7" s="24">
        <v>94.66</v>
      </c>
    </row>
    <row r="8" spans="1:8" hidden="1" x14ac:dyDescent="0.3">
      <c r="A8" s="26">
        <v>45834</v>
      </c>
      <c r="B8" s="27" t="s">
        <v>4</v>
      </c>
      <c r="C8" s="24">
        <v>-215</v>
      </c>
    </row>
    <row r="9" spans="1:8" hidden="1" x14ac:dyDescent="0.3">
      <c r="A9" s="26">
        <v>45834</v>
      </c>
      <c r="B9" s="32" t="s">
        <v>21</v>
      </c>
      <c r="C9" s="24">
        <v>41.15</v>
      </c>
    </row>
    <row r="10" spans="1:8" hidden="1" x14ac:dyDescent="0.3">
      <c r="A10" s="26">
        <v>45834</v>
      </c>
      <c r="B10" s="31" t="s">
        <v>1</v>
      </c>
      <c r="C10" s="24">
        <v>116.26</v>
      </c>
    </row>
    <row r="11" spans="1:8" hidden="1" x14ac:dyDescent="0.3">
      <c r="A11" s="26">
        <v>45866</v>
      </c>
      <c r="B11" s="27" t="s">
        <v>4</v>
      </c>
      <c r="C11" s="24">
        <v>-157.91</v>
      </c>
    </row>
    <row r="12" spans="1:8" hidden="1" x14ac:dyDescent="0.3">
      <c r="A12" s="26">
        <v>45874</v>
      </c>
      <c r="B12" s="32" t="s">
        <v>21</v>
      </c>
      <c r="C12" s="24">
        <v>15.85</v>
      </c>
    </row>
    <row r="13" spans="1:8" hidden="1" x14ac:dyDescent="0.3">
      <c r="A13" s="26">
        <v>45874</v>
      </c>
      <c r="B13" s="34" t="s">
        <v>21</v>
      </c>
      <c r="C13" s="24">
        <v>47.96</v>
      </c>
    </row>
    <row r="14" spans="1:8" hidden="1" x14ac:dyDescent="0.3">
      <c r="A14" s="26">
        <v>45874</v>
      </c>
      <c r="B14" s="46" t="s">
        <v>21</v>
      </c>
      <c r="C14" s="24">
        <v>11.42</v>
      </c>
    </row>
    <row r="15" spans="1:8" hidden="1" x14ac:dyDescent="0.3">
      <c r="A15" s="26">
        <v>45874</v>
      </c>
      <c r="B15" s="27" t="s">
        <v>1</v>
      </c>
      <c r="C15" s="24">
        <v>76.459999999999994</v>
      </c>
    </row>
    <row r="16" spans="1:8" hidden="1" x14ac:dyDescent="0.3">
      <c r="A16" s="26">
        <v>45896</v>
      </c>
      <c r="B16" s="27" t="s">
        <v>4</v>
      </c>
      <c r="C16" s="24">
        <v>-151.69</v>
      </c>
    </row>
    <row r="17" spans="1:3" hidden="1" x14ac:dyDescent="0.3">
      <c r="A17" s="26">
        <v>45902</v>
      </c>
      <c r="B17" s="32" t="s">
        <v>21</v>
      </c>
      <c r="C17" s="24">
        <v>43.79</v>
      </c>
    </row>
    <row r="18" spans="1:3" hidden="1" x14ac:dyDescent="0.3">
      <c r="A18" s="26">
        <v>45902</v>
      </c>
      <c r="B18" s="34" t="s">
        <v>21</v>
      </c>
      <c r="C18" s="24">
        <v>21.54</v>
      </c>
    </row>
    <row r="19" spans="1:3" hidden="1" x14ac:dyDescent="0.3">
      <c r="A19" s="26">
        <v>45902</v>
      </c>
      <c r="B19" s="27" t="s">
        <v>1</v>
      </c>
      <c r="C19" s="24">
        <v>66.06</v>
      </c>
    </row>
    <row r="20" spans="1:3" hidden="1" x14ac:dyDescent="0.3">
      <c r="A20" s="26">
        <v>45912</v>
      </c>
      <c r="B20" s="27" t="s">
        <v>4</v>
      </c>
      <c r="C20" s="24">
        <v>-60</v>
      </c>
    </row>
    <row r="21" spans="1:3" hidden="1" x14ac:dyDescent="0.3">
      <c r="A21" s="26">
        <v>45933</v>
      </c>
      <c r="B21" s="27" t="s">
        <v>4</v>
      </c>
      <c r="C21" s="24">
        <v>-21.84</v>
      </c>
    </row>
    <row r="22" spans="1:3" hidden="1" x14ac:dyDescent="0.3">
      <c r="A22" s="26">
        <v>45933</v>
      </c>
      <c r="B22" s="27" t="s">
        <v>4</v>
      </c>
      <c r="C22" s="24">
        <v>-49.55</v>
      </c>
    </row>
    <row r="23" spans="1:3" x14ac:dyDescent="0.3">
      <c r="A23" s="26">
        <v>45944</v>
      </c>
      <c r="B23" s="32" t="s">
        <v>21</v>
      </c>
      <c r="C23" s="24">
        <v>23.74</v>
      </c>
    </row>
    <row r="24" spans="1:3" x14ac:dyDescent="0.3">
      <c r="A24" s="26">
        <v>45944</v>
      </c>
      <c r="B24" s="27" t="s">
        <v>1</v>
      </c>
      <c r="C24" s="24">
        <v>54.74</v>
      </c>
    </row>
    <row r="25" spans="1:3" x14ac:dyDescent="0.3">
      <c r="A25" s="26">
        <v>45964</v>
      </c>
      <c r="B25" s="27" t="s">
        <v>4</v>
      </c>
      <c r="C25" s="24">
        <v>-40.19</v>
      </c>
    </row>
    <row r="26" spans="1:3" x14ac:dyDescent="0.3">
      <c r="A26" s="26">
        <v>45993</v>
      </c>
      <c r="B26" s="27" t="s">
        <v>4</v>
      </c>
      <c r="C26" s="24">
        <v>-38.82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4E78-766D-4B10-9056-7EDA9DA2806B}">
  <sheetPr codeName="Hoja146"/>
  <dimension ref="A1:I86"/>
  <sheetViews>
    <sheetView view="pageBreakPreview" zoomScale="80" zoomScaleNormal="100" zoomScaleSheetLayoutView="80" workbookViewId="0">
      <selection activeCell="C29" sqref="C2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272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273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118.61999999999998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9.84</v>
      </c>
      <c r="H3" s="78"/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45827</v>
      </c>
      <c r="B5" s="32" t="s">
        <v>21</v>
      </c>
      <c r="C5" s="24">
        <f>35.85-G5</f>
        <v>32.15</v>
      </c>
      <c r="D5" s="30"/>
      <c r="E5" s="30"/>
      <c r="F5" s="30"/>
      <c r="G5" s="22">
        <v>3.7</v>
      </c>
    </row>
    <row r="6" spans="1:8" x14ac:dyDescent="0.3">
      <c r="A6" s="21">
        <v>45827</v>
      </c>
      <c r="B6" s="34" t="s">
        <v>1</v>
      </c>
      <c r="C6" s="24">
        <f>96.77-G6</f>
        <v>94.339999999999989</v>
      </c>
      <c r="G6" s="24">
        <v>2.4300000000000002</v>
      </c>
    </row>
    <row r="7" spans="1:8" x14ac:dyDescent="0.3">
      <c r="A7" s="21">
        <v>45839</v>
      </c>
      <c r="B7" s="27" t="s">
        <v>4</v>
      </c>
      <c r="C7" s="24">
        <v>-126.49</v>
      </c>
      <c r="G7" s="24">
        <v>-6.13</v>
      </c>
    </row>
    <row r="8" spans="1:8" x14ac:dyDescent="0.3">
      <c r="A8" s="26">
        <v>45842</v>
      </c>
      <c r="B8" s="32" t="s">
        <v>1</v>
      </c>
      <c r="C8" s="24">
        <f>57.65-G8</f>
        <v>51.69</v>
      </c>
      <c r="G8" s="24">
        <v>5.96</v>
      </c>
    </row>
    <row r="9" spans="1:8" x14ac:dyDescent="0.3">
      <c r="A9" s="26">
        <v>45862</v>
      </c>
      <c r="B9" s="27" t="s">
        <v>4</v>
      </c>
      <c r="C9" s="24">
        <v>-51.69</v>
      </c>
      <c r="G9" s="24">
        <v>-5.96</v>
      </c>
    </row>
    <row r="10" spans="1:8" x14ac:dyDescent="0.3">
      <c r="A10" s="26">
        <v>45867</v>
      </c>
      <c r="B10" s="32" t="s">
        <v>1</v>
      </c>
      <c r="C10" s="24">
        <v>30.05</v>
      </c>
    </row>
    <row r="11" spans="1:8" x14ac:dyDescent="0.3">
      <c r="A11" s="26">
        <v>45867</v>
      </c>
      <c r="B11" s="34" t="s">
        <v>1</v>
      </c>
      <c r="C11" s="24">
        <v>19.95</v>
      </c>
    </row>
    <row r="12" spans="1:8" x14ac:dyDescent="0.3">
      <c r="A12" s="26">
        <v>45895</v>
      </c>
      <c r="B12" s="31" t="s">
        <v>4</v>
      </c>
      <c r="C12" s="24">
        <v>-45.5</v>
      </c>
    </row>
    <row r="13" spans="1:8" x14ac:dyDescent="0.3">
      <c r="A13" s="26">
        <v>45895</v>
      </c>
      <c r="B13" s="32" t="s">
        <v>1</v>
      </c>
      <c r="C13" s="24">
        <f>32.95-G13</f>
        <v>29.550000000000004</v>
      </c>
      <c r="G13" s="24">
        <v>3.4</v>
      </c>
    </row>
    <row r="14" spans="1:8" x14ac:dyDescent="0.3">
      <c r="A14" s="26">
        <v>45895</v>
      </c>
      <c r="B14" s="34" t="s">
        <v>1</v>
      </c>
      <c r="C14" s="24">
        <f>30.43-G14</f>
        <v>29.89</v>
      </c>
      <c r="G14" s="24">
        <v>0.54</v>
      </c>
    </row>
    <row r="15" spans="1:8" x14ac:dyDescent="0.3">
      <c r="A15" s="26">
        <v>45902</v>
      </c>
      <c r="B15" s="27" t="s">
        <v>23</v>
      </c>
      <c r="G15" s="24">
        <v>-3.94</v>
      </c>
    </row>
    <row r="16" spans="1:8" x14ac:dyDescent="0.3">
      <c r="A16" s="26">
        <v>45912</v>
      </c>
      <c r="B16" s="27" t="s">
        <v>4</v>
      </c>
      <c r="C16" s="24">
        <v>-59.43</v>
      </c>
    </row>
    <row r="17" spans="1:9" x14ac:dyDescent="0.3">
      <c r="A17" s="26">
        <v>45916</v>
      </c>
      <c r="B17" s="32" t="s">
        <v>1</v>
      </c>
      <c r="C17" s="24">
        <f>31.45-G17</f>
        <v>28.2</v>
      </c>
      <c r="G17" s="24">
        <v>3.25</v>
      </c>
    </row>
    <row r="18" spans="1:9" x14ac:dyDescent="0.3">
      <c r="A18" s="26">
        <v>45916</v>
      </c>
      <c r="B18" s="34" t="s">
        <v>1</v>
      </c>
      <c r="C18" s="24">
        <f>27.48-G18</f>
        <v>24.64</v>
      </c>
      <c r="G18" s="24">
        <v>2.84</v>
      </c>
    </row>
    <row r="19" spans="1:9" x14ac:dyDescent="0.3">
      <c r="A19" s="26">
        <v>45929</v>
      </c>
      <c r="B19" s="27" t="s">
        <v>4</v>
      </c>
      <c r="C19" s="24">
        <v>-53.92</v>
      </c>
    </row>
    <row r="20" spans="1:9" x14ac:dyDescent="0.3">
      <c r="A20" s="26">
        <v>45944</v>
      </c>
      <c r="B20" s="27" t="s">
        <v>23</v>
      </c>
      <c r="G20" s="24">
        <v>-6.09</v>
      </c>
    </row>
    <row r="21" spans="1:9" x14ac:dyDescent="0.3">
      <c r="A21" s="26">
        <v>45944</v>
      </c>
      <c r="B21" s="32" t="s">
        <v>1</v>
      </c>
      <c r="C21" s="24">
        <f>21.94-G21</f>
        <v>19.68</v>
      </c>
      <c r="G21" s="24">
        <v>2.2599999999999998</v>
      </c>
    </row>
    <row r="22" spans="1:9" x14ac:dyDescent="0.3">
      <c r="A22" s="26">
        <v>45944</v>
      </c>
      <c r="B22" s="34" t="s">
        <v>1</v>
      </c>
      <c r="C22" s="24">
        <f>91.56-G22</f>
        <v>88.65</v>
      </c>
      <c r="G22" s="24">
        <v>2.91</v>
      </c>
    </row>
    <row r="23" spans="1:9" x14ac:dyDescent="0.3">
      <c r="A23" s="26">
        <v>45973</v>
      </c>
      <c r="B23" s="27" t="s">
        <v>4</v>
      </c>
      <c r="C23" s="24">
        <v>-108.32</v>
      </c>
      <c r="G23" s="24">
        <v>-5.17</v>
      </c>
      <c r="I23" s="18">
        <f>2411.41/267.7499</f>
        <v>9.0062031769199518</v>
      </c>
    </row>
    <row r="24" spans="1:9" x14ac:dyDescent="0.3">
      <c r="A24" s="26">
        <v>45993</v>
      </c>
      <c r="B24" s="27" t="s">
        <v>1</v>
      </c>
      <c r="C24" s="24">
        <f>276.08-G24</f>
        <v>267.08</v>
      </c>
      <c r="G24" s="24">
        <v>9</v>
      </c>
    </row>
    <row r="25" spans="1:9" x14ac:dyDescent="0.3">
      <c r="A25" s="26">
        <v>46007</v>
      </c>
      <c r="B25" s="27" t="s">
        <v>23</v>
      </c>
      <c r="G25" s="24">
        <v>-9</v>
      </c>
    </row>
    <row r="26" spans="1:9" x14ac:dyDescent="0.3">
      <c r="A26" s="26">
        <v>46030</v>
      </c>
      <c r="B26" s="27" t="s">
        <v>4</v>
      </c>
      <c r="C26" s="24">
        <v>-233.62</v>
      </c>
    </row>
    <row r="27" spans="1:9" x14ac:dyDescent="0.3">
      <c r="A27" s="26">
        <v>46035</v>
      </c>
      <c r="B27" s="27" t="s">
        <v>4</v>
      </c>
      <c r="C27" s="24">
        <v>-36.9</v>
      </c>
    </row>
    <row r="28" spans="1:9" x14ac:dyDescent="0.3">
      <c r="A28" s="26">
        <v>46035</v>
      </c>
      <c r="B28" s="27" t="s">
        <v>1</v>
      </c>
      <c r="C28" s="24">
        <f>128.46-G28</f>
        <v>118.62</v>
      </c>
      <c r="G28" s="24">
        <v>9.84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FED38-B711-4603-95D9-7BA8F54A8376}">
  <sheetPr codeName="Hoja49"/>
  <dimension ref="A1:H12"/>
  <sheetViews>
    <sheetView view="pageBreakPreview" zoomScale="80" zoomScaleNormal="100" zoomScaleSheetLayoutView="80" workbookViewId="0">
      <selection activeCell="C10" sqref="C1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192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29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46031</v>
      </c>
      <c r="B5" s="27" t="s">
        <v>4</v>
      </c>
      <c r="C5" s="24">
        <v>-32.76</v>
      </c>
      <c r="D5" s="30"/>
      <c r="E5" s="30"/>
      <c r="F5" s="30"/>
      <c r="G5" s="22"/>
    </row>
    <row r="6" spans="1:8" x14ac:dyDescent="0.3">
      <c r="A6" s="21">
        <v>46030</v>
      </c>
      <c r="B6" s="27" t="s">
        <v>21</v>
      </c>
      <c r="C6" s="24">
        <v>32.76</v>
      </c>
    </row>
    <row r="7" spans="1:8" x14ac:dyDescent="0.3">
      <c r="A7" s="21">
        <v>46051</v>
      </c>
      <c r="B7" s="27" t="s">
        <v>4</v>
      </c>
      <c r="C7" s="24">
        <v>-34.92</v>
      </c>
    </row>
    <row r="8" spans="1:8" x14ac:dyDescent="0.3">
      <c r="A8" s="21">
        <v>46051</v>
      </c>
      <c r="B8" s="27" t="s">
        <v>1</v>
      </c>
      <c r="C8" s="24">
        <v>34.92</v>
      </c>
    </row>
    <row r="9" spans="1:8" x14ac:dyDescent="0.3">
      <c r="A9" s="26">
        <v>46052</v>
      </c>
      <c r="B9" s="27" t="s">
        <v>1</v>
      </c>
      <c r="C9" s="24">
        <v>29</v>
      </c>
    </row>
    <row r="10" spans="1:8" x14ac:dyDescent="0.3">
      <c r="B10" s="31"/>
    </row>
    <row r="12" spans="1:8" x14ac:dyDescent="0.3">
      <c r="B12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D682C-1CDA-4966-9B40-AF0788EE9271}">
  <dimension ref="A1:H12"/>
  <sheetViews>
    <sheetView view="pageBreakPreview" zoomScale="80" zoomScaleNormal="100" zoomScaleSheetLayoutView="8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470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0.25999999999999801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45937</v>
      </c>
      <c r="B5" s="27" t="s">
        <v>1</v>
      </c>
      <c r="C5" s="24">
        <v>25.06</v>
      </c>
      <c r="D5" s="30"/>
      <c r="E5" s="30"/>
      <c r="F5" s="30"/>
      <c r="G5" s="22"/>
    </row>
    <row r="6" spans="1:8" x14ac:dyDescent="0.3">
      <c r="A6" s="21">
        <v>45937</v>
      </c>
      <c r="B6" s="35" t="s">
        <v>1</v>
      </c>
      <c r="C6" s="24">
        <v>9.1999999999999993</v>
      </c>
    </row>
    <row r="7" spans="1:8" x14ac:dyDescent="0.3">
      <c r="A7" s="21">
        <v>45942</v>
      </c>
      <c r="B7" s="27" t="s">
        <v>4</v>
      </c>
      <c r="C7" s="24">
        <v>-34</v>
      </c>
    </row>
    <row r="8" spans="1:8" x14ac:dyDescent="0.3">
      <c r="B8" s="46" t="s">
        <v>21</v>
      </c>
    </row>
    <row r="10" spans="1:8" x14ac:dyDescent="0.3">
      <c r="B10" s="31"/>
    </row>
    <row r="12" spans="1:8" x14ac:dyDescent="0.3">
      <c r="B12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4B55E-BDE1-4E07-94C2-C7FBA4AFB1AA}">
  <sheetPr codeName="Hoja50"/>
  <dimension ref="A1:H132"/>
  <sheetViews>
    <sheetView view="pageBreakPreview" zoomScale="80" zoomScaleNormal="100" zoomScaleSheetLayoutView="80" workbookViewId="0">
      <selection activeCell="C133" sqref="C13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247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171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297.01000000000005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45819</v>
      </c>
      <c r="B5" s="32" t="s">
        <v>21</v>
      </c>
      <c r="C5" s="24">
        <v>25.69</v>
      </c>
      <c r="D5" s="30"/>
      <c r="E5" s="30"/>
      <c r="F5" s="30"/>
      <c r="G5" s="22"/>
    </row>
    <row r="6" spans="1:8" hidden="1" x14ac:dyDescent="0.3">
      <c r="A6" s="21">
        <v>45819</v>
      </c>
      <c r="B6" s="34" t="s">
        <v>21</v>
      </c>
      <c r="C6" s="24">
        <v>42.16</v>
      </c>
    </row>
    <row r="7" spans="1:8" hidden="1" x14ac:dyDescent="0.3">
      <c r="A7" s="21">
        <v>45825</v>
      </c>
      <c r="B7" s="27" t="s">
        <v>4</v>
      </c>
      <c r="C7" s="24">
        <v>-67.849999999999994</v>
      </c>
    </row>
    <row r="8" spans="1:8" hidden="1" x14ac:dyDescent="0.3">
      <c r="A8" s="26">
        <v>45827</v>
      </c>
      <c r="B8" s="32" t="s">
        <v>21</v>
      </c>
      <c r="C8" s="24">
        <v>9.84</v>
      </c>
    </row>
    <row r="9" spans="1:8" hidden="1" x14ac:dyDescent="0.3">
      <c r="A9" s="26">
        <v>45827</v>
      </c>
      <c r="B9" s="34" t="s">
        <v>21</v>
      </c>
      <c r="C9" s="24">
        <v>69.66</v>
      </c>
    </row>
    <row r="10" spans="1:8" hidden="1" x14ac:dyDescent="0.3">
      <c r="A10" s="26">
        <v>45833</v>
      </c>
      <c r="B10" s="31" t="s">
        <v>4</v>
      </c>
      <c r="C10" s="24">
        <v>-79.5</v>
      </c>
    </row>
    <row r="11" spans="1:8" hidden="1" x14ac:dyDescent="0.3">
      <c r="A11" s="26">
        <v>45834</v>
      </c>
      <c r="B11" s="32" t="s">
        <v>21</v>
      </c>
      <c r="C11" s="24">
        <v>9.84</v>
      </c>
    </row>
    <row r="12" spans="1:8" hidden="1" x14ac:dyDescent="0.3">
      <c r="A12" s="26">
        <v>45834</v>
      </c>
      <c r="B12" s="34" t="s">
        <v>21</v>
      </c>
      <c r="C12" s="24">
        <v>134.38999999999999</v>
      </c>
    </row>
    <row r="13" spans="1:8" hidden="1" x14ac:dyDescent="0.3">
      <c r="A13" s="26">
        <v>45841</v>
      </c>
      <c r="B13" s="27" t="s">
        <v>4</v>
      </c>
      <c r="C13" s="24">
        <v>-144.22999999999999</v>
      </c>
    </row>
    <row r="14" spans="1:8" hidden="1" x14ac:dyDescent="0.3">
      <c r="A14" s="26">
        <v>45842</v>
      </c>
      <c r="B14" s="32" t="s">
        <v>21</v>
      </c>
      <c r="C14" s="24">
        <v>19.46</v>
      </c>
    </row>
    <row r="15" spans="1:8" hidden="1" x14ac:dyDescent="0.3">
      <c r="A15" s="26">
        <v>45842</v>
      </c>
      <c r="B15" s="34" t="s">
        <v>21</v>
      </c>
      <c r="C15" s="24">
        <v>109.4</v>
      </c>
    </row>
    <row r="16" spans="1:8" hidden="1" x14ac:dyDescent="0.3">
      <c r="A16" s="26">
        <v>45848</v>
      </c>
      <c r="B16" s="27" t="s">
        <v>4</v>
      </c>
      <c r="C16" s="24">
        <v>-128.86000000000001</v>
      </c>
    </row>
    <row r="17" spans="1:3" hidden="1" x14ac:dyDescent="0.3">
      <c r="A17" s="26">
        <v>45849</v>
      </c>
      <c r="B17" s="32" t="s">
        <v>21</v>
      </c>
      <c r="C17" s="24">
        <v>15.85</v>
      </c>
    </row>
    <row r="18" spans="1:3" hidden="1" x14ac:dyDescent="0.3">
      <c r="A18" s="26">
        <v>45849</v>
      </c>
      <c r="B18" s="34" t="s">
        <v>21</v>
      </c>
      <c r="C18" s="24">
        <v>90.3</v>
      </c>
    </row>
    <row r="19" spans="1:3" hidden="1" x14ac:dyDescent="0.3">
      <c r="A19" s="26">
        <v>45855</v>
      </c>
      <c r="B19" s="27" t="s">
        <v>4</v>
      </c>
      <c r="C19" s="24">
        <v>-106.15</v>
      </c>
    </row>
    <row r="20" spans="1:3" hidden="1" x14ac:dyDescent="0.3">
      <c r="A20" s="26">
        <v>45855</v>
      </c>
      <c r="B20" s="32" t="s">
        <v>21</v>
      </c>
      <c r="C20" s="24">
        <v>9.84</v>
      </c>
    </row>
    <row r="21" spans="1:3" hidden="1" x14ac:dyDescent="0.3">
      <c r="A21" s="26">
        <v>45855</v>
      </c>
      <c r="B21" s="34" t="s">
        <v>21</v>
      </c>
      <c r="C21" s="24">
        <v>202.53</v>
      </c>
    </row>
    <row r="22" spans="1:3" hidden="1" x14ac:dyDescent="0.3">
      <c r="A22" s="26">
        <v>45859</v>
      </c>
      <c r="B22" s="27" t="s">
        <v>4</v>
      </c>
      <c r="C22" s="24">
        <v>-34.44</v>
      </c>
    </row>
    <row r="23" spans="1:3" hidden="1" x14ac:dyDescent="0.3">
      <c r="A23" s="26">
        <v>45860</v>
      </c>
      <c r="B23" s="27" t="s">
        <v>4</v>
      </c>
      <c r="C23" s="24">
        <v>-57.93</v>
      </c>
    </row>
    <row r="24" spans="1:3" hidden="1" x14ac:dyDescent="0.3">
      <c r="A24" s="26">
        <v>45861</v>
      </c>
      <c r="B24" s="27" t="s">
        <v>4</v>
      </c>
      <c r="C24" s="24">
        <v>-50</v>
      </c>
    </row>
    <row r="25" spans="1:3" hidden="1" x14ac:dyDescent="0.3">
      <c r="A25" s="26">
        <v>45863</v>
      </c>
      <c r="B25" s="27" t="s">
        <v>4</v>
      </c>
      <c r="C25" s="24">
        <v>-20</v>
      </c>
    </row>
    <row r="26" spans="1:3" hidden="1" x14ac:dyDescent="0.3">
      <c r="A26" s="26">
        <v>45863</v>
      </c>
      <c r="B26" s="27" t="s">
        <v>7</v>
      </c>
      <c r="C26" s="24">
        <v>-50</v>
      </c>
    </row>
    <row r="27" spans="1:3" hidden="1" x14ac:dyDescent="0.3">
      <c r="A27" s="26">
        <v>45863</v>
      </c>
      <c r="B27" s="34" t="s">
        <v>21</v>
      </c>
      <c r="C27" s="24">
        <v>114.73</v>
      </c>
    </row>
    <row r="28" spans="1:3" hidden="1" x14ac:dyDescent="0.3">
      <c r="A28" s="26">
        <v>45869</v>
      </c>
      <c r="B28" s="27" t="s">
        <v>4</v>
      </c>
      <c r="C28" s="24">
        <v>-100</v>
      </c>
    </row>
    <row r="29" spans="1:3" hidden="1" x14ac:dyDescent="0.3">
      <c r="A29" s="26">
        <v>45870</v>
      </c>
      <c r="B29" s="27" t="s">
        <v>4</v>
      </c>
      <c r="C29" s="24">
        <v>-14.73</v>
      </c>
    </row>
    <row r="30" spans="1:3" hidden="1" x14ac:dyDescent="0.3">
      <c r="A30" s="26">
        <v>45870</v>
      </c>
      <c r="B30" s="34" t="s">
        <v>21</v>
      </c>
      <c r="C30" s="24">
        <v>116.62</v>
      </c>
    </row>
    <row r="31" spans="1:3" hidden="1" x14ac:dyDescent="0.3">
      <c r="A31" s="26">
        <v>45870</v>
      </c>
      <c r="B31" s="46" t="s">
        <v>21</v>
      </c>
      <c r="C31" s="24">
        <v>11.3</v>
      </c>
    </row>
    <row r="32" spans="1:3" hidden="1" x14ac:dyDescent="0.3">
      <c r="A32" s="26">
        <v>45875</v>
      </c>
      <c r="B32" s="27" t="s">
        <v>4</v>
      </c>
      <c r="C32" s="24">
        <v>-65</v>
      </c>
    </row>
    <row r="33" spans="1:3" hidden="1" x14ac:dyDescent="0.3">
      <c r="A33" s="26">
        <v>45876</v>
      </c>
      <c r="B33" s="27" t="s">
        <v>4</v>
      </c>
      <c r="C33" s="24">
        <v>-62.92</v>
      </c>
    </row>
    <row r="34" spans="1:3" hidden="1" x14ac:dyDescent="0.3">
      <c r="A34" s="26">
        <v>45877</v>
      </c>
      <c r="B34" s="32" t="s">
        <v>21</v>
      </c>
      <c r="C34" s="24">
        <v>15.85</v>
      </c>
    </row>
    <row r="35" spans="1:3" hidden="1" x14ac:dyDescent="0.3">
      <c r="A35" s="26">
        <v>45877</v>
      </c>
      <c r="B35" s="34" t="s">
        <v>21</v>
      </c>
      <c r="C35" s="24">
        <v>107.08</v>
      </c>
    </row>
    <row r="36" spans="1:3" hidden="1" x14ac:dyDescent="0.3">
      <c r="A36" s="26">
        <v>45883</v>
      </c>
      <c r="B36" s="27" t="s">
        <v>4</v>
      </c>
      <c r="C36" s="24">
        <v>-62.93</v>
      </c>
    </row>
    <row r="37" spans="1:3" hidden="1" x14ac:dyDescent="0.3">
      <c r="A37" s="26">
        <v>45884</v>
      </c>
      <c r="B37" s="27" t="s">
        <v>4</v>
      </c>
      <c r="C37" s="24">
        <v>-60</v>
      </c>
    </row>
    <row r="38" spans="1:3" hidden="1" x14ac:dyDescent="0.3">
      <c r="A38" s="26">
        <v>45884</v>
      </c>
      <c r="B38" s="32" t="s">
        <v>21</v>
      </c>
      <c r="C38" s="24">
        <v>9.84</v>
      </c>
    </row>
    <row r="39" spans="1:3" hidden="1" x14ac:dyDescent="0.3">
      <c r="A39" s="26">
        <v>45884</v>
      </c>
      <c r="B39" s="34" t="s">
        <v>21</v>
      </c>
      <c r="C39" s="24">
        <v>119.66</v>
      </c>
    </row>
    <row r="40" spans="1:3" hidden="1" x14ac:dyDescent="0.3">
      <c r="A40" s="26">
        <v>45889</v>
      </c>
      <c r="B40" s="27" t="s">
        <v>4</v>
      </c>
      <c r="C40" s="24">
        <v>-69.5</v>
      </c>
    </row>
    <row r="41" spans="1:3" hidden="1" x14ac:dyDescent="0.3">
      <c r="A41" s="26">
        <v>45890</v>
      </c>
      <c r="B41" s="27" t="s">
        <v>4</v>
      </c>
      <c r="C41" s="24">
        <v>-60</v>
      </c>
    </row>
    <row r="42" spans="1:3" hidden="1" x14ac:dyDescent="0.3">
      <c r="A42" s="26">
        <v>45891</v>
      </c>
      <c r="B42" s="32" t="s">
        <v>21</v>
      </c>
      <c r="C42" s="24">
        <v>15.85</v>
      </c>
    </row>
    <row r="43" spans="1:3" hidden="1" x14ac:dyDescent="0.3">
      <c r="A43" s="26">
        <v>45891</v>
      </c>
      <c r="B43" s="34" t="s">
        <v>21</v>
      </c>
      <c r="C43" s="24">
        <v>145.27000000000001</v>
      </c>
    </row>
    <row r="44" spans="1:3" hidden="1" x14ac:dyDescent="0.3">
      <c r="A44" s="26">
        <v>45891</v>
      </c>
      <c r="B44" s="46" t="s">
        <v>21</v>
      </c>
      <c r="C44" s="24">
        <v>6.6</v>
      </c>
    </row>
    <row r="45" spans="1:3" hidden="1" x14ac:dyDescent="0.3">
      <c r="A45" s="26">
        <v>45896</v>
      </c>
      <c r="B45" s="27" t="s">
        <v>4</v>
      </c>
      <c r="C45" s="24">
        <v>-6.6</v>
      </c>
    </row>
    <row r="46" spans="1:3" hidden="1" x14ac:dyDescent="0.3">
      <c r="A46" s="26">
        <v>45896</v>
      </c>
      <c r="B46" s="27" t="s">
        <v>4</v>
      </c>
      <c r="C46" s="24">
        <v>-31.12</v>
      </c>
    </row>
    <row r="47" spans="1:3" hidden="1" x14ac:dyDescent="0.3">
      <c r="A47" s="26">
        <v>45897</v>
      </c>
      <c r="B47" s="27" t="s">
        <v>4</v>
      </c>
      <c r="C47" s="24">
        <v>-30</v>
      </c>
    </row>
    <row r="48" spans="1:3" hidden="1" x14ac:dyDescent="0.3">
      <c r="A48" s="26">
        <v>45898</v>
      </c>
      <c r="B48" s="27" t="s">
        <v>4</v>
      </c>
      <c r="C48" s="24">
        <v>-100</v>
      </c>
    </row>
    <row r="49" spans="1:3" hidden="1" x14ac:dyDescent="0.3">
      <c r="A49" s="26">
        <v>45899</v>
      </c>
      <c r="B49" s="32" t="s">
        <v>21</v>
      </c>
      <c r="C49" s="24">
        <v>36.799999999999997</v>
      </c>
    </row>
    <row r="50" spans="1:3" hidden="1" x14ac:dyDescent="0.3">
      <c r="A50" s="26">
        <v>45899</v>
      </c>
      <c r="B50" s="34" t="s">
        <v>21</v>
      </c>
      <c r="C50" s="24">
        <v>104.61</v>
      </c>
    </row>
    <row r="51" spans="1:3" hidden="1" x14ac:dyDescent="0.3">
      <c r="A51" s="26">
        <v>45903</v>
      </c>
      <c r="B51" s="27" t="s">
        <v>4</v>
      </c>
      <c r="C51" s="24">
        <v>-41.41</v>
      </c>
    </row>
    <row r="52" spans="1:3" hidden="1" x14ac:dyDescent="0.3">
      <c r="A52" s="26">
        <v>45905</v>
      </c>
      <c r="B52" s="27" t="s">
        <v>4</v>
      </c>
      <c r="C52" s="24">
        <v>-100</v>
      </c>
    </row>
    <row r="53" spans="1:3" hidden="1" x14ac:dyDescent="0.3">
      <c r="A53" s="26">
        <v>45905</v>
      </c>
      <c r="B53" s="32" t="s">
        <v>21</v>
      </c>
      <c r="C53" s="24">
        <v>17.34</v>
      </c>
    </row>
    <row r="54" spans="1:3" hidden="1" x14ac:dyDescent="0.3">
      <c r="A54" s="26">
        <v>45905</v>
      </c>
      <c r="B54" s="34" t="s">
        <v>21</v>
      </c>
      <c r="C54" s="24">
        <v>117.9</v>
      </c>
    </row>
    <row r="55" spans="1:3" hidden="1" x14ac:dyDescent="0.3">
      <c r="A55" s="26">
        <v>45911</v>
      </c>
      <c r="B55" s="27" t="s">
        <v>4</v>
      </c>
      <c r="C55" s="24">
        <v>-45.24</v>
      </c>
    </row>
    <row r="56" spans="1:3" hidden="1" x14ac:dyDescent="0.3">
      <c r="A56" s="26">
        <v>45912</v>
      </c>
      <c r="B56" s="27" t="s">
        <v>4</v>
      </c>
      <c r="C56" s="24">
        <v>-90</v>
      </c>
    </row>
    <row r="57" spans="1:3" hidden="1" x14ac:dyDescent="0.3">
      <c r="A57" s="26">
        <v>45912</v>
      </c>
      <c r="B57" s="34" t="s">
        <v>21</v>
      </c>
      <c r="C57" s="24">
        <v>97.43</v>
      </c>
    </row>
    <row r="58" spans="1:3" hidden="1" x14ac:dyDescent="0.3">
      <c r="A58" s="26">
        <v>45912</v>
      </c>
      <c r="B58" s="46" t="s">
        <v>21</v>
      </c>
      <c r="C58" s="24">
        <v>10.38</v>
      </c>
    </row>
    <row r="59" spans="1:3" hidden="1" x14ac:dyDescent="0.3">
      <c r="A59" s="26">
        <v>45917</v>
      </c>
      <c r="B59" s="27" t="s">
        <v>4</v>
      </c>
      <c r="C59" s="24">
        <v>-40</v>
      </c>
    </row>
    <row r="60" spans="1:3" hidden="1" x14ac:dyDescent="0.3">
      <c r="A60" s="26">
        <v>45918</v>
      </c>
      <c r="B60" s="27" t="s">
        <v>4</v>
      </c>
      <c r="C60" s="24">
        <v>-20</v>
      </c>
    </row>
    <row r="61" spans="1:3" hidden="1" x14ac:dyDescent="0.3">
      <c r="A61" s="26">
        <v>45919</v>
      </c>
      <c r="B61" s="27" t="s">
        <v>4</v>
      </c>
      <c r="C61" s="24">
        <v>-47.81</v>
      </c>
    </row>
    <row r="62" spans="1:3" hidden="1" x14ac:dyDescent="0.3">
      <c r="A62" s="26">
        <v>45919</v>
      </c>
      <c r="B62" s="32" t="s">
        <v>21</v>
      </c>
      <c r="C62" s="24">
        <v>15.85</v>
      </c>
    </row>
    <row r="63" spans="1:3" hidden="1" x14ac:dyDescent="0.3">
      <c r="A63" s="26">
        <v>45919</v>
      </c>
      <c r="B63" s="34" t="s">
        <v>21</v>
      </c>
      <c r="C63" s="24">
        <v>59.72</v>
      </c>
    </row>
    <row r="64" spans="1:3" hidden="1" x14ac:dyDescent="0.3">
      <c r="A64" s="26">
        <v>45926</v>
      </c>
      <c r="B64" s="27" t="s">
        <v>4</v>
      </c>
      <c r="C64" s="24">
        <v>-75.569999999999993</v>
      </c>
    </row>
    <row r="65" spans="1:3" hidden="1" x14ac:dyDescent="0.3">
      <c r="A65" s="26">
        <v>45926</v>
      </c>
      <c r="B65" s="32" t="s">
        <v>21</v>
      </c>
      <c r="C65" s="24">
        <v>25.69</v>
      </c>
    </row>
    <row r="66" spans="1:3" hidden="1" x14ac:dyDescent="0.3">
      <c r="A66" s="26">
        <v>45926</v>
      </c>
      <c r="B66" s="34" t="s">
        <v>21</v>
      </c>
      <c r="C66" s="24">
        <v>141.53</v>
      </c>
    </row>
    <row r="67" spans="1:3" hidden="1" x14ac:dyDescent="0.3">
      <c r="A67" s="26">
        <v>45931</v>
      </c>
      <c r="B67" s="27" t="s">
        <v>4</v>
      </c>
      <c r="C67" s="24">
        <v>-57.22</v>
      </c>
    </row>
    <row r="68" spans="1:3" hidden="1" x14ac:dyDescent="0.3">
      <c r="A68" s="26">
        <v>45932</v>
      </c>
      <c r="B68" s="27" t="s">
        <v>4</v>
      </c>
      <c r="C68" s="24">
        <v>-60</v>
      </c>
    </row>
    <row r="69" spans="1:3" hidden="1" x14ac:dyDescent="0.3">
      <c r="A69" s="26">
        <v>45932</v>
      </c>
      <c r="B69" s="27" t="s">
        <v>4</v>
      </c>
      <c r="C69" s="24">
        <v>-50</v>
      </c>
    </row>
    <row r="70" spans="1:3" hidden="1" x14ac:dyDescent="0.3">
      <c r="A70" s="26">
        <v>45933</v>
      </c>
      <c r="B70" s="32" t="s">
        <v>21</v>
      </c>
      <c r="C70" s="24">
        <v>29.3</v>
      </c>
    </row>
    <row r="71" spans="1:3" hidden="1" x14ac:dyDescent="0.3">
      <c r="A71" s="26">
        <v>45933</v>
      </c>
      <c r="B71" s="34" t="s">
        <v>21</v>
      </c>
      <c r="C71" s="24">
        <v>71.3</v>
      </c>
    </row>
    <row r="72" spans="1:3" hidden="1" x14ac:dyDescent="0.3">
      <c r="A72" s="26">
        <v>45933</v>
      </c>
      <c r="B72" s="46" t="s">
        <v>21</v>
      </c>
      <c r="C72" s="24">
        <v>7.08</v>
      </c>
    </row>
    <row r="73" spans="1:3" hidden="1" x14ac:dyDescent="0.3">
      <c r="A73" s="26">
        <v>45939</v>
      </c>
      <c r="B73" s="27" t="s">
        <v>4</v>
      </c>
      <c r="C73" s="24">
        <v>-50</v>
      </c>
    </row>
    <row r="74" spans="1:3" hidden="1" x14ac:dyDescent="0.3">
      <c r="A74" s="26">
        <v>45940</v>
      </c>
      <c r="B74" s="27" t="s">
        <v>4</v>
      </c>
      <c r="C74" s="24">
        <v>-57.68</v>
      </c>
    </row>
    <row r="75" spans="1:3" hidden="1" x14ac:dyDescent="0.3">
      <c r="A75" s="26">
        <v>45940</v>
      </c>
      <c r="B75" s="32" t="s">
        <v>1</v>
      </c>
      <c r="C75" s="24">
        <v>9.84</v>
      </c>
    </row>
    <row r="76" spans="1:3" hidden="1" x14ac:dyDescent="0.3">
      <c r="A76" s="26">
        <v>45940</v>
      </c>
      <c r="B76" s="34" t="s">
        <v>21</v>
      </c>
      <c r="C76" s="24">
        <v>85.22</v>
      </c>
    </row>
    <row r="77" spans="1:3" hidden="1" x14ac:dyDescent="0.3">
      <c r="A77" s="26">
        <v>45947</v>
      </c>
      <c r="B77" s="27" t="s">
        <v>4</v>
      </c>
      <c r="C77" s="24">
        <v>-95.06</v>
      </c>
    </row>
    <row r="78" spans="1:3" hidden="1" x14ac:dyDescent="0.3">
      <c r="A78" s="26">
        <v>45947</v>
      </c>
      <c r="B78" s="32" t="s">
        <v>1</v>
      </c>
      <c r="C78" s="24">
        <v>16.38</v>
      </c>
    </row>
    <row r="79" spans="1:3" hidden="1" x14ac:dyDescent="0.3">
      <c r="A79" s="26">
        <v>45947</v>
      </c>
      <c r="B79" s="34" t="s">
        <v>21</v>
      </c>
      <c r="C79" s="24">
        <v>182.2</v>
      </c>
    </row>
    <row r="80" spans="1:3" hidden="1" x14ac:dyDescent="0.3">
      <c r="A80" s="26">
        <v>45947</v>
      </c>
      <c r="B80" s="46" t="s">
        <v>21</v>
      </c>
      <c r="C80" s="24">
        <v>37.799999999999997</v>
      </c>
    </row>
    <row r="81" spans="1:3" hidden="1" x14ac:dyDescent="0.3">
      <c r="A81" s="26">
        <v>45952</v>
      </c>
      <c r="B81" s="27" t="s">
        <v>4</v>
      </c>
      <c r="C81" s="24">
        <v>-50</v>
      </c>
    </row>
    <row r="82" spans="1:3" hidden="1" x14ac:dyDescent="0.3">
      <c r="A82" s="26">
        <v>45953</v>
      </c>
      <c r="B82" s="27" t="s">
        <v>4</v>
      </c>
      <c r="C82" s="24">
        <v>-86.38</v>
      </c>
    </row>
    <row r="83" spans="1:3" hidden="1" x14ac:dyDescent="0.3">
      <c r="A83" s="26">
        <v>45953</v>
      </c>
      <c r="B83" s="27" t="s">
        <v>4</v>
      </c>
      <c r="C83" s="24">
        <v>-100</v>
      </c>
    </row>
    <row r="84" spans="1:3" hidden="1" x14ac:dyDescent="0.3">
      <c r="A84" s="26">
        <v>45954</v>
      </c>
      <c r="B84" s="32" t="s">
        <v>1</v>
      </c>
      <c r="C84" s="24">
        <v>26.22</v>
      </c>
    </row>
    <row r="85" spans="1:3" hidden="1" x14ac:dyDescent="0.3">
      <c r="A85" s="26">
        <v>45954</v>
      </c>
      <c r="B85" s="34" t="s">
        <v>21</v>
      </c>
      <c r="C85" s="24">
        <v>102.39</v>
      </c>
    </row>
    <row r="86" spans="1:3" hidden="1" x14ac:dyDescent="0.3">
      <c r="A86" s="26">
        <v>45960</v>
      </c>
      <c r="B86" s="27" t="s">
        <v>4</v>
      </c>
      <c r="C86" s="24">
        <v>-68.61</v>
      </c>
    </row>
    <row r="87" spans="1:3" hidden="1" x14ac:dyDescent="0.3">
      <c r="A87" s="26">
        <v>45961</v>
      </c>
      <c r="B87" s="27" t="s">
        <v>4</v>
      </c>
      <c r="C87" s="24">
        <v>-60</v>
      </c>
    </row>
    <row r="88" spans="1:3" hidden="1" x14ac:dyDescent="0.3">
      <c r="A88" s="26">
        <v>45961</v>
      </c>
      <c r="B88" s="34" t="s">
        <v>21</v>
      </c>
      <c r="C88" s="24">
        <v>112.23</v>
      </c>
    </row>
    <row r="89" spans="1:3" hidden="1" x14ac:dyDescent="0.3">
      <c r="A89" s="26">
        <v>45968</v>
      </c>
      <c r="B89" s="27" t="s">
        <v>4</v>
      </c>
      <c r="C89" s="24">
        <v>-112.23</v>
      </c>
    </row>
    <row r="90" spans="1:3" x14ac:dyDescent="0.3">
      <c r="A90" s="26">
        <v>45968</v>
      </c>
      <c r="B90" s="32" t="s">
        <v>1</v>
      </c>
      <c r="C90" s="24">
        <v>16.38</v>
      </c>
    </row>
    <row r="91" spans="1:3" x14ac:dyDescent="0.3">
      <c r="A91" s="26">
        <v>45968</v>
      </c>
      <c r="B91" s="34" t="s">
        <v>21</v>
      </c>
      <c r="C91" s="24">
        <v>191.94</v>
      </c>
    </row>
    <row r="92" spans="1:3" x14ac:dyDescent="0.3">
      <c r="A92" s="26">
        <v>45968</v>
      </c>
      <c r="B92" s="46" t="s">
        <v>21</v>
      </c>
      <c r="C92" s="24">
        <v>39.39</v>
      </c>
    </row>
    <row r="93" spans="1:3" x14ac:dyDescent="0.3">
      <c r="A93" s="26">
        <v>45975</v>
      </c>
      <c r="B93" s="27" t="s">
        <v>1</v>
      </c>
      <c r="C93" s="24">
        <v>182.17</v>
      </c>
    </row>
    <row r="94" spans="1:3" x14ac:dyDescent="0.3">
      <c r="A94" s="26">
        <v>45976</v>
      </c>
      <c r="B94" s="27" t="s">
        <v>4</v>
      </c>
      <c r="C94" s="24">
        <v>-67.290000000000006</v>
      </c>
    </row>
    <row r="95" spans="1:3" x14ac:dyDescent="0.3">
      <c r="A95" s="26">
        <v>45978</v>
      </c>
      <c r="B95" s="27" t="s">
        <v>4</v>
      </c>
      <c r="C95" s="24">
        <v>-109.26</v>
      </c>
    </row>
    <row r="96" spans="1:3" x14ac:dyDescent="0.3">
      <c r="A96" s="26">
        <v>45978</v>
      </c>
      <c r="B96" s="27" t="s">
        <v>4</v>
      </c>
      <c r="C96" s="24">
        <v>-49.71</v>
      </c>
    </row>
    <row r="97" spans="1:3" x14ac:dyDescent="0.3">
      <c r="A97" s="26">
        <v>45979</v>
      </c>
      <c r="B97" s="27" t="s">
        <v>4</v>
      </c>
      <c r="C97" s="24">
        <v>-20.38</v>
      </c>
    </row>
    <row r="98" spans="1:3" x14ac:dyDescent="0.3">
      <c r="A98" s="26">
        <v>45980</v>
      </c>
      <c r="B98" s="27" t="s">
        <v>4</v>
      </c>
      <c r="C98" s="24">
        <v>-42.17</v>
      </c>
    </row>
    <row r="99" spans="1:3" x14ac:dyDescent="0.3">
      <c r="A99" s="26">
        <v>45981</v>
      </c>
      <c r="B99" s="27" t="s">
        <v>4</v>
      </c>
      <c r="C99" s="24">
        <v>-30</v>
      </c>
    </row>
    <row r="100" spans="1:3" x14ac:dyDescent="0.3">
      <c r="A100" s="26">
        <v>45981</v>
      </c>
      <c r="B100" s="27" t="s">
        <v>4</v>
      </c>
      <c r="C100" s="24">
        <v>-25</v>
      </c>
    </row>
    <row r="101" spans="1:3" x14ac:dyDescent="0.3">
      <c r="A101" s="26">
        <v>45982</v>
      </c>
      <c r="B101" s="27" t="s">
        <v>4</v>
      </c>
      <c r="C101" s="24">
        <v>-85</v>
      </c>
    </row>
    <row r="102" spans="1:3" x14ac:dyDescent="0.3">
      <c r="A102" s="26">
        <v>45982</v>
      </c>
      <c r="B102" s="27" t="s">
        <v>1</v>
      </c>
      <c r="C102" s="24">
        <v>255.29</v>
      </c>
    </row>
    <row r="103" spans="1:3" x14ac:dyDescent="0.3">
      <c r="A103" s="26">
        <v>45988</v>
      </c>
      <c r="B103" s="27" t="s">
        <v>4</v>
      </c>
      <c r="C103" s="24">
        <v>-60.29</v>
      </c>
    </row>
    <row r="104" spans="1:3" x14ac:dyDescent="0.3">
      <c r="A104" s="26">
        <v>45988</v>
      </c>
      <c r="B104" s="27" t="s">
        <v>4</v>
      </c>
      <c r="C104" s="24">
        <v>-40</v>
      </c>
    </row>
    <row r="105" spans="1:3" x14ac:dyDescent="0.3">
      <c r="A105" s="26">
        <v>45989</v>
      </c>
      <c r="B105" s="27" t="s">
        <v>4</v>
      </c>
      <c r="C105" s="24">
        <v>-155</v>
      </c>
    </row>
    <row r="106" spans="1:3" x14ac:dyDescent="0.3">
      <c r="A106" s="26">
        <v>45989</v>
      </c>
      <c r="B106" s="27" t="s">
        <v>1</v>
      </c>
      <c r="C106" s="24">
        <v>182.32</v>
      </c>
    </row>
    <row r="107" spans="1:3" x14ac:dyDescent="0.3">
      <c r="A107" s="26">
        <v>45995</v>
      </c>
      <c r="B107" s="27" t="s">
        <v>4</v>
      </c>
      <c r="C107" s="24">
        <v>-62.32</v>
      </c>
    </row>
    <row r="108" spans="1:3" x14ac:dyDescent="0.3">
      <c r="A108" s="26">
        <v>45996</v>
      </c>
      <c r="B108" s="27" t="s">
        <v>4</v>
      </c>
      <c r="C108" s="24">
        <v>-120</v>
      </c>
    </row>
    <row r="109" spans="1:3" x14ac:dyDescent="0.3">
      <c r="A109" s="26">
        <v>45996</v>
      </c>
      <c r="B109" s="27" t="s">
        <v>1</v>
      </c>
      <c r="C109" s="24">
        <v>242.81</v>
      </c>
    </row>
    <row r="110" spans="1:3" x14ac:dyDescent="0.3">
      <c r="A110" s="26">
        <v>46002</v>
      </c>
      <c r="B110" s="27" t="s">
        <v>4</v>
      </c>
      <c r="C110" s="24">
        <v>-142.81</v>
      </c>
    </row>
    <row r="111" spans="1:3" x14ac:dyDescent="0.3">
      <c r="A111" s="26">
        <v>46003</v>
      </c>
      <c r="B111" s="27" t="s">
        <v>4</v>
      </c>
      <c r="C111" s="24">
        <v>-100</v>
      </c>
    </row>
    <row r="112" spans="1:3" x14ac:dyDescent="0.3">
      <c r="A112" s="26">
        <v>46003</v>
      </c>
      <c r="B112" s="27" t="s">
        <v>1</v>
      </c>
      <c r="C112" s="24">
        <v>150.02000000000001</v>
      </c>
    </row>
    <row r="113" spans="1:3" x14ac:dyDescent="0.3">
      <c r="A113" s="26">
        <v>46009</v>
      </c>
      <c r="B113" s="27" t="s">
        <v>4</v>
      </c>
      <c r="C113" s="24">
        <v>-41.09</v>
      </c>
    </row>
    <row r="114" spans="1:3" x14ac:dyDescent="0.3">
      <c r="A114" s="26">
        <v>46010</v>
      </c>
      <c r="B114" s="27" t="s">
        <v>4</v>
      </c>
      <c r="C114" s="24">
        <v>-110</v>
      </c>
    </row>
    <row r="115" spans="1:3" x14ac:dyDescent="0.3">
      <c r="A115" s="26">
        <v>46010</v>
      </c>
      <c r="B115" s="27" t="s">
        <v>1</v>
      </c>
      <c r="C115" s="24">
        <v>318.93</v>
      </c>
    </row>
    <row r="116" spans="1:3" x14ac:dyDescent="0.3">
      <c r="A116" s="26">
        <v>46017</v>
      </c>
      <c r="B116" s="27" t="s">
        <v>4</v>
      </c>
      <c r="C116" s="24">
        <v>-80.930000000000007</v>
      </c>
    </row>
    <row r="117" spans="1:3" x14ac:dyDescent="0.3">
      <c r="A117" s="26">
        <v>46017</v>
      </c>
      <c r="B117" s="27" t="s">
        <v>1</v>
      </c>
      <c r="C117" s="24">
        <v>166.32</v>
      </c>
    </row>
    <row r="118" spans="1:3" x14ac:dyDescent="0.3">
      <c r="A118" s="26">
        <v>46020</v>
      </c>
      <c r="B118" s="27" t="s">
        <v>4</v>
      </c>
      <c r="C118" s="24">
        <v>-100</v>
      </c>
    </row>
    <row r="119" spans="1:3" x14ac:dyDescent="0.3">
      <c r="A119" s="26">
        <v>46021</v>
      </c>
      <c r="B119" s="27" t="s">
        <v>4</v>
      </c>
      <c r="C119" s="24">
        <v>-100</v>
      </c>
    </row>
    <row r="120" spans="1:3" x14ac:dyDescent="0.3">
      <c r="A120" s="26">
        <v>46027</v>
      </c>
      <c r="B120" s="27" t="s">
        <v>4</v>
      </c>
      <c r="C120" s="24">
        <v>-38</v>
      </c>
    </row>
    <row r="121" spans="1:3" x14ac:dyDescent="0.3">
      <c r="A121" s="26">
        <v>46027</v>
      </c>
      <c r="B121" s="27" t="s">
        <v>4</v>
      </c>
      <c r="C121" s="24">
        <v>-106.32</v>
      </c>
    </row>
    <row r="122" spans="1:3" x14ac:dyDescent="0.3">
      <c r="A122" s="26">
        <v>46027</v>
      </c>
      <c r="B122" s="27" t="s">
        <v>4</v>
      </c>
      <c r="C122" s="24">
        <v>-60</v>
      </c>
    </row>
    <row r="123" spans="1:3" x14ac:dyDescent="0.3">
      <c r="A123" s="26">
        <v>46031</v>
      </c>
      <c r="B123" s="27" t="s">
        <v>1</v>
      </c>
      <c r="C123" s="24">
        <v>140.01</v>
      </c>
    </row>
    <row r="124" spans="1:3" x14ac:dyDescent="0.3">
      <c r="A124" s="26">
        <v>46037</v>
      </c>
      <c r="B124" s="27" t="s">
        <v>4</v>
      </c>
      <c r="C124" s="24">
        <v>-40.01</v>
      </c>
    </row>
    <row r="125" spans="1:3" x14ac:dyDescent="0.3">
      <c r="A125" s="26">
        <v>46038</v>
      </c>
      <c r="B125" s="27" t="s">
        <v>4</v>
      </c>
      <c r="C125" s="24">
        <v>-100</v>
      </c>
    </row>
    <row r="126" spans="1:3" x14ac:dyDescent="0.3">
      <c r="A126" s="26">
        <v>46038</v>
      </c>
      <c r="B126" s="27" t="s">
        <v>1</v>
      </c>
      <c r="C126" s="24">
        <v>104.86</v>
      </c>
    </row>
    <row r="127" spans="1:3" x14ac:dyDescent="0.3">
      <c r="A127" s="26">
        <v>46044</v>
      </c>
      <c r="B127" s="27" t="s">
        <v>4</v>
      </c>
      <c r="C127" s="24">
        <v>-50</v>
      </c>
    </row>
    <row r="128" spans="1:3" x14ac:dyDescent="0.3">
      <c r="A128" s="26">
        <v>46045</v>
      </c>
      <c r="B128" s="27" t="s">
        <v>4</v>
      </c>
      <c r="C128" s="24">
        <v>-54.86</v>
      </c>
    </row>
    <row r="129" spans="1:3" x14ac:dyDescent="0.3">
      <c r="A129" s="26">
        <v>46045</v>
      </c>
      <c r="B129" s="27" t="s">
        <v>1</v>
      </c>
      <c r="C129" s="24">
        <v>144.56</v>
      </c>
    </row>
    <row r="130" spans="1:3" x14ac:dyDescent="0.3">
      <c r="A130" s="26">
        <v>46051</v>
      </c>
      <c r="B130" s="27" t="s">
        <v>4</v>
      </c>
      <c r="C130" s="24">
        <v>-44.56</v>
      </c>
    </row>
    <row r="131" spans="1:3" x14ac:dyDescent="0.3">
      <c r="A131" s="26">
        <v>46052</v>
      </c>
      <c r="B131" s="27" t="s">
        <v>4</v>
      </c>
      <c r="C131" s="24">
        <v>-100</v>
      </c>
    </row>
    <row r="132" spans="1:3" x14ac:dyDescent="0.3">
      <c r="A132" s="26">
        <v>46052</v>
      </c>
      <c r="B132" s="27" t="s">
        <v>1</v>
      </c>
      <c r="C132" s="24">
        <v>297.01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833BD-014D-4B97-B6E0-9B0D1A3D1B3F}">
  <dimension ref="A1:H86"/>
  <sheetViews>
    <sheetView view="pageBreakPreview" zoomScale="80" zoomScaleNormal="100" zoomScaleSheetLayoutView="80" workbookViewId="0">
      <selection activeCell="C9" sqref="C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506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1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45989</v>
      </c>
      <c r="B5" s="71" t="s">
        <v>21</v>
      </c>
      <c r="C5" s="24">
        <v>26.22</v>
      </c>
      <c r="D5" s="30">
        <v>1</v>
      </c>
      <c r="E5" s="30"/>
      <c r="F5" s="30"/>
      <c r="G5" s="22"/>
    </row>
    <row r="6" spans="1:8" x14ac:dyDescent="0.3">
      <c r="A6" s="21">
        <v>46010</v>
      </c>
      <c r="B6" s="27" t="s">
        <v>1</v>
      </c>
      <c r="C6" s="24">
        <v>19.68</v>
      </c>
    </row>
    <row r="7" spans="1:8" x14ac:dyDescent="0.3">
      <c r="A7" s="21">
        <v>46012</v>
      </c>
      <c r="B7" s="71" t="s">
        <v>4</v>
      </c>
      <c r="C7" s="24">
        <v>-26.22</v>
      </c>
    </row>
    <row r="8" spans="1:8" x14ac:dyDescent="0.3">
      <c r="A8" s="26">
        <v>46050</v>
      </c>
      <c r="B8" s="27" t="s">
        <v>4</v>
      </c>
      <c r="C8" s="24">
        <v>-19.68</v>
      </c>
    </row>
    <row r="9" spans="1:8" x14ac:dyDescent="0.3">
      <c r="B9" s="71"/>
    </row>
    <row r="12" spans="1:8" x14ac:dyDescent="0.3">
      <c r="B12" s="71"/>
    </row>
    <row r="13" spans="1:8" x14ac:dyDescent="0.3">
      <c r="B13" s="71"/>
    </row>
    <row r="15" spans="1:8" x14ac:dyDescent="0.3">
      <c r="B15" s="71"/>
    </row>
    <row r="17" spans="2:2" x14ac:dyDescent="0.3">
      <c r="B17" s="71"/>
    </row>
    <row r="20" spans="2:2" x14ac:dyDescent="0.3">
      <c r="B20" s="71"/>
    </row>
    <row r="21" spans="2:2" x14ac:dyDescent="0.3">
      <c r="B21" s="71"/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2C47-8BE0-4BC0-BFBC-715097E74F96}">
  <dimension ref="A1:H86"/>
  <sheetViews>
    <sheetView view="pageBreakPreview" zoomScale="80" zoomScaleNormal="100" zoomScaleSheetLayoutView="80" workbookViewId="0">
      <selection activeCell="C27" sqref="C2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326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3.4200000000000017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45835</v>
      </c>
      <c r="B5" s="32" t="s">
        <v>21</v>
      </c>
      <c r="C5" s="24">
        <v>31.7</v>
      </c>
      <c r="D5" s="30">
        <v>1</v>
      </c>
      <c r="E5" s="30"/>
      <c r="F5" s="30"/>
      <c r="G5" s="22"/>
    </row>
    <row r="6" spans="1:8" hidden="1" x14ac:dyDescent="0.3">
      <c r="A6" s="21">
        <v>45842</v>
      </c>
      <c r="B6" s="27" t="s">
        <v>4</v>
      </c>
      <c r="C6" s="24">
        <v>-31.7</v>
      </c>
    </row>
    <row r="7" spans="1:8" hidden="1" x14ac:dyDescent="0.3">
      <c r="A7" s="21">
        <v>45912</v>
      </c>
      <c r="B7" s="32" t="s">
        <v>1</v>
      </c>
      <c r="C7" s="24">
        <v>31.7</v>
      </c>
      <c r="D7" s="25">
        <v>2</v>
      </c>
    </row>
    <row r="8" spans="1:8" hidden="1" x14ac:dyDescent="0.3">
      <c r="A8" s="26">
        <v>45926</v>
      </c>
      <c r="B8" s="27" t="s">
        <v>7</v>
      </c>
      <c r="C8" s="24">
        <v>-31.71</v>
      </c>
      <c r="D8" s="25">
        <v>-2</v>
      </c>
    </row>
    <row r="9" spans="1:8" hidden="1" x14ac:dyDescent="0.3">
      <c r="A9" s="26">
        <v>45926</v>
      </c>
      <c r="B9" s="32" t="s">
        <v>1</v>
      </c>
      <c r="C9" s="24">
        <v>63.4</v>
      </c>
    </row>
    <row r="10" spans="1:8" hidden="1" x14ac:dyDescent="0.3">
      <c r="A10" s="26">
        <v>45933</v>
      </c>
      <c r="B10" s="27" t="s">
        <v>7</v>
      </c>
      <c r="C10" s="24">
        <v>-63.38</v>
      </c>
    </row>
    <row r="11" spans="1:8" x14ac:dyDescent="0.3">
      <c r="A11" s="26">
        <v>45933</v>
      </c>
      <c r="B11" s="27" t="s">
        <v>7</v>
      </c>
      <c r="C11" s="24">
        <v>-4.6100000000000003</v>
      </c>
      <c r="D11" s="25">
        <v>-1</v>
      </c>
    </row>
    <row r="12" spans="1:8" x14ac:dyDescent="0.3">
      <c r="A12" s="26">
        <v>45933</v>
      </c>
      <c r="B12" s="32" t="s">
        <v>1</v>
      </c>
      <c r="C12" s="24">
        <v>31.7</v>
      </c>
    </row>
    <row r="13" spans="1:8" x14ac:dyDescent="0.3">
      <c r="A13" s="26">
        <v>45940</v>
      </c>
      <c r="B13" s="32" t="s">
        <v>1</v>
      </c>
      <c r="C13" s="24">
        <v>32.76</v>
      </c>
      <c r="D13" s="25">
        <v>2</v>
      </c>
    </row>
    <row r="14" spans="1:8" x14ac:dyDescent="0.3">
      <c r="A14" s="26">
        <v>45946</v>
      </c>
      <c r="B14" s="27" t="s">
        <v>4</v>
      </c>
      <c r="C14" s="24">
        <v>-31.7</v>
      </c>
    </row>
    <row r="15" spans="1:8" x14ac:dyDescent="0.3">
      <c r="A15" s="26">
        <v>45947</v>
      </c>
      <c r="B15" s="32" t="s">
        <v>1</v>
      </c>
      <c r="C15" s="24">
        <v>49.14</v>
      </c>
      <c r="D15" s="25">
        <v>-2</v>
      </c>
    </row>
    <row r="16" spans="1:8" x14ac:dyDescent="0.3">
      <c r="A16" s="26">
        <v>45954</v>
      </c>
      <c r="B16" s="27" t="s">
        <v>4</v>
      </c>
      <c r="C16" s="24">
        <v>-32.76</v>
      </c>
    </row>
    <row r="17" spans="1:3" x14ac:dyDescent="0.3">
      <c r="A17" s="26">
        <v>45954</v>
      </c>
      <c r="B17" s="32" t="s">
        <v>1</v>
      </c>
      <c r="C17" s="24">
        <v>32.76</v>
      </c>
    </row>
    <row r="18" spans="1:3" x14ac:dyDescent="0.3">
      <c r="A18" s="26">
        <v>45961</v>
      </c>
      <c r="B18" s="27" t="s">
        <v>4</v>
      </c>
      <c r="C18" s="24">
        <v>-49.14</v>
      </c>
    </row>
    <row r="19" spans="1:3" x14ac:dyDescent="0.3">
      <c r="A19" s="26">
        <v>45968</v>
      </c>
      <c r="B19" s="27" t="s">
        <v>4</v>
      </c>
      <c r="C19" s="24">
        <v>-32.76</v>
      </c>
    </row>
    <row r="20" spans="1:3" x14ac:dyDescent="0.3">
      <c r="A20" s="26">
        <v>45968</v>
      </c>
      <c r="B20" s="32" t="s">
        <v>1</v>
      </c>
      <c r="C20" s="24">
        <v>49.14</v>
      </c>
    </row>
    <row r="21" spans="1:3" x14ac:dyDescent="0.3">
      <c r="A21" s="26">
        <v>45968</v>
      </c>
      <c r="B21" s="34" t="s">
        <v>1</v>
      </c>
      <c r="C21" s="24">
        <v>3.19</v>
      </c>
    </row>
    <row r="22" spans="1:3" x14ac:dyDescent="0.3">
      <c r="A22" s="26">
        <v>45975</v>
      </c>
      <c r="B22" s="27" t="s">
        <v>1</v>
      </c>
      <c r="C22" s="24">
        <v>32.76</v>
      </c>
    </row>
    <row r="23" spans="1:3" x14ac:dyDescent="0.3">
      <c r="A23" s="26">
        <v>45989</v>
      </c>
      <c r="B23" s="27" t="s">
        <v>1</v>
      </c>
      <c r="C23" s="24">
        <v>65.52</v>
      </c>
    </row>
    <row r="24" spans="1:3" x14ac:dyDescent="0.3">
      <c r="A24" s="21">
        <v>46003</v>
      </c>
      <c r="B24" s="27" t="s">
        <v>4</v>
      </c>
      <c r="C24" s="24">
        <v>-32.76</v>
      </c>
    </row>
    <row r="25" spans="1:3" x14ac:dyDescent="0.3">
      <c r="A25" s="26">
        <v>46037</v>
      </c>
      <c r="B25" s="27" t="s">
        <v>4</v>
      </c>
      <c r="C25" s="24">
        <v>-44.31</v>
      </c>
    </row>
    <row r="26" spans="1:3" x14ac:dyDescent="0.3">
      <c r="A26" s="26">
        <v>46052</v>
      </c>
      <c r="B26" s="27" t="s">
        <v>4</v>
      </c>
      <c r="C26" s="24">
        <v>-65.52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23A4B-54C9-4E83-8EE9-4862F24C63B9}">
  <dimension ref="A1:H86"/>
  <sheetViews>
    <sheetView view="pageBreakPreview" zoomScale="80" zoomScaleNormal="100" zoomScaleSheetLayoutView="8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490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45961</v>
      </c>
      <c r="B5" s="32" t="s">
        <v>21</v>
      </c>
      <c r="C5" s="24">
        <v>49.14</v>
      </c>
      <c r="D5" s="30"/>
      <c r="E5" s="30"/>
      <c r="F5" s="30"/>
      <c r="G5" s="22"/>
    </row>
    <row r="6" spans="1:8" x14ac:dyDescent="0.3">
      <c r="A6" s="21">
        <v>45978</v>
      </c>
      <c r="B6" s="27" t="s">
        <v>4</v>
      </c>
      <c r="C6" s="24">
        <v>-49.14</v>
      </c>
    </row>
    <row r="9" spans="1:8" x14ac:dyDescent="0.3">
      <c r="B9" s="32"/>
    </row>
    <row r="12" spans="1:8" x14ac:dyDescent="0.3">
      <c r="B12" s="32"/>
    </row>
    <row r="13" spans="1:8" x14ac:dyDescent="0.3">
      <c r="B13" s="32"/>
    </row>
    <row r="15" spans="1:8" x14ac:dyDescent="0.3">
      <c r="B15" s="32"/>
    </row>
    <row r="17" spans="2:2" x14ac:dyDescent="0.3">
      <c r="B17" s="32"/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08B41-165D-440E-BEAE-017D406B56A0}">
  <dimension ref="A1:H86"/>
  <sheetViews>
    <sheetView view="pageBreakPreview" zoomScale="80" zoomScaleNormal="100" zoomScaleSheetLayoutView="80" workbookViewId="0">
      <selection activeCell="C35" sqref="C3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384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385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74.749999999999986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45863</v>
      </c>
      <c r="B5" s="27" t="s">
        <v>4</v>
      </c>
      <c r="C5" s="24">
        <v>-25.46</v>
      </c>
      <c r="D5" s="30"/>
      <c r="E5" s="30"/>
      <c r="F5" s="30"/>
      <c r="G5" s="22"/>
    </row>
    <row r="6" spans="1:8" hidden="1" x14ac:dyDescent="0.3">
      <c r="A6" s="21">
        <v>45863</v>
      </c>
      <c r="B6" s="32" t="s">
        <v>21</v>
      </c>
      <c r="C6" s="24">
        <v>25.45</v>
      </c>
    </row>
    <row r="7" spans="1:8" hidden="1" x14ac:dyDescent="0.3">
      <c r="A7" s="26">
        <v>45875</v>
      </c>
      <c r="B7" s="32" t="s">
        <v>21</v>
      </c>
      <c r="C7" s="24">
        <v>9</v>
      </c>
    </row>
    <row r="8" spans="1:8" hidden="1" x14ac:dyDescent="0.3">
      <c r="A8" s="26">
        <v>45875</v>
      </c>
      <c r="B8" s="34" t="s">
        <v>1</v>
      </c>
      <c r="C8" s="24">
        <v>67.56</v>
      </c>
    </row>
    <row r="9" spans="1:8" hidden="1" x14ac:dyDescent="0.3">
      <c r="A9" s="26">
        <v>45881</v>
      </c>
      <c r="B9" s="27" t="s">
        <v>4</v>
      </c>
      <c r="C9" s="24">
        <v>-24.19</v>
      </c>
    </row>
    <row r="10" spans="1:8" hidden="1" x14ac:dyDescent="0.3">
      <c r="A10" s="26">
        <v>45884</v>
      </c>
      <c r="B10" s="27" t="s">
        <v>4</v>
      </c>
      <c r="C10" s="24">
        <v>-22.85</v>
      </c>
    </row>
    <row r="11" spans="1:8" hidden="1" x14ac:dyDescent="0.3">
      <c r="A11" s="26">
        <v>45884</v>
      </c>
      <c r="B11" s="34" t="s">
        <v>1</v>
      </c>
      <c r="C11" s="24">
        <v>39.6</v>
      </c>
    </row>
    <row r="12" spans="1:8" hidden="1" x14ac:dyDescent="0.3">
      <c r="A12" s="26">
        <v>45887</v>
      </c>
      <c r="B12" s="27" t="s">
        <v>4</v>
      </c>
      <c r="C12" s="24">
        <v>-50.43</v>
      </c>
    </row>
    <row r="13" spans="1:8" hidden="1" x14ac:dyDescent="0.3">
      <c r="A13" s="26">
        <v>45890</v>
      </c>
      <c r="B13" s="27" t="s">
        <v>4</v>
      </c>
      <c r="C13" s="24">
        <v>-18.690000000000001</v>
      </c>
    </row>
    <row r="14" spans="1:8" x14ac:dyDescent="0.3">
      <c r="A14" s="26">
        <v>45890</v>
      </c>
      <c r="B14" s="34" t="s">
        <v>1</v>
      </c>
      <c r="C14" s="24">
        <v>10.92</v>
      </c>
    </row>
    <row r="15" spans="1:8" x14ac:dyDescent="0.3">
      <c r="A15" s="26">
        <v>45890</v>
      </c>
      <c r="B15" s="32" t="s">
        <v>1</v>
      </c>
      <c r="C15" s="24">
        <v>56.3</v>
      </c>
    </row>
    <row r="16" spans="1:8" x14ac:dyDescent="0.3">
      <c r="A16" s="26">
        <v>45910</v>
      </c>
      <c r="B16" s="27" t="s">
        <v>4</v>
      </c>
      <c r="C16" s="24">
        <v>-31.97</v>
      </c>
    </row>
    <row r="17" spans="1:3" x14ac:dyDescent="0.3">
      <c r="A17" s="26">
        <v>45912</v>
      </c>
      <c r="B17" s="27" t="s">
        <v>4</v>
      </c>
      <c r="C17" s="24">
        <v>-13.78</v>
      </c>
    </row>
    <row r="18" spans="1:3" x14ac:dyDescent="0.3">
      <c r="A18" s="26">
        <v>45912</v>
      </c>
      <c r="B18" s="27" t="s">
        <v>4</v>
      </c>
      <c r="C18" s="24">
        <v>-19.190000000000001</v>
      </c>
    </row>
    <row r="19" spans="1:3" x14ac:dyDescent="0.3">
      <c r="A19" s="26">
        <v>45916</v>
      </c>
      <c r="B19" s="32" t="s">
        <v>1</v>
      </c>
      <c r="C19" s="24">
        <v>98.25</v>
      </c>
    </row>
    <row r="20" spans="1:3" x14ac:dyDescent="0.3">
      <c r="A20" s="26">
        <v>45916</v>
      </c>
      <c r="B20" s="34" t="s">
        <v>1</v>
      </c>
      <c r="C20" s="24">
        <v>52.32</v>
      </c>
    </row>
    <row r="21" spans="1:3" x14ac:dyDescent="0.3">
      <c r="A21" s="26">
        <v>45930</v>
      </c>
      <c r="B21" s="27" t="s">
        <v>4</v>
      </c>
      <c r="C21" s="24">
        <v>-34.159999999999997</v>
      </c>
    </row>
    <row r="22" spans="1:3" x14ac:dyDescent="0.3">
      <c r="A22" s="26">
        <v>45940</v>
      </c>
      <c r="B22" s="27" t="s">
        <v>4</v>
      </c>
      <c r="C22" s="24">
        <v>-36.21</v>
      </c>
    </row>
    <row r="23" spans="1:3" x14ac:dyDescent="0.3">
      <c r="A23" s="26">
        <v>45942</v>
      </c>
      <c r="B23" s="27" t="s">
        <v>4</v>
      </c>
      <c r="C23" s="24">
        <v>-14.49</v>
      </c>
    </row>
    <row r="24" spans="1:3" x14ac:dyDescent="0.3">
      <c r="A24" s="26">
        <v>45943</v>
      </c>
      <c r="B24" s="27" t="s">
        <v>4</v>
      </c>
      <c r="C24" s="24">
        <v>-23.05</v>
      </c>
    </row>
    <row r="25" spans="1:3" x14ac:dyDescent="0.3">
      <c r="A25" s="26">
        <v>45945</v>
      </c>
      <c r="B25" s="27" t="s">
        <v>4</v>
      </c>
      <c r="C25" s="24">
        <v>-9.5399999999999991</v>
      </c>
    </row>
    <row r="26" spans="1:3" x14ac:dyDescent="0.3">
      <c r="A26" s="26">
        <v>45946</v>
      </c>
      <c r="B26" s="27" t="s">
        <v>4</v>
      </c>
      <c r="C26" s="24">
        <v>-4.7699999999999996</v>
      </c>
    </row>
    <row r="27" spans="1:3" x14ac:dyDescent="0.3">
      <c r="A27" s="26">
        <v>45946</v>
      </c>
      <c r="B27" s="27" t="s">
        <v>4</v>
      </c>
      <c r="C27" s="24">
        <v>-35.619999999999997</v>
      </c>
    </row>
    <row r="28" spans="1:3" x14ac:dyDescent="0.3">
      <c r="A28" s="26">
        <v>45946</v>
      </c>
      <c r="B28" s="32" t="s">
        <v>1</v>
      </c>
      <c r="C28" s="24">
        <v>118.44</v>
      </c>
    </row>
    <row r="29" spans="1:3" x14ac:dyDescent="0.3">
      <c r="A29" s="26">
        <v>45946</v>
      </c>
      <c r="B29" s="34" t="s">
        <v>1</v>
      </c>
      <c r="C29" s="24">
        <v>102</v>
      </c>
    </row>
    <row r="30" spans="1:3" x14ac:dyDescent="0.3">
      <c r="A30" s="26">
        <v>45958</v>
      </c>
      <c r="B30" s="27" t="s">
        <v>4</v>
      </c>
      <c r="C30" s="24">
        <v>-43.21</v>
      </c>
    </row>
    <row r="31" spans="1:3" x14ac:dyDescent="0.3">
      <c r="A31" s="26">
        <v>46001</v>
      </c>
      <c r="B31" s="27" t="s">
        <v>4</v>
      </c>
      <c r="C31" s="24">
        <v>-22.51</v>
      </c>
    </row>
    <row r="32" spans="1:3" x14ac:dyDescent="0.3">
      <c r="A32" s="26">
        <v>46009</v>
      </c>
      <c r="B32" s="27" t="s">
        <v>4</v>
      </c>
      <c r="C32" s="24">
        <v>-35.770000000000003</v>
      </c>
    </row>
    <row r="33" spans="1:3" x14ac:dyDescent="0.3">
      <c r="A33" s="26">
        <v>46020</v>
      </c>
      <c r="B33" s="27" t="s">
        <v>4</v>
      </c>
      <c r="C33" s="24">
        <v>-10.17</v>
      </c>
    </row>
    <row r="34" spans="1:3" x14ac:dyDescent="0.3">
      <c r="A34" s="26">
        <v>46042</v>
      </c>
      <c r="B34" s="27" t="s">
        <v>4</v>
      </c>
      <c r="C34" s="24">
        <v>-29.03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01E0C-8627-4687-A8D3-D2A50F22620A}">
  <dimension ref="A1:AB110"/>
  <sheetViews>
    <sheetView view="pageBreakPreview" topLeftCell="A52" zoomScale="80" zoomScaleNormal="100" zoomScaleSheetLayoutView="80" workbookViewId="0">
      <selection activeCell="C89" sqref="C8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341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-4.345400000000609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45847</v>
      </c>
      <c r="B5" s="27" t="s">
        <v>4</v>
      </c>
      <c r="C5" s="24">
        <v>-82.91</v>
      </c>
      <c r="D5" s="30"/>
      <c r="E5" s="30"/>
      <c r="F5" s="30"/>
      <c r="G5" s="22"/>
    </row>
    <row r="6" spans="1:8" hidden="1" x14ac:dyDescent="0.3">
      <c r="A6" s="21">
        <v>45847</v>
      </c>
      <c r="B6" s="32" t="s">
        <v>21</v>
      </c>
      <c r="C6" s="24">
        <v>19.68</v>
      </c>
    </row>
    <row r="7" spans="1:8" hidden="1" x14ac:dyDescent="0.3">
      <c r="A7" s="21">
        <v>45847</v>
      </c>
      <c r="B7" s="34" t="s">
        <v>1</v>
      </c>
      <c r="C7" s="24">
        <v>21.72</v>
      </c>
    </row>
    <row r="8" spans="1:8" hidden="1" x14ac:dyDescent="0.3">
      <c r="A8" s="21">
        <v>45847</v>
      </c>
      <c r="B8" s="46" t="s">
        <v>1</v>
      </c>
      <c r="C8" s="24">
        <v>41.51</v>
      </c>
    </row>
    <row r="9" spans="1:8" hidden="1" x14ac:dyDescent="0.3">
      <c r="A9" s="26">
        <v>45875</v>
      </c>
      <c r="B9" s="27" t="s">
        <v>4</v>
      </c>
      <c r="C9" s="24">
        <v>-473.95</v>
      </c>
    </row>
    <row r="10" spans="1:8" hidden="1" x14ac:dyDescent="0.3">
      <c r="A10" s="26">
        <v>45875</v>
      </c>
      <c r="B10" s="32" t="s">
        <v>1</v>
      </c>
      <c r="C10" s="24">
        <v>31.7</v>
      </c>
    </row>
    <row r="11" spans="1:8" hidden="1" x14ac:dyDescent="0.3">
      <c r="A11" s="26">
        <v>45875</v>
      </c>
      <c r="B11" s="34" t="s">
        <v>1</v>
      </c>
      <c r="C11" s="24">
        <v>358.5</v>
      </c>
    </row>
    <row r="12" spans="1:8" hidden="1" x14ac:dyDescent="0.3">
      <c r="A12" s="26">
        <v>45875</v>
      </c>
      <c r="B12" s="46" t="s">
        <v>1</v>
      </c>
      <c r="C12" s="24">
        <v>83.7</v>
      </c>
    </row>
    <row r="13" spans="1:8" hidden="1" x14ac:dyDescent="0.3">
      <c r="A13" s="26">
        <v>45876</v>
      </c>
      <c r="B13" s="27" t="s">
        <v>4</v>
      </c>
      <c r="C13" s="24">
        <v>-181.9</v>
      </c>
    </row>
    <row r="14" spans="1:8" hidden="1" x14ac:dyDescent="0.3">
      <c r="A14" s="26">
        <v>45876</v>
      </c>
      <c r="B14" s="34" t="s">
        <v>1</v>
      </c>
      <c r="C14" s="24">
        <v>99.41</v>
      </c>
    </row>
    <row r="15" spans="1:8" hidden="1" x14ac:dyDescent="0.3">
      <c r="A15" s="26">
        <v>45876</v>
      </c>
      <c r="B15" s="46" t="s">
        <v>1</v>
      </c>
      <c r="C15" s="24">
        <v>82.41</v>
      </c>
    </row>
    <row r="16" spans="1:8" hidden="1" x14ac:dyDescent="0.3">
      <c r="A16" s="26">
        <v>45904</v>
      </c>
      <c r="B16" s="27" t="s">
        <v>4</v>
      </c>
      <c r="C16" s="24">
        <v>-285.76</v>
      </c>
    </row>
    <row r="17" spans="1:13" hidden="1" x14ac:dyDescent="0.3">
      <c r="A17" s="26">
        <v>45904</v>
      </c>
      <c r="B17" s="32" t="s">
        <v>1</v>
      </c>
      <c r="C17" s="24">
        <v>15.85</v>
      </c>
    </row>
    <row r="18" spans="1:13" hidden="1" x14ac:dyDescent="0.3">
      <c r="A18" s="26">
        <v>45904</v>
      </c>
      <c r="B18" s="34" t="s">
        <v>1</v>
      </c>
      <c r="C18" s="24">
        <v>73.66</v>
      </c>
    </row>
    <row r="19" spans="1:13" hidden="1" x14ac:dyDescent="0.3">
      <c r="A19" s="26">
        <v>45904</v>
      </c>
      <c r="B19" s="46" t="s">
        <v>1</v>
      </c>
      <c r="C19" s="24">
        <v>196.25</v>
      </c>
    </row>
    <row r="20" spans="1:13" hidden="1" x14ac:dyDescent="0.3">
      <c r="A20" s="26">
        <v>45918</v>
      </c>
      <c r="B20" s="27" t="s">
        <v>4</v>
      </c>
      <c r="C20" s="24">
        <v>-63.4</v>
      </c>
    </row>
    <row r="21" spans="1:13" hidden="1" x14ac:dyDescent="0.3">
      <c r="A21" s="26">
        <v>45918</v>
      </c>
      <c r="B21" s="32" t="s">
        <v>1</v>
      </c>
      <c r="C21" s="24">
        <v>63.4</v>
      </c>
    </row>
    <row r="22" spans="1:13" hidden="1" x14ac:dyDescent="0.3">
      <c r="A22" s="26">
        <v>45919</v>
      </c>
      <c r="B22" s="27" t="s">
        <v>1</v>
      </c>
      <c r="D22" s="25">
        <v>1</v>
      </c>
    </row>
    <row r="23" spans="1:13" hidden="1" x14ac:dyDescent="0.3">
      <c r="A23" s="26">
        <v>45919</v>
      </c>
      <c r="B23" s="34" t="s">
        <v>1</v>
      </c>
      <c r="C23" s="24">
        <v>518.79999999999995</v>
      </c>
    </row>
    <row r="24" spans="1:13" hidden="1" x14ac:dyDescent="0.3">
      <c r="A24" s="26">
        <v>45919</v>
      </c>
      <c r="B24" s="46" t="s">
        <v>1</v>
      </c>
      <c r="C24" s="24">
        <v>631.16999999999996</v>
      </c>
    </row>
    <row r="25" spans="1:13" hidden="1" x14ac:dyDescent="0.3">
      <c r="A25" s="26">
        <v>45922</v>
      </c>
      <c r="B25" s="27" t="s">
        <v>4</v>
      </c>
      <c r="C25" s="24">
        <v>-1149.97</v>
      </c>
    </row>
    <row r="26" spans="1:13" x14ac:dyDescent="0.3">
      <c r="A26" s="26">
        <v>45924</v>
      </c>
      <c r="B26" s="32" t="s">
        <v>1</v>
      </c>
      <c r="C26" s="24">
        <v>80.12</v>
      </c>
    </row>
    <row r="27" spans="1:13" x14ac:dyDescent="0.3">
      <c r="A27" s="26">
        <v>45924</v>
      </c>
      <c r="B27" s="34" t="s">
        <v>1</v>
      </c>
      <c r="C27" s="24">
        <v>113.34</v>
      </c>
    </row>
    <row r="28" spans="1:13" ht="14.4" customHeight="1" x14ac:dyDescent="0.3">
      <c r="A28" s="26">
        <v>45925</v>
      </c>
      <c r="B28" s="27" t="s">
        <v>4</v>
      </c>
      <c r="C28" s="24">
        <v>-193.46</v>
      </c>
    </row>
    <row r="29" spans="1:13" x14ac:dyDescent="0.3">
      <c r="A29" s="26">
        <v>45930</v>
      </c>
      <c r="B29" s="27" t="s">
        <v>4</v>
      </c>
      <c r="C29" s="24">
        <v>-2183.63</v>
      </c>
      <c r="I29" s="18" t="s">
        <v>459</v>
      </c>
    </row>
    <row r="30" spans="1:13" x14ac:dyDescent="0.3">
      <c r="A30" s="26">
        <v>45930</v>
      </c>
      <c r="B30" s="34" t="s">
        <v>1</v>
      </c>
      <c r="C30" s="24">
        <f>-2205.69*1.5%+2205.69</f>
        <v>2172.6046500000002</v>
      </c>
    </row>
    <row r="31" spans="1:13" x14ac:dyDescent="0.3">
      <c r="A31" s="26">
        <v>45933</v>
      </c>
      <c r="B31" s="34" t="s">
        <v>1</v>
      </c>
      <c r="C31" s="24">
        <v>122.8</v>
      </c>
      <c r="J31" s="18">
        <f>2205.69*1.5%</f>
        <v>33.085349999999998</v>
      </c>
    </row>
    <row r="32" spans="1:13" x14ac:dyDescent="0.3">
      <c r="A32" s="26">
        <v>45937</v>
      </c>
      <c r="B32" s="27" t="s">
        <v>4</v>
      </c>
      <c r="C32" s="24">
        <v>-600.03</v>
      </c>
      <c r="J32" s="87">
        <f>2205.69-J31</f>
        <v>2172.6046500000002</v>
      </c>
      <c r="M32" s="87"/>
    </row>
    <row r="33" spans="1:10" x14ac:dyDescent="0.3">
      <c r="A33" s="26">
        <v>45937</v>
      </c>
      <c r="B33" s="27" t="s">
        <v>4</v>
      </c>
      <c r="C33" s="24">
        <v>-747.51</v>
      </c>
    </row>
    <row r="34" spans="1:10" x14ac:dyDescent="0.3">
      <c r="A34" s="26">
        <v>45937</v>
      </c>
      <c r="B34" s="27" t="s">
        <v>1</v>
      </c>
      <c r="C34" s="24">
        <f>123.22*0.985</f>
        <v>121.3717</v>
      </c>
    </row>
    <row r="35" spans="1:10" x14ac:dyDescent="0.3">
      <c r="A35" s="26">
        <v>45937</v>
      </c>
      <c r="B35" s="34" t="s">
        <v>1</v>
      </c>
      <c r="C35" s="24">
        <f>-1444.64*1.5%+1444.64</f>
        <v>1422.9704000000002</v>
      </c>
      <c r="J35" s="87">
        <f>1444.64-C35</f>
        <v>21.669599999999946</v>
      </c>
    </row>
    <row r="36" spans="1:10" x14ac:dyDescent="0.3">
      <c r="A36" s="26">
        <v>45938</v>
      </c>
      <c r="B36" s="27" t="s">
        <v>4</v>
      </c>
      <c r="C36" s="24">
        <v>-301.14999999999998</v>
      </c>
    </row>
    <row r="37" spans="1:10" x14ac:dyDescent="0.3">
      <c r="A37" s="26">
        <v>45944</v>
      </c>
      <c r="B37" s="32" t="s">
        <v>1</v>
      </c>
      <c r="C37" s="24">
        <f>48.5*0.985</f>
        <v>47.772500000000001</v>
      </c>
    </row>
    <row r="38" spans="1:10" x14ac:dyDescent="0.3">
      <c r="A38" s="26">
        <v>45944</v>
      </c>
      <c r="B38" s="34" t="s">
        <v>1</v>
      </c>
      <c r="C38" s="24">
        <f>-301.38*1.5%+301.38</f>
        <v>296.85930000000002</v>
      </c>
      <c r="J38" s="87">
        <f>301.38-C38</f>
        <v>4.5206999999999766</v>
      </c>
    </row>
    <row r="39" spans="1:10" x14ac:dyDescent="0.3">
      <c r="A39" s="26">
        <v>45950</v>
      </c>
      <c r="B39" s="27" t="s">
        <v>4</v>
      </c>
      <c r="C39" s="24">
        <v>-349.88</v>
      </c>
    </row>
    <row r="40" spans="1:10" x14ac:dyDescent="0.3">
      <c r="A40" s="26">
        <v>45951</v>
      </c>
      <c r="B40" s="27" t="s">
        <v>4</v>
      </c>
      <c r="C40" s="24">
        <v>-509.97</v>
      </c>
    </row>
    <row r="41" spans="1:10" x14ac:dyDescent="0.3">
      <c r="A41" s="26">
        <v>45951</v>
      </c>
      <c r="B41" s="32" t="s">
        <v>1</v>
      </c>
      <c r="C41" s="24">
        <f>102.78*0.985</f>
        <v>101.2383</v>
      </c>
    </row>
    <row r="42" spans="1:10" x14ac:dyDescent="0.3">
      <c r="A42" s="26">
        <v>45951</v>
      </c>
      <c r="B42" s="34" t="s">
        <v>1</v>
      </c>
      <c r="C42" s="24">
        <f>-400.26*1.5%+400.26</f>
        <v>394.2561</v>
      </c>
      <c r="I42" s="87"/>
    </row>
    <row r="43" spans="1:10" x14ac:dyDescent="0.3">
      <c r="A43" s="26">
        <v>45951</v>
      </c>
      <c r="B43" s="46" t="s">
        <v>1</v>
      </c>
      <c r="C43" s="24">
        <f>14.7*0.985</f>
        <v>14.4795</v>
      </c>
    </row>
    <row r="44" spans="1:10" x14ac:dyDescent="0.3">
      <c r="A44" s="26">
        <v>45952</v>
      </c>
      <c r="B44" s="27" t="s">
        <v>4</v>
      </c>
      <c r="C44" s="24">
        <v>-685.56</v>
      </c>
    </row>
    <row r="45" spans="1:10" x14ac:dyDescent="0.3">
      <c r="A45" s="26">
        <v>45952</v>
      </c>
      <c r="B45" s="34" t="s">
        <v>1</v>
      </c>
      <c r="C45" s="24">
        <f>-696*1.5%+696</f>
        <v>685.56</v>
      </c>
      <c r="I45" s="87"/>
    </row>
    <row r="46" spans="1:10" x14ac:dyDescent="0.3">
      <c r="A46" s="26">
        <v>45958</v>
      </c>
      <c r="B46" s="27" t="s">
        <v>4</v>
      </c>
      <c r="C46" s="24">
        <v>-1340.69</v>
      </c>
    </row>
    <row r="47" spans="1:10" x14ac:dyDescent="0.3">
      <c r="A47" s="26">
        <v>45958</v>
      </c>
      <c r="B47" s="32" t="s">
        <v>1</v>
      </c>
      <c r="C47" s="24">
        <f>75.48*0.985</f>
        <v>74.347800000000007</v>
      </c>
    </row>
    <row r="48" spans="1:10" x14ac:dyDescent="0.3">
      <c r="A48" s="26">
        <v>45958</v>
      </c>
      <c r="B48" s="34" t="s">
        <v>1</v>
      </c>
      <c r="C48" s="24">
        <f>-1242.55*1.5%+1242.55</f>
        <v>1223.91175</v>
      </c>
      <c r="I48" s="87"/>
    </row>
    <row r="49" spans="1:9" x14ac:dyDescent="0.3">
      <c r="A49" s="26">
        <v>45958</v>
      </c>
      <c r="B49" s="46" t="s">
        <v>1</v>
      </c>
      <c r="C49" s="24">
        <f>42.6*0.985</f>
        <v>41.960999999999999</v>
      </c>
    </row>
    <row r="50" spans="1:9" x14ac:dyDescent="0.3">
      <c r="A50" s="26">
        <v>45965</v>
      </c>
      <c r="B50" s="27" t="s">
        <v>4</v>
      </c>
      <c r="C50" s="24">
        <v>-461.79</v>
      </c>
    </row>
    <row r="51" spans="1:9" x14ac:dyDescent="0.3">
      <c r="A51" s="26">
        <v>45965</v>
      </c>
      <c r="B51" s="34" t="s">
        <v>1</v>
      </c>
      <c r="C51" s="24">
        <f>-389.32*1.5%+389.32</f>
        <v>383.48019999999997</v>
      </c>
      <c r="I51" s="87">
        <f>389.32-C51</f>
        <v>5.8398000000000252</v>
      </c>
    </row>
    <row r="52" spans="1:9" x14ac:dyDescent="0.3">
      <c r="A52" s="26">
        <v>45965</v>
      </c>
      <c r="B52" s="46" t="s">
        <v>1</v>
      </c>
      <c r="C52" s="24">
        <f>79.5*0.985</f>
        <v>78.307500000000005</v>
      </c>
    </row>
    <row r="53" spans="1:9" x14ac:dyDescent="0.3">
      <c r="A53" s="26">
        <v>45972</v>
      </c>
      <c r="B53" s="27" t="s">
        <v>4</v>
      </c>
      <c r="C53" s="24">
        <v>-717.57</v>
      </c>
    </row>
    <row r="54" spans="1:9" x14ac:dyDescent="0.3">
      <c r="A54" s="26">
        <v>45972</v>
      </c>
      <c r="B54" s="27" t="s">
        <v>1</v>
      </c>
      <c r="C54" s="24">
        <f>728.5*0.985</f>
        <v>717.57249999999999</v>
      </c>
      <c r="I54" s="87">
        <f>728.5-C54</f>
        <v>10.927500000000009</v>
      </c>
    </row>
    <row r="55" spans="1:9" x14ac:dyDescent="0.3">
      <c r="A55" s="26">
        <v>45973</v>
      </c>
      <c r="B55" s="27" t="s">
        <v>4</v>
      </c>
      <c r="C55" s="24">
        <v>-1159.6600000000001</v>
      </c>
    </row>
    <row r="56" spans="1:9" x14ac:dyDescent="0.3">
      <c r="A56" s="26">
        <v>45973</v>
      </c>
      <c r="B56" s="27" t="s">
        <v>4</v>
      </c>
      <c r="C56" s="24">
        <v>-37.5</v>
      </c>
    </row>
    <row r="57" spans="1:9" x14ac:dyDescent="0.3">
      <c r="A57" s="26">
        <v>45973</v>
      </c>
      <c r="B57" s="27" t="s">
        <v>1</v>
      </c>
      <c r="C57" s="24">
        <v>1214.82</v>
      </c>
    </row>
    <row r="58" spans="1:9" x14ac:dyDescent="0.3">
      <c r="A58" s="26">
        <v>45979</v>
      </c>
      <c r="B58" s="27" t="s">
        <v>1</v>
      </c>
      <c r="C58" s="24">
        <f>1754.46*0.985</f>
        <v>1728.1431</v>
      </c>
      <c r="I58" s="87">
        <f>1754.46-C58</f>
        <v>26.316900000000032</v>
      </c>
    </row>
    <row r="59" spans="1:9" x14ac:dyDescent="0.3">
      <c r="A59" s="26">
        <v>45980</v>
      </c>
      <c r="B59" s="27" t="s">
        <v>4</v>
      </c>
      <c r="C59" s="24">
        <v>-1728.14</v>
      </c>
    </row>
    <row r="60" spans="1:9" x14ac:dyDescent="0.3">
      <c r="A60" s="26">
        <v>45986</v>
      </c>
      <c r="B60" s="27" t="s">
        <v>1</v>
      </c>
      <c r="C60" s="24">
        <f>743.32*0.985</f>
        <v>732.17020000000002</v>
      </c>
      <c r="D60" s="25">
        <v>-1</v>
      </c>
      <c r="I60" s="87">
        <f>743.32-C60</f>
        <v>11.149800000000027</v>
      </c>
    </row>
    <row r="61" spans="1:9" x14ac:dyDescent="0.3">
      <c r="A61" s="26">
        <v>45993</v>
      </c>
      <c r="B61" s="27" t="s">
        <v>4</v>
      </c>
      <c r="C61" s="24">
        <v>-732.17</v>
      </c>
    </row>
    <row r="62" spans="1:9" x14ac:dyDescent="0.3">
      <c r="A62" s="26">
        <v>45993</v>
      </c>
      <c r="B62" s="27" t="s">
        <v>4</v>
      </c>
      <c r="C62" s="24">
        <v>-705.65</v>
      </c>
    </row>
    <row r="63" spans="1:9" x14ac:dyDescent="0.3">
      <c r="A63" s="26">
        <v>45993</v>
      </c>
      <c r="B63" s="27" t="s">
        <v>1</v>
      </c>
      <c r="C63" s="24">
        <f>716.4*0.985</f>
        <v>705.654</v>
      </c>
      <c r="I63" s="87">
        <f>716.4-C63</f>
        <v>10.745999999999981</v>
      </c>
    </row>
    <row r="64" spans="1:9" x14ac:dyDescent="0.3">
      <c r="A64" s="26">
        <v>46000</v>
      </c>
      <c r="B64" s="27" t="s">
        <v>4</v>
      </c>
      <c r="C64" s="24">
        <v>-1483.06</v>
      </c>
    </row>
    <row r="65" spans="1:28" x14ac:dyDescent="0.3">
      <c r="A65" s="26">
        <v>46000</v>
      </c>
      <c r="B65" s="27" t="s">
        <v>1</v>
      </c>
      <c r="C65" s="24">
        <f>1505.65*0.985</f>
        <v>1483.0652500000001</v>
      </c>
      <c r="I65" s="87">
        <f>1505.65-C65</f>
        <v>22.584749999999985</v>
      </c>
    </row>
    <row r="66" spans="1:28" x14ac:dyDescent="0.3">
      <c r="A66" s="26">
        <v>46007</v>
      </c>
      <c r="B66" s="27" t="s">
        <v>4</v>
      </c>
      <c r="C66" s="24">
        <v>-181.68</v>
      </c>
    </row>
    <row r="67" spans="1:28" x14ac:dyDescent="0.3">
      <c r="A67" s="26">
        <v>46007</v>
      </c>
      <c r="B67" s="27" t="s">
        <v>1</v>
      </c>
      <c r="C67" s="24">
        <f>181.68*0.985</f>
        <v>178.95480000000001</v>
      </c>
      <c r="I67" s="87">
        <f>+C67-181.68</f>
        <v>-2.725200000000001</v>
      </c>
    </row>
    <row r="68" spans="1:28" x14ac:dyDescent="0.3">
      <c r="A68" s="26">
        <v>46014</v>
      </c>
      <c r="B68" s="27" t="s">
        <v>1</v>
      </c>
      <c r="C68" s="24">
        <f>1624.86*0.985</f>
        <v>1600.4870999999998</v>
      </c>
      <c r="I68" s="87">
        <f>1624.86-C68</f>
        <v>24.372900000000072</v>
      </c>
    </row>
    <row r="69" spans="1:28" x14ac:dyDescent="0.3">
      <c r="A69" s="26">
        <v>46015</v>
      </c>
      <c r="B69" s="27" t="s">
        <v>1</v>
      </c>
      <c r="C69" s="24">
        <f>128*0.985</f>
        <v>126.08</v>
      </c>
      <c r="I69" s="87">
        <f>128-C69</f>
        <v>1.9200000000000017</v>
      </c>
    </row>
    <row r="70" spans="1:28" x14ac:dyDescent="0.3">
      <c r="A70" s="26">
        <v>46017</v>
      </c>
      <c r="B70" s="27" t="s">
        <v>4</v>
      </c>
      <c r="C70" s="24">
        <v>-1170</v>
      </c>
    </row>
    <row r="71" spans="1:28" x14ac:dyDescent="0.3">
      <c r="A71" s="26">
        <v>46017</v>
      </c>
      <c r="B71" s="27" t="s">
        <v>4</v>
      </c>
      <c r="C71" s="24">
        <v>-555.72</v>
      </c>
    </row>
    <row r="72" spans="1:28" x14ac:dyDescent="0.3">
      <c r="A72" s="26">
        <v>46021</v>
      </c>
      <c r="B72" s="27" t="s">
        <v>4</v>
      </c>
      <c r="C72" s="24">
        <v>-451.76</v>
      </c>
    </row>
    <row r="73" spans="1:28" x14ac:dyDescent="0.3">
      <c r="A73" s="26">
        <v>46021</v>
      </c>
      <c r="B73" s="27" t="s">
        <v>1</v>
      </c>
      <c r="C73" s="24">
        <f>458.64*0.985</f>
        <v>451.7604</v>
      </c>
      <c r="I73" s="87">
        <f>458.64-C73</f>
        <v>6.8795999999999822</v>
      </c>
      <c r="O73" s="140" t="s">
        <v>459</v>
      </c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</row>
    <row r="74" spans="1:28" x14ac:dyDescent="0.3">
      <c r="A74" s="26">
        <v>46028</v>
      </c>
      <c r="B74" s="27" t="s">
        <v>4</v>
      </c>
      <c r="C74" s="24">
        <v>-837.89</v>
      </c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</row>
    <row r="75" spans="1:28" x14ac:dyDescent="0.3">
      <c r="A75" s="26">
        <v>46028</v>
      </c>
      <c r="B75" s="27" t="s">
        <v>1</v>
      </c>
      <c r="C75" s="24">
        <f>850.65*0.985</f>
        <v>837.89024999999992</v>
      </c>
      <c r="I75" s="87">
        <f>850.65-C75</f>
        <v>12.759750000000054</v>
      </c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</row>
    <row r="76" spans="1:28" x14ac:dyDescent="0.3">
      <c r="A76" s="26">
        <v>46035</v>
      </c>
      <c r="B76" s="27" t="s">
        <v>4</v>
      </c>
      <c r="C76" s="24">
        <v>-371.57</v>
      </c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  <c r="AA76" s="140"/>
      <c r="AB76" s="140"/>
    </row>
    <row r="77" spans="1:28" x14ac:dyDescent="0.3">
      <c r="A77" s="26">
        <v>46035</v>
      </c>
      <c r="B77" s="27" t="s">
        <v>1</v>
      </c>
      <c r="C77" s="24">
        <f>377.23*0.985</f>
        <v>371.57155</v>
      </c>
      <c r="I77" s="87">
        <f>+C77-377.23</f>
        <v>-5.6584500000000162</v>
      </c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  <c r="AA77" s="140"/>
      <c r="AB77" s="140"/>
    </row>
    <row r="78" spans="1:28" x14ac:dyDescent="0.3">
      <c r="A78" s="26">
        <v>46043</v>
      </c>
      <c r="B78" s="27" t="s">
        <v>4</v>
      </c>
      <c r="C78" s="24">
        <v>-980.04</v>
      </c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  <c r="AA78" s="140"/>
      <c r="AB78" s="140"/>
    </row>
    <row r="79" spans="1:28" x14ac:dyDescent="0.3">
      <c r="A79" s="26">
        <v>46043</v>
      </c>
      <c r="B79" s="27" t="s">
        <v>1</v>
      </c>
      <c r="C79" s="24">
        <f>994.96*0.985</f>
        <v>980.03560000000004</v>
      </c>
      <c r="I79" s="87">
        <f>994.96-C79</f>
        <v>14.924399999999991</v>
      </c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  <c r="AA79" s="140"/>
      <c r="AB79" s="140"/>
    </row>
    <row r="80" spans="1:28" x14ac:dyDescent="0.3">
      <c r="A80" s="26">
        <v>46049</v>
      </c>
      <c r="B80" s="27" t="s">
        <v>4</v>
      </c>
      <c r="C80" s="24">
        <v>-17.38</v>
      </c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  <c r="AA80" s="140"/>
      <c r="AB80" s="140"/>
    </row>
    <row r="81" spans="1:28" x14ac:dyDescent="0.3">
      <c r="A81" s="26">
        <v>46049</v>
      </c>
      <c r="B81" s="27" t="s">
        <v>1</v>
      </c>
      <c r="C81" s="24">
        <f>570.51*0.985</f>
        <v>561.95235000000002</v>
      </c>
      <c r="I81" s="87">
        <f>570.51-C81</f>
        <v>8.5576499999999669</v>
      </c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  <c r="AA81" s="140"/>
      <c r="AB81" s="140"/>
    </row>
    <row r="82" spans="1:28" x14ac:dyDescent="0.3">
      <c r="A82" s="26">
        <v>46050</v>
      </c>
      <c r="B82" s="27" t="s">
        <v>4</v>
      </c>
      <c r="C82" s="24">
        <v>-561.95000000000005</v>
      </c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</row>
    <row r="83" spans="1:28" x14ac:dyDescent="0.3">
      <c r="A83" s="26">
        <v>46050</v>
      </c>
      <c r="B83" s="27" t="s">
        <v>4</v>
      </c>
      <c r="C83" s="24">
        <v>-380.54</v>
      </c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  <c r="AB83" s="140"/>
    </row>
    <row r="84" spans="1:28" x14ac:dyDescent="0.3">
      <c r="A84" s="26">
        <v>46050</v>
      </c>
      <c r="B84" s="27" t="s">
        <v>1</v>
      </c>
      <c r="C84" s="24">
        <f>386.34*0.985</f>
        <v>380.54489999999998</v>
      </c>
      <c r="I84" s="87">
        <f>+C84-386.34</f>
        <v>-5.7950999999999908</v>
      </c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</row>
    <row r="85" spans="1:28" x14ac:dyDescent="0.3">
      <c r="A85" s="26">
        <v>46052</v>
      </c>
      <c r="B85" s="27" t="s">
        <v>1</v>
      </c>
      <c r="C85" s="24">
        <f>290*0.985</f>
        <v>285.64999999999998</v>
      </c>
      <c r="I85" s="87">
        <f>290-C85</f>
        <v>4.3500000000000227</v>
      </c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0"/>
      <c r="AB85" s="140"/>
    </row>
    <row r="86" spans="1:28" x14ac:dyDescent="0.3">
      <c r="A86" s="26">
        <v>46055</v>
      </c>
      <c r="B86" s="31" t="s">
        <v>4</v>
      </c>
      <c r="C86" s="24">
        <v>-290</v>
      </c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  <c r="AA86" s="140"/>
      <c r="AB86" s="140"/>
    </row>
    <row r="87" spans="1:28" x14ac:dyDescent="0.3">
      <c r="A87" s="26">
        <v>46056</v>
      </c>
      <c r="B87" s="27" t="s">
        <v>4</v>
      </c>
      <c r="C87" s="24">
        <v>-780</v>
      </c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</row>
    <row r="88" spans="1:28" x14ac:dyDescent="0.3">
      <c r="A88" s="26">
        <v>46056</v>
      </c>
      <c r="B88" s="27" t="s">
        <v>4</v>
      </c>
      <c r="C88" s="24">
        <v>-676.36</v>
      </c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</row>
    <row r="89" spans="1:28" x14ac:dyDescent="0.3">
      <c r="A89" s="26">
        <v>46056</v>
      </c>
      <c r="B89" s="27" t="s">
        <v>1</v>
      </c>
      <c r="C89" s="24">
        <f>1478.54*0.985</f>
        <v>1456.3618999999999</v>
      </c>
      <c r="I89" s="87">
        <f>+C89-1478.54</f>
        <v>-22.178100000000086</v>
      </c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  <c r="AA89" s="140"/>
      <c r="AB89" s="140"/>
    </row>
    <row r="90" spans="1:28" x14ac:dyDescent="0.3"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  <c r="AA90" s="140"/>
      <c r="AB90" s="140"/>
    </row>
    <row r="91" spans="1:28" x14ac:dyDescent="0.3"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B91" s="140"/>
    </row>
    <row r="92" spans="1:28" x14ac:dyDescent="0.3"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B92" s="140"/>
    </row>
    <row r="93" spans="1:28" x14ac:dyDescent="0.3"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B93" s="140"/>
    </row>
    <row r="94" spans="1:28" x14ac:dyDescent="0.3"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  <c r="AA94" s="140"/>
      <c r="AB94" s="140"/>
    </row>
    <row r="95" spans="1:28" x14ac:dyDescent="0.3"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</row>
    <row r="96" spans="1:28" x14ac:dyDescent="0.3"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</row>
    <row r="97" spans="15:28" x14ac:dyDescent="0.3"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</row>
    <row r="98" spans="15:28" x14ac:dyDescent="0.3"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  <c r="AA98" s="140"/>
      <c r="AB98" s="140"/>
    </row>
    <row r="99" spans="15:28" x14ac:dyDescent="0.3"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  <c r="AA99" s="140"/>
      <c r="AB99" s="140"/>
    </row>
    <row r="100" spans="15:28" x14ac:dyDescent="0.3"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  <c r="AA100" s="140"/>
      <c r="AB100" s="140"/>
    </row>
    <row r="101" spans="15:28" x14ac:dyDescent="0.3"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  <c r="AA101" s="140"/>
      <c r="AB101" s="140"/>
    </row>
    <row r="102" spans="15:28" x14ac:dyDescent="0.3"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  <c r="AA102" s="140"/>
      <c r="AB102" s="140"/>
    </row>
    <row r="103" spans="15:28" x14ac:dyDescent="0.3"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0"/>
      <c r="AB103" s="140"/>
    </row>
    <row r="104" spans="15:28" x14ac:dyDescent="0.3"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</row>
    <row r="105" spans="15:28" x14ac:dyDescent="0.3"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  <c r="AB105" s="140"/>
    </row>
    <row r="106" spans="15:28" x14ac:dyDescent="0.3"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  <c r="AA106" s="140"/>
      <c r="AB106" s="140"/>
    </row>
    <row r="107" spans="15:28" x14ac:dyDescent="0.3"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  <c r="AA107" s="140"/>
      <c r="AB107" s="140"/>
    </row>
    <row r="108" spans="15:28" x14ac:dyDescent="0.3"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  <c r="AA108" s="140"/>
      <c r="AB108" s="140"/>
    </row>
    <row r="109" spans="15:28" x14ac:dyDescent="0.3"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0"/>
      <c r="AB109" s="140"/>
    </row>
    <row r="110" spans="15:28" x14ac:dyDescent="0.3"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  <c r="AA110" s="140"/>
      <c r="AB110" s="140"/>
    </row>
  </sheetData>
  <mergeCells count="2">
    <mergeCell ref="A3:B3"/>
    <mergeCell ref="O73:AB110"/>
  </mergeCells>
  <pageMargins left="0.7" right="0.7" top="0.75" bottom="0.75" header="0.3" footer="0.3"/>
  <pageSetup paperSize="5" scale="81" orientation="portrait" r:id="rId1"/>
  <legacy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DC7B1-D04B-405E-9B6D-2D57819B964B}">
  <sheetPr codeName="Hoja51"/>
  <dimension ref="A1:H52"/>
  <sheetViews>
    <sheetView view="pageBreakPreview" zoomScale="80" zoomScaleNormal="100" zoomScaleSheetLayoutView="80" workbookViewId="0">
      <selection activeCell="C53" sqref="C5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106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107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89.560000000000016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45815</v>
      </c>
      <c r="B5" s="31" t="s">
        <v>21</v>
      </c>
      <c r="C5" s="24">
        <v>20.8</v>
      </c>
      <c r="D5" s="30"/>
      <c r="E5" s="30"/>
      <c r="F5" s="30"/>
      <c r="G5" s="22"/>
    </row>
    <row r="6" spans="1:8" hidden="1" x14ac:dyDescent="0.3">
      <c r="A6" s="21">
        <v>45815</v>
      </c>
      <c r="B6" s="72" t="s">
        <v>21</v>
      </c>
      <c r="C6" s="24">
        <v>35.54</v>
      </c>
    </row>
    <row r="7" spans="1:8" hidden="1" x14ac:dyDescent="0.3">
      <c r="A7" s="26">
        <v>45826</v>
      </c>
      <c r="B7" s="27" t="s">
        <v>4</v>
      </c>
      <c r="C7" s="24">
        <v>-56.34</v>
      </c>
    </row>
    <row r="8" spans="1:8" hidden="1" x14ac:dyDescent="0.3">
      <c r="A8" s="26">
        <v>45828</v>
      </c>
      <c r="B8" s="72" t="s">
        <v>21</v>
      </c>
      <c r="C8" s="24">
        <v>20</v>
      </c>
    </row>
    <row r="9" spans="1:8" hidden="1" x14ac:dyDescent="0.3">
      <c r="A9" s="26">
        <v>45831</v>
      </c>
      <c r="B9" s="27" t="s">
        <v>4</v>
      </c>
      <c r="C9" s="24">
        <v>-20</v>
      </c>
    </row>
    <row r="10" spans="1:8" hidden="1" x14ac:dyDescent="0.3">
      <c r="A10" s="26">
        <v>45835</v>
      </c>
      <c r="B10" s="72" t="s">
        <v>21</v>
      </c>
      <c r="C10" s="24">
        <v>9.6</v>
      </c>
    </row>
    <row r="11" spans="1:8" hidden="1" x14ac:dyDescent="0.3">
      <c r="A11" s="26">
        <v>45840</v>
      </c>
      <c r="B11" s="27" t="s">
        <v>4</v>
      </c>
      <c r="C11" s="24">
        <v>-9.5299999999999994</v>
      </c>
    </row>
    <row r="12" spans="1:8" hidden="1" x14ac:dyDescent="0.3">
      <c r="A12" s="26">
        <v>45849</v>
      </c>
      <c r="B12" s="72" t="s">
        <v>21</v>
      </c>
      <c r="C12" s="24">
        <v>37.1</v>
      </c>
    </row>
    <row r="13" spans="1:8" hidden="1" x14ac:dyDescent="0.3">
      <c r="A13" s="26">
        <v>45856</v>
      </c>
      <c r="B13" s="27" t="s">
        <v>4</v>
      </c>
      <c r="C13" s="24">
        <v>-51.44</v>
      </c>
    </row>
    <row r="14" spans="1:8" hidden="1" x14ac:dyDescent="0.3">
      <c r="A14" s="26">
        <v>45856</v>
      </c>
      <c r="B14" s="72" t="s">
        <v>21</v>
      </c>
      <c r="C14" s="24">
        <v>14.34</v>
      </c>
    </row>
    <row r="15" spans="1:8" hidden="1" x14ac:dyDescent="0.3">
      <c r="A15" s="26">
        <v>45863</v>
      </c>
      <c r="B15" s="72" t="s">
        <v>21</v>
      </c>
      <c r="C15" s="24">
        <v>27.64</v>
      </c>
    </row>
    <row r="16" spans="1:8" hidden="1" x14ac:dyDescent="0.3">
      <c r="A16" s="26">
        <v>45870</v>
      </c>
      <c r="B16" s="72" t="s">
        <v>21</v>
      </c>
      <c r="C16" s="24">
        <v>15</v>
      </c>
    </row>
    <row r="17" spans="1:3" hidden="1" x14ac:dyDescent="0.3">
      <c r="A17" s="26">
        <v>45875</v>
      </c>
      <c r="B17" s="27" t="s">
        <v>4</v>
      </c>
      <c r="C17" s="24">
        <v>-42.64</v>
      </c>
    </row>
    <row r="18" spans="1:3" hidden="1" x14ac:dyDescent="0.3">
      <c r="A18" s="26">
        <v>45899</v>
      </c>
      <c r="B18" s="72" t="s">
        <v>21</v>
      </c>
      <c r="C18" s="24">
        <v>38.35</v>
      </c>
    </row>
    <row r="19" spans="1:3" hidden="1" x14ac:dyDescent="0.3">
      <c r="A19" s="26">
        <v>45910</v>
      </c>
      <c r="B19" s="27" t="s">
        <v>4</v>
      </c>
      <c r="C19" s="24">
        <v>-38.35</v>
      </c>
    </row>
    <row r="20" spans="1:3" hidden="1" x14ac:dyDescent="0.3">
      <c r="A20" s="26">
        <v>45912</v>
      </c>
      <c r="B20" s="72" t="s">
        <v>21</v>
      </c>
      <c r="C20" s="24">
        <v>93.55</v>
      </c>
    </row>
    <row r="21" spans="1:3" hidden="1" x14ac:dyDescent="0.3">
      <c r="A21" s="26">
        <v>45912</v>
      </c>
      <c r="B21" s="73" t="s">
        <v>21</v>
      </c>
      <c r="C21" s="24">
        <v>27.6</v>
      </c>
    </row>
    <row r="22" spans="1:3" hidden="1" x14ac:dyDescent="0.3">
      <c r="A22" s="26">
        <v>45918</v>
      </c>
      <c r="B22" s="27" t="s">
        <v>4</v>
      </c>
      <c r="C22" s="24">
        <v>-121.35</v>
      </c>
    </row>
    <row r="23" spans="1:3" hidden="1" x14ac:dyDescent="0.3">
      <c r="A23" s="26">
        <v>45919</v>
      </c>
      <c r="B23" s="72" t="s">
        <v>21</v>
      </c>
      <c r="C23" s="24">
        <v>55.76</v>
      </c>
    </row>
    <row r="24" spans="1:3" hidden="1" x14ac:dyDescent="0.3">
      <c r="A24" s="26">
        <v>45919</v>
      </c>
      <c r="B24" s="73" t="s">
        <v>21</v>
      </c>
      <c r="C24" s="24">
        <v>92.12</v>
      </c>
    </row>
    <row r="25" spans="1:3" hidden="1" x14ac:dyDescent="0.3">
      <c r="A25" s="26">
        <v>45923</v>
      </c>
      <c r="B25" s="27" t="s">
        <v>4</v>
      </c>
      <c r="C25" s="24">
        <v>-147.88</v>
      </c>
    </row>
    <row r="26" spans="1:3" hidden="1" x14ac:dyDescent="0.3">
      <c r="A26" s="26">
        <v>45926</v>
      </c>
      <c r="B26" s="72" t="s">
        <v>21</v>
      </c>
      <c r="C26" s="24">
        <v>51.06</v>
      </c>
    </row>
    <row r="27" spans="1:3" hidden="1" x14ac:dyDescent="0.3">
      <c r="A27" s="26">
        <v>45940</v>
      </c>
      <c r="B27" s="27" t="s">
        <v>4</v>
      </c>
      <c r="C27" s="24">
        <v>-51.06</v>
      </c>
    </row>
    <row r="28" spans="1:3" hidden="1" x14ac:dyDescent="0.3">
      <c r="A28" s="26">
        <v>45947</v>
      </c>
      <c r="B28" s="72" t="s">
        <v>21</v>
      </c>
      <c r="C28" s="24">
        <v>37.4</v>
      </c>
    </row>
    <row r="29" spans="1:3" hidden="1" x14ac:dyDescent="0.3">
      <c r="A29" s="26">
        <v>45947</v>
      </c>
      <c r="B29" s="73" t="s">
        <v>21</v>
      </c>
      <c r="C29" s="24">
        <v>59.16</v>
      </c>
    </row>
    <row r="30" spans="1:3" hidden="1" x14ac:dyDescent="0.3">
      <c r="A30" s="26">
        <v>45953</v>
      </c>
      <c r="B30" s="27" t="s">
        <v>4</v>
      </c>
      <c r="C30" s="24">
        <v>-96.56</v>
      </c>
    </row>
    <row r="31" spans="1:3" hidden="1" x14ac:dyDescent="0.3">
      <c r="A31" s="26">
        <v>45954</v>
      </c>
      <c r="B31" s="72" t="s">
        <v>21</v>
      </c>
      <c r="C31" s="24">
        <v>39.68</v>
      </c>
    </row>
    <row r="32" spans="1:3" hidden="1" x14ac:dyDescent="0.3">
      <c r="A32" s="26">
        <v>45954</v>
      </c>
      <c r="B32" s="73" t="s">
        <v>21</v>
      </c>
      <c r="C32" s="24">
        <v>39.9</v>
      </c>
    </row>
    <row r="33" spans="1:3" hidden="1" x14ac:dyDescent="0.3">
      <c r="A33" s="26">
        <v>45960</v>
      </c>
      <c r="B33" s="27" t="s">
        <v>4</v>
      </c>
      <c r="C33" s="24">
        <v>-79.58</v>
      </c>
    </row>
    <row r="34" spans="1:3" hidden="1" x14ac:dyDescent="0.3">
      <c r="A34" s="26">
        <v>45961</v>
      </c>
      <c r="B34" s="72" t="s">
        <v>21</v>
      </c>
      <c r="C34" s="24">
        <v>29.1</v>
      </c>
    </row>
    <row r="35" spans="1:3" hidden="1" x14ac:dyDescent="0.3">
      <c r="A35" s="26">
        <v>45968</v>
      </c>
      <c r="B35" s="73" t="s">
        <v>21</v>
      </c>
      <c r="C35" s="24">
        <v>93.9</v>
      </c>
    </row>
    <row r="36" spans="1:3" hidden="1" x14ac:dyDescent="0.3">
      <c r="A36" s="26">
        <v>45971</v>
      </c>
      <c r="B36" s="27" t="s">
        <v>4</v>
      </c>
      <c r="C36" s="24">
        <v>-29.1</v>
      </c>
    </row>
    <row r="37" spans="1:3" hidden="1" x14ac:dyDescent="0.3">
      <c r="A37" s="26">
        <v>45982</v>
      </c>
      <c r="B37" s="27" t="s">
        <v>4</v>
      </c>
      <c r="C37" s="24">
        <v>-93.9</v>
      </c>
    </row>
    <row r="38" spans="1:3" x14ac:dyDescent="0.3">
      <c r="A38" s="26">
        <v>45982</v>
      </c>
      <c r="B38" s="27" t="s">
        <v>1</v>
      </c>
      <c r="C38" s="24">
        <v>95.4</v>
      </c>
    </row>
    <row r="39" spans="1:3" x14ac:dyDescent="0.3">
      <c r="A39" s="26">
        <v>45996</v>
      </c>
      <c r="B39" s="27" t="s">
        <v>4</v>
      </c>
      <c r="C39" s="24">
        <v>-95.4</v>
      </c>
    </row>
    <row r="40" spans="1:3" x14ac:dyDescent="0.3">
      <c r="A40" s="26">
        <v>45996</v>
      </c>
      <c r="B40" s="26" t="s">
        <v>1</v>
      </c>
      <c r="C40" s="24">
        <v>15</v>
      </c>
    </row>
    <row r="41" spans="1:3" x14ac:dyDescent="0.3">
      <c r="A41" s="26">
        <v>45999</v>
      </c>
      <c r="B41" s="27" t="s">
        <v>4</v>
      </c>
      <c r="C41" s="24">
        <v>-15</v>
      </c>
    </row>
    <row r="42" spans="1:3" x14ac:dyDescent="0.3">
      <c r="A42" s="26">
        <v>46003</v>
      </c>
      <c r="B42" s="27" t="s">
        <v>1</v>
      </c>
      <c r="C42" s="24">
        <v>86.82</v>
      </c>
    </row>
    <row r="43" spans="1:3" x14ac:dyDescent="0.3">
      <c r="A43" s="26">
        <v>46010</v>
      </c>
      <c r="B43" s="27" t="s">
        <v>4</v>
      </c>
      <c r="C43" s="24">
        <v>-86.82</v>
      </c>
    </row>
    <row r="44" spans="1:3" x14ac:dyDescent="0.3">
      <c r="A44" s="26">
        <v>46010</v>
      </c>
      <c r="B44" s="27" t="s">
        <v>1</v>
      </c>
      <c r="C44" s="24">
        <v>48.44</v>
      </c>
    </row>
    <row r="45" spans="1:3" x14ac:dyDescent="0.3">
      <c r="A45" s="26">
        <v>46017</v>
      </c>
      <c r="B45" s="27" t="s">
        <v>4</v>
      </c>
      <c r="C45" s="24">
        <v>-48.44</v>
      </c>
    </row>
    <row r="46" spans="1:3" x14ac:dyDescent="0.3">
      <c r="A46" s="26">
        <v>46017</v>
      </c>
      <c r="B46" s="27" t="s">
        <v>1</v>
      </c>
      <c r="C46" s="24">
        <v>47.52</v>
      </c>
    </row>
    <row r="47" spans="1:3" x14ac:dyDescent="0.3">
      <c r="A47" s="26">
        <v>46020</v>
      </c>
      <c r="B47" s="27" t="s">
        <v>4</v>
      </c>
      <c r="C47" s="24">
        <v>-47.52</v>
      </c>
    </row>
    <row r="48" spans="1:3" x14ac:dyDescent="0.3">
      <c r="A48" s="26">
        <v>46031</v>
      </c>
      <c r="B48" s="27" t="s">
        <v>1</v>
      </c>
      <c r="C48" s="24">
        <v>47.74</v>
      </c>
    </row>
    <row r="49" spans="1:3" x14ac:dyDescent="0.3">
      <c r="A49" s="26">
        <v>46038</v>
      </c>
      <c r="B49" s="27" t="s">
        <v>4</v>
      </c>
      <c r="C49" s="24">
        <v>-47.74</v>
      </c>
    </row>
    <row r="50" spans="1:3" x14ac:dyDescent="0.3">
      <c r="A50" s="26">
        <v>46038</v>
      </c>
      <c r="B50" s="27" t="s">
        <v>1</v>
      </c>
      <c r="C50" s="24">
        <v>15.52</v>
      </c>
    </row>
    <row r="51" spans="1:3" x14ac:dyDescent="0.3">
      <c r="A51" s="26">
        <v>46049</v>
      </c>
      <c r="B51" s="27" t="s">
        <v>4</v>
      </c>
      <c r="C51" s="24">
        <v>-15.37</v>
      </c>
    </row>
    <row r="52" spans="1:3" x14ac:dyDescent="0.3">
      <c r="A52" s="26">
        <v>46052</v>
      </c>
      <c r="B52" s="27" t="s">
        <v>1</v>
      </c>
      <c r="C52" s="24">
        <v>89.54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36751-4E72-4247-B0FE-E72A4907B358}">
  <sheetPr codeName="Hoja52"/>
  <dimension ref="A1:I67"/>
  <sheetViews>
    <sheetView view="pageBreakPreview" zoomScale="80" zoomScaleNormal="100" zoomScaleSheetLayoutView="80" workbookViewId="0">
      <selection activeCell="C68" sqref="C6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151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 t="s">
        <v>150</v>
      </c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84.500000000000014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45814</v>
      </c>
      <c r="B5" s="32" t="s">
        <v>21</v>
      </c>
      <c r="C5" s="24">
        <v>25.69</v>
      </c>
      <c r="D5" s="30"/>
      <c r="E5" s="30"/>
      <c r="F5" s="30"/>
      <c r="G5" s="22"/>
    </row>
    <row r="6" spans="1:9" hidden="1" x14ac:dyDescent="0.3">
      <c r="A6" s="21">
        <v>45817</v>
      </c>
      <c r="B6" s="31" t="s">
        <v>4</v>
      </c>
      <c r="C6" s="24">
        <v>-25.69</v>
      </c>
    </row>
    <row r="7" spans="1:9" hidden="1" x14ac:dyDescent="0.3">
      <c r="A7" s="26">
        <v>45818</v>
      </c>
      <c r="B7" s="32" t="s">
        <v>21</v>
      </c>
      <c r="C7" s="24">
        <v>15.85</v>
      </c>
    </row>
    <row r="8" spans="1:9" hidden="1" x14ac:dyDescent="0.3">
      <c r="A8" s="26">
        <v>45825</v>
      </c>
      <c r="B8" s="27" t="s">
        <v>4</v>
      </c>
      <c r="C8" s="24">
        <v>-15.85</v>
      </c>
    </row>
    <row r="9" spans="1:9" hidden="1" x14ac:dyDescent="0.3">
      <c r="A9" s="26">
        <v>45825</v>
      </c>
      <c r="B9" s="27" t="s">
        <v>1</v>
      </c>
      <c r="C9" s="24">
        <v>35.200000000000003</v>
      </c>
      <c r="I9" s="25"/>
    </row>
    <row r="10" spans="1:9" hidden="1" x14ac:dyDescent="0.3">
      <c r="A10" s="26">
        <v>45832</v>
      </c>
      <c r="B10" s="31" t="s">
        <v>4</v>
      </c>
      <c r="C10" s="24">
        <v>-35.200000000000003</v>
      </c>
    </row>
    <row r="11" spans="1:9" hidden="1" x14ac:dyDescent="0.3">
      <c r="A11" s="26">
        <v>45832</v>
      </c>
      <c r="B11" s="32" t="s">
        <v>21</v>
      </c>
      <c r="C11" s="24">
        <v>25.69</v>
      </c>
    </row>
    <row r="12" spans="1:9" hidden="1" x14ac:dyDescent="0.3">
      <c r="A12" s="26">
        <v>45838</v>
      </c>
      <c r="B12" s="31" t="s">
        <v>4</v>
      </c>
      <c r="C12" s="24">
        <v>-25.69</v>
      </c>
    </row>
    <row r="13" spans="1:9" hidden="1" x14ac:dyDescent="0.3">
      <c r="A13" s="26">
        <v>45839</v>
      </c>
      <c r="B13" s="32" t="s">
        <v>21</v>
      </c>
      <c r="C13" s="24">
        <v>15.85</v>
      </c>
    </row>
    <row r="14" spans="1:9" hidden="1" x14ac:dyDescent="0.3">
      <c r="A14" s="26">
        <v>45842</v>
      </c>
      <c r="B14" s="27" t="s">
        <v>4</v>
      </c>
      <c r="C14" s="24">
        <v>-15.85</v>
      </c>
    </row>
    <row r="15" spans="1:9" hidden="1" x14ac:dyDescent="0.3">
      <c r="A15" s="26">
        <v>45846</v>
      </c>
      <c r="B15" s="27" t="s">
        <v>4</v>
      </c>
      <c r="C15" s="24">
        <v>-9.84</v>
      </c>
    </row>
    <row r="16" spans="1:9" hidden="1" x14ac:dyDescent="0.3">
      <c r="A16" s="26">
        <v>45846</v>
      </c>
      <c r="B16" s="32" t="s">
        <v>21</v>
      </c>
      <c r="C16" s="24">
        <v>9.84</v>
      </c>
    </row>
    <row r="17" spans="1:3" hidden="1" x14ac:dyDescent="0.3">
      <c r="A17" s="26">
        <v>45853</v>
      </c>
      <c r="B17" s="32" t="s">
        <v>21</v>
      </c>
      <c r="C17" s="24">
        <v>15.85</v>
      </c>
    </row>
    <row r="18" spans="1:3" hidden="1" x14ac:dyDescent="0.3">
      <c r="A18" s="26">
        <v>45854</v>
      </c>
      <c r="B18" s="27" t="s">
        <v>4</v>
      </c>
      <c r="C18" s="24">
        <v>-15.85</v>
      </c>
    </row>
    <row r="19" spans="1:3" hidden="1" x14ac:dyDescent="0.3">
      <c r="A19" s="26">
        <v>45860</v>
      </c>
      <c r="B19" s="27" t="s">
        <v>1</v>
      </c>
      <c r="C19" s="24">
        <v>12.8</v>
      </c>
    </row>
    <row r="20" spans="1:3" hidden="1" x14ac:dyDescent="0.3">
      <c r="A20" s="26">
        <v>45860</v>
      </c>
      <c r="B20" s="32" t="s">
        <v>21</v>
      </c>
      <c r="C20" s="24">
        <v>15.85</v>
      </c>
    </row>
    <row r="21" spans="1:3" hidden="1" x14ac:dyDescent="0.3">
      <c r="A21" s="26">
        <v>45861</v>
      </c>
      <c r="B21" s="27" t="s">
        <v>4</v>
      </c>
      <c r="C21" s="24">
        <v>-28.65</v>
      </c>
    </row>
    <row r="22" spans="1:3" hidden="1" x14ac:dyDescent="0.3">
      <c r="A22" s="26">
        <v>45867</v>
      </c>
      <c r="B22" s="27" t="s">
        <v>1</v>
      </c>
      <c r="C22" s="24">
        <v>22.4</v>
      </c>
    </row>
    <row r="23" spans="1:3" hidden="1" x14ac:dyDescent="0.3">
      <c r="A23" s="26">
        <v>45867</v>
      </c>
      <c r="B23" s="32" t="s">
        <v>21</v>
      </c>
      <c r="C23" s="24">
        <v>25.69</v>
      </c>
    </row>
    <row r="24" spans="1:3" hidden="1" x14ac:dyDescent="0.3">
      <c r="A24" s="26">
        <v>45869</v>
      </c>
      <c r="B24" s="27" t="s">
        <v>4</v>
      </c>
      <c r="C24" s="24">
        <v>-48.09</v>
      </c>
    </row>
    <row r="25" spans="1:3" hidden="1" x14ac:dyDescent="0.3">
      <c r="A25" s="26">
        <v>45881</v>
      </c>
      <c r="B25" s="27" t="s">
        <v>1</v>
      </c>
      <c r="C25" s="24">
        <v>35.200000000000003</v>
      </c>
    </row>
    <row r="26" spans="1:3" hidden="1" x14ac:dyDescent="0.3">
      <c r="A26" s="26">
        <v>45881</v>
      </c>
      <c r="B26" s="32" t="s">
        <v>21</v>
      </c>
      <c r="C26" s="24">
        <v>15.85</v>
      </c>
    </row>
    <row r="27" spans="1:3" hidden="1" x14ac:dyDescent="0.3">
      <c r="A27" s="26">
        <v>45888</v>
      </c>
      <c r="B27" s="32" t="s">
        <v>21</v>
      </c>
      <c r="C27" s="24">
        <v>45.19</v>
      </c>
    </row>
    <row r="28" spans="1:3" hidden="1" x14ac:dyDescent="0.3">
      <c r="A28" s="26">
        <v>45891</v>
      </c>
      <c r="B28" s="27" t="s">
        <v>4</v>
      </c>
      <c r="C28" s="24">
        <v>-51.05</v>
      </c>
    </row>
    <row r="29" spans="1:3" hidden="1" x14ac:dyDescent="0.3">
      <c r="A29" s="26">
        <v>45894</v>
      </c>
      <c r="B29" s="27" t="s">
        <v>4</v>
      </c>
      <c r="C29" s="24">
        <v>-45.37</v>
      </c>
    </row>
    <row r="30" spans="1:3" hidden="1" x14ac:dyDescent="0.3">
      <c r="A30" s="26">
        <v>45895</v>
      </c>
      <c r="B30" s="27" t="s">
        <v>1</v>
      </c>
      <c r="C30" s="24">
        <v>22.4</v>
      </c>
    </row>
    <row r="31" spans="1:3" hidden="1" x14ac:dyDescent="0.3">
      <c r="A31" s="26">
        <v>45895</v>
      </c>
      <c r="B31" s="32" t="s">
        <v>21</v>
      </c>
      <c r="C31" s="24">
        <v>15.85</v>
      </c>
    </row>
    <row r="32" spans="1:3" hidden="1" x14ac:dyDescent="0.3">
      <c r="A32" s="26">
        <v>45898</v>
      </c>
      <c r="B32" s="27" t="s">
        <v>4</v>
      </c>
      <c r="C32" s="24">
        <v>-38.25</v>
      </c>
    </row>
    <row r="33" spans="1:3" hidden="1" x14ac:dyDescent="0.3">
      <c r="A33" s="26">
        <v>45909</v>
      </c>
      <c r="B33" s="32" t="s">
        <v>21</v>
      </c>
      <c r="C33" s="24">
        <v>25.69</v>
      </c>
    </row>
    <row r="34" spans="1:3" hidden="1" x14ac:dyDescent="0.3">
      <c r="A34" s="26">
        <v>45916</v>
      </c>
      <c r="B34" s="27" t="s">
        <v>4</v>
      </c>
      <c r="C34" s="24">
        <v>-25.69</v>
      </c>
    </row>
    <row r="35" spans="1:3" hidden="1" x14ac:dyDescent="0.3">
      <c r="A35" s="26">
        <v>45916</v>
      </c>
      <c r="B35" s="32" t="s">
        <v>21</v>
      </c>
      <c r="C35" s="24">
        <v>15.85</v>
      </c>
    </row>
    <row r="36" spans="1:3" hidden="1" x14ac:dyDescent="0.3">
      <c r="A36" s="26">
        <v>45923</v>
      </c>
      <c r="B36" s="27" t="s">
        <v>4</v>
      </c>
      <c r="C36" s="24">
        <v>-15.85</v>
      </c>
    </row>
    <row r="37" spans="1:3" hidden="1" x14ac:dyDescent="0.3">
      <c r="A37" s="26">
        <v>45923</v>
      </c>
      <c r="B37" s="27" t="s">
        <v>1</v>
      </c>
      <c r="C37" s="24">
        <v>22.4</v>
      </c>
    </row>
    <row r="38" spans="1:3" hidden="1" x14ac:dyDescent="0.3">
      <c r="A38" s="26">
        <v>45923</v>
      </c>
      <c r="B38" s="32" t="s">
        <v>21</v>
      </c>
      <c r="C38" s="24">
        <v>25.69</v>
      </c>
    </row>
    <row r="39" spans="1:3" hidden="1" x14ac:dyDescent="0.3">
      <c r="A39" s="26">
        <v>45930</v>
      </c>
      <c r="B39" s="27" t="s">
        <v>4</v>
      </c>
      <c r="C39" s="24">
        <v>-48.09</v>
      </c>
    </row>
    <row r="40" spans="1:3" hidden="1" x14ac:dyDescent="0.3">
      <c r="A40" s="26">
        <v>45930</v>
      </c>
      <c r="B40" s="27" t="s">
        <v>1</v>
      </c>
      <c r="C40" s="24">
        <v>12.8</v>
      </c>
    </row>
    <row r="41" spans="1:3" hidden="1" x14ac:dyDescent="0.3">
      <c r="A41" s="26">
        <v>45930</v>
      </c>
      <c r="B41" s="32" t="s">
        <v>21</v>
      </c>
      <c r="C41" s="24">
        <v>25.69</v>
      </c>
    </row>
    <row r="42" spans="1:3" hidden="1" x14ac:dyDescent="0.3">
      <c r="A42" s="26">
        <v>45937</v>
      </c>
      <c r="B42" s="27" t="s">
        <v>4</v>
      </c>
      <c r="C42" s="24">
        <v>-38.49</v>
      </c>
    </row>
    <row r="43" spans="1:3" hidden="1" x14ac:dyDescent="0.3">
      <c r="A43" s="26">
        <v>45937</v>
      </c>
      <c r="B43" s="27" t="s">
        <v>1</v>
      </c>
      <c r="C43" s="24">
        <v>12</v>
      </c>
    </row>
    <row r="44" spans="1:3" hidden="1" x14ac:dyDescent="0.3">
      <c r="A44" s="26">
        <v>45937</v>
      </c>
      <c r="B44" s="32" t="s">
        <v>21</v>
      </c>
      <c r="C44" s="24">
        <v>26.22</v>
      </c>
    </row>
    <row r="45" spans="1:3" hidden="1" x14ac:dyDescent="0.3">
      <c r="A45" s="26">
        <v>45944</v>
      </c>
      <c r="B45" s="32" t="s">
        <v>21</v>
      </c>
      <c r="C45" s="24">
        <v>26.22</v>
      </c>
    </row>
    <row r="46" spans="1:3" hidden="1" x14ac:dyDescent="0.3">
      <c r="A46" s="26">
        <v>45950</v>
      </c>
      <c r="B46" s="27" t="s">
        <v>4</v>
      </c>
      <c r="C46" s="24">
        <v>-26.22</v>
      </c>
    </row>
    <row r="47" spans="1:3" hidden="1" x14ac:dyDescent="0.3">
      <c r="A47" s="26">
        <v>45951</v>
      </c>
      <c r="B47" s="27" t="s">
        <v>4</v>
      </c>
      <c r="C47" s="24">
        <v>-32.22</v>
      </c>
    </row>
    <row r="48" spans="1:3" hidden="1" x14ac:dyDescent="0.3">
      <c r="A48" s="26">
        <v>45958</v>
      </c>
      <c r="B48" s="32" t="s">
        <v>21</v>
      </c>
      <c r="C48" s="24">
        <v>46.62</v>
      </c>
    </row>
    <row r="49" spans="1:3" hidden="1" x14ac:dyDescent="0.3">
      <c r="A49" s="26">
        <v>45959</v>
      </c>
      <c r="B49" s="27" t="s">
        <v>4</v>
      </c>
      <c r="C49" s="24">
        <v>-46.62</v>
      </c>
    </row>
    <row r="50" spans="1:3" hidden="1" x14ac:dyDescent="0.3">
      <c r="A50" s="26">
        <v>45965</v>
      </c>
      <c r="B50" s="27" t="s">
        <v>4</v>
      </c>
      <c r="C50" s="24">
        <v>-16.38</v>
      </c>
    </row>
    <row r="51" spans="1:3" hidden="1" x14ac:dyDescent="0.3">
      <c r="A51" s="26">
        <v>45965</v>
      </c>
      <c r="B51" s="32" t="s">
        <v>21</v>
      </c>
      <c r="C51" s="24">
        <v>16.38</v>
      </c>
    </row>
    <row r="52" spans="1:3" hidden="1" x14ac:dyDescent="0.3">
      <c r="A52" s="26">
        <v>45979</v>
      </c>
      <c r="B52" s="27" t="s">
        <v>1</v>
      </c>
      <c r="C52" s="24">
        <v>112.62</v>
      </c>
    </row>
    <row r="53" spans="1:3" hidden="1" x14ac:dyDescent="0.3">
      <c r="A53" s="26">
        <v>45985</v>
      </c>
      <c r="B53" s="27" t="s">
        <v>4</v>
      </c>
      <c r="C53" s="24">
        <v>-118.44</v>
      </c>
    </row>
    <row r="54" spans="1:3" x14ac:dyDescent="0.3">
      <c r="A54" s="26">
        <v>45986</v>
      </c>
      <c r="B54" s="27" t="s">
        <v>1</v>
      </c>
      <c r="C54" s="24">
        <v>25.06</v>
      </c>
    </row>
    <row r="55" spans="1:3" x14ac:dyDescent="0.3">
      <c r="A55" s="26">
        <v>45992</v>
      </c>
      <c r="B55" s="27" t="s">
        <v>4</v>
      </c>
      <c r="C55" s="24">
        <v>-25.06</v>
      </c>
    </row>
    <row r="56" spans="1:3" x14ac:dyDescent="0.3">
      <c r="A56" s="26">
        <v>45993</v>
      </c>
      <c r="B56" s="27" t="s">
        <v>1</v>
      </c>
      <c r="C56" s="24">
        <v>26.22</v>
      </c>
    </row>
    <row r="57" spans="1:3" x14ac:dyDescent="0.3">
      <c r="A57" s="26">
        <v>45995</v>
      </c>
      <c r="B57" s="27" t="s">
        <v>4</v>
      </c>
      <c r="C57" s="24">
        <v>-26.22</v>
      </c>
    </row>
    <row r="58" spans="1:3" x14ac:dyDescent="0.3">
      <c r="A58" s="26">
        <v>46000</v>
      </c>
      <c r="B58" s="27" t="s">
        <v>1</v>
      </c>
      <c r="C58" s="24">
        <v>16.38</v>
      </c>
    </row>
    <row r="59" spans="1:3" x14ac:dyDescent="0.3">
      <c r="A59" s="26">
        <v>46002</v>
      </c>
      <c r="B59" s="27" t="s">
        <v>4</v>
      </c>
      <c r="C59" s="24">
        <v>-16.38</v>
      </c>
    </row>
    <row r="60" spans="1:3" x14ac:dyDescent="0.3">
      <c r="A60" s="26">
        <v>46007</v>
      </c>
      <c r="B60" s="27" t="s">
        <v>1</v>
      </c>
      <c r="C60" s="24">
        <v>62.56</v>
      </c>
    </row>
    <row r="61" spans="1:3" x14ac:dyDescent="0.3">
      <c r="A61" s="26">
        <v>46009</v>
      </c>
      <c r="B61" s="27" t="s">
        <v>4</v>
      </c>
      <c r="C61" s="24">
        <v>-62.56</v>
      </c>
    </row>
    <row r="62" spans="1:3" x14ac:dyDescent="0.3">
      <c r="A62" s="26">
        <v>46035</v>
      </c>
      <c r="B62" s="27" t="s">
        <v>4</v>
      </c>
      <c r="C62" s="24">
        <v>-37.92</v>
      </c>
    </row>
    <row r="63" spans="1:3" x14ac:dyDescent="0.3">
      <c r="A63" s="26">
        <v>46035</v>
      </c>
      <c r="B63" s="27" t="s">
        <v>1</v>
      </c>
      <c r="C63" s="24">
        <v>37.92</v>
      </c>
    </row>
    <row r="64" spans="1:3" x14ac:dyDescent="0.3">
      <c r="A64" s="26">
        <v>46042</v>
      </c>
      <c r="B64" s="27" t="s">
        <v>1</v>
      </c>
      <c r="C64" s="24">
        <v>27.12</v>
      </c>
    </row>
    <row r="65" spans="1:3" x14ac:dyDescent="0.3">
      <c r="A65" s="26">
        <v>46049</v>
      </c>
      <c r="B65" s="27" t="s">
        <v>4</v>
      </c>
      <c r="C65" s="24">
        <v>-27.12</v>
      </c>
    </row>
    <row r="66" spans="1:3" x14ac:dyDescent="0.3">
      <c r="A66" s="26">
        <v>46049</v>
      </c>
      <c r="B66" s="27" t="s">
        <v>1</v>
      </c>
      <c r="C66" s="24">
        <v>27.12</v>
      </c>
    </row>
    <row r="67" spans="1:3" x14ac:dyDescent="0.3">
      <c r="A67" s="26">
        <v>46056</v>
      </c>
      <c r="B67" s="27" t="s">
        <v>1</v>
      </c>
      <c r="C67" s="24">
        <v>57.38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60879-5D80-4A8B-9241-C158C8882D7B}">
  <dimension ref="A1:H86"/>
  <sheetViews>
    <sheetView view="pageBreakPreview" zoomScaleNormal="100" zoomScaleSheetLayoutView="100" workbookViewId="0">
      <selection sqref="A1:H1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462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463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45850</v>
      </c>
      <c r="B5" s="27" t="s">
        <v>4</v>
      </c>
      <c r="C5" s="24">
        <v>-20</v>
      </c>
      <c r="D5" s="30"/>
      <c r="E5" s="30"/>
      <c r="F5" s="30"/>
      <c r="G5" s="22"/>
    </row>
    <row r="6" spans="1:8" x14ac:dyDescent="0.3">
      <c r="A6" s="21">
        <v>45849</v>
      </c>
      <c r="B6" s="34" t="s">
        <v>21</v>
      </c>
      <c r="C6" s="24">
        <v>20</v>
      </c>
    </row>
    <row r="7" spans="1:8" x14ac:dyDescent="0.3">
      <c r="A7" s="21">
        <v>45883</v>
      </c>
      <c r="B7" s="27" t="s">
        <v>4</v>
      </c>
      <c r="C7" s="24">
        <v>-33.15</v>
      </c>
    </row>
    <row r="8" spans="1:8" x14ac:dyDescent="0.3">
      <c r="A8" s="26">
        <v>45882</v>
      </c>
      <c r="B8" s="34" t="s">
        <v>1</v>
      </c>
      <c r="C8" s="24">
        <v>33.39</v>
      </c>
    </row>
    <row r="9" spans="1:8" x14ac:dyDescent="0.3">
      <c r="A9" s="26">
        <v>45903</v>
      </c>
      <c r="B9" s="27" t="s">
        <v>4</v>
      </c>
      <c r="C9" s="24">
        <v>-35.35</v>
      </c>
    </row>
    <row r="10" spans="1:8" x14ac:dyDescent="0.3">
      <c r="A10" s="26">
        <v>45902</v>
      </c>
      <c r="B10" s="32" t="s">
        <v>1</v>
      </c>
      <c r="C10" s="24">
        <v>15.85</v>
      </c>
    </row>
    <row r="11" spans="1:8" x14ac:dyDescent="0.3">
      <c r="A11" s="26">
        <v>45902</v>
      </c>
      <c r="B11" s="34" t="s">
        <v>1</v>
      </c>
      <c r="C11" s="24">
        <v>19.8</v>
      </c>
    </row>
    <row r="12" spans="1:8" x14ac:dyDescent="0.3">
      <c r="A12" s="26">
        <v>45911</v>
      </c>
      <c r="B12" s="27" t="s">
        <v>7</v>
      </c>
      <c r="C12" s="24">
        <v>-0.54</v>
      </c>
    </row>
    <row r="13" spans="1:8" x14ac:dyDescent="0.3">
      <c r="A13" s="26">
        <v>45933</v>
      </c>
      <c r="B13" s="27" t="s">
        <v>4</v>
      </c>
      <c r="C13" s="24">
        <v>-74.22</v>
      </c>
    </row>
    <row r="14" spans="1:8" x14ac:dyDescent="0.3">
      <c r="A14" s="26">
        <v>45933</v>
      </c>
      <c r="B14" s="32" t="s">
        <v>1</v>
      </c>
      <c r="C14" s="24">
        <v>9.84</v>
      </c>
    </row>
    <row r="15" spans="1:8" x14ac:dyDescent="0.3">
      <c r="A15" s="26">
        <v>45933</v>
      </c>
      <c r="B15" s="34" t="s">
        <v>1</v>
      </c>
      <c r="C15" s="24">
        <v>64.38</v>
      </c>
    </row>
    <row r="19" spans="2:2" x14ac:dyDescent="0.3">
      <c r="B19" s="46"/>
    </row>
    <row r="20" spans="2:2" x14ac:dyDescent="0.3">
      <c r="B20" s="32"/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058AD-56AC-4209-A53A-0886D69B3C1C}">
  <sheetPr codeName="Hoja53"/>
  <dimension ref="A1:H149"/>
  <sheetViews>
    <sheetView view="pageBreakPreview" topLeftCell="A118" zoomScale="80" zoomScaleNormal="100" zoomScaleSheetLayoutView="80" workbookViewId="0">
      <selection activeCell="C150" sqref="C15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80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962.39999999999918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45814</v>
      </c>
      <c r="B5" s="32" t="s">
        <v>21</v>
      </c>
      <c r="C5" s="24">
        <v>62.18</v>
      </c>
      <c r="D5" s="30"/>
      <c r="E5" s="30"/>
      <c r="F5" s="30"/>
      <c r="G5" s="22"/>
    </row>
    <row r="6" spans="1:8" hidden="1" x14ac:dyDescent="0.3">
      <c r="A6" s="21">
        <v>45814</v>
      </c>
      <c r="B6" s="34" t="s">
        <v>21</v>
      </c>
      <c r="C6" s="24">
        <v>326.14</v>
      </c>
    </row>
    <row r="7" spans="1:8" hidden="1" x14ac:dyDescent="0.3">
      <c r="A7" s="21">
        <v>45814</v>
      </c>
      <c r="B7" s="51" t="s">
        <v>1</v>
      </c>
      <c r="C7" s="24">
        <v>28.72</v>
      </c>
    </row>
    <row r="8" spans="1:8" hidden="1" x14ac:dyDescent="0.3">
      <c r="A8" s="26">
        <v>45819</v>
      </c>
      <c r="B8" s="27" t="s">
        <v>4</v>
      </c>
      <c r="C8" s="24">
        <v>-417.05</v>
      </c>
    </row>
    <row r="9" spans="1:8" hidden="1" x14ac:dyDescent="0.3">
      <c r="A9" s="26">
        <v>45819</v>
      </c>
      <c r="B9" s="32" t="s">
        <v>21</v>
      </c>
      <c r="C9" s="24">
        <v>55.68</v>
      </c>
    </row>
    <row r="10" spans="1:8" hidden="1" x14ac:dyDescent="0.3">
      <c r="A10" s="26">
        <v>45819</v>
      </c>
      <c r="B10" s="34" t="s">
        <v>21</v>
      </c>
      <c r="C10" s="24">
        <v>368.06</v>
      </c>
    </row>
    <row r="11" spans="1:8" hidden="1" x14ac:dyDescent="0.3">
      <c r="A11" s="26">
        <v>45819</v>
      </c>
      <c r="B11" s="51" t="s">
        <v>1</v>
      </c>
      <c r="C11" s="24">
        <v>10.88</v>
      </c>
    </row>
    <row r="12" spans="1:8" hidden="1" x14ac:dyDescent="0.3">
      <c r="A12" s="26">
        <v>45819</v>
      </c>
      <c r="B12" s="31" t="s">
        <v>1</v>
      </c>
      <c r="C12" s="24">
        <v>34.799999999999997</v>
      </c>
    </row>
    <row r="13" spans="1:8" hidden="1" x14ac:dyDescent="0.3">
      <c r="A13" s="26">
        <v>45820</v>
      </c>
      <c r="B13" s="32" t="s">
        <v>21</v>
      </c>
      <c r="C13" s="24">
        <v>136.30000000000001</v>
      </c>
    </row>
    <row r="14" spans="1:8" hidden="1" x14ac:dyDescent="0.3">
      <c r="A14" s="26">
        <v>45820</v>
      </c>
      <c r="B14" s="34" t="s">
        <v>21</v>
      </c>
      <c r="C14" s="24">
        <v>56.52</v>
      </c>
    </row>
    <row r="15" spans="1:8" hidden="1" x14ac:dyDescent="0.3">
      <c r="A15" s="26">
        <v>45825</v>
      </c>
      <c r="B15" s="27" t="s">
        <v>4</v>
      </c>
      <c r="C15" s="24">
        <v>-219.36</v>
      </c>
    </row>
    <row r="16" spans="1:8" hidden="1" x14ac:dyDescent="0.3">
      <c r="A16" s="26">
        <v>45825</v>
      </c>
      <c r="B16" s="27" t="s">
        <v>4</v>
      </c>
      <c r="C16" s="24">
        <v>-401.34</v>
      </c>
    </row>
    <row r="17" spans="1:3" hidden="1" x14ac:dyDescent="0.3">
      <c r="A17" s="26">
        <v>45825</v>
      </c>
      <c r="B17" s="32" t="s">
        <v>21</v>
      </c>
      <c r="C17" s="24">
        <v>209.13</v>
      </c>
    </row>
    <row r="18" spans="1:3" hidden="1" x14ac:dyDescent="0.3">
      <c r="A18" s="26">
        <v>45825</v>
      </c>
      <c r="B18" s="34" t="s">
        <v>21</v>
      </c>
      <c r="C18" s="24">
        <v>437.85</v>
      </c>
    </row>
    <row r="19" spans="1:3" hidden="1" x14ac:dyDescent="0.3">
      <c r="A19" s="26">
        <v>45825</v>
      </c>
      <c r="B19" s="27" t="s">
        <v>1</v>
      </c>
      <c r="C19" s="24">
        <v>34.86</v>
      </c>
    </row>
    <row r="20" spans="1:3" hidden="1" x14ac:dyDescent="0.3">
      <c r="A20" s="26">
        <v>45826</v>
      </c>
      <c r="B20" s="34" t="s">
        <v>21</v>
      </c>
      <c r="C20" s="24">
        <v>84</v>
      </c>
    </row>
    <row r="21" spans="1:3" hidden="1" x14ac:dyDescent="0.3">
      <c r="A21" s="26">
        <v>45832</v>
      </c>
      <c r="B21" s="27" t="s">
        <v>4</v>
      </c>
      <c r="C21" s="24">
        <v>-464.66</v>
      </c>
    </row>
    <row r="22" spans="1:3" hidden="1" x14ac:dyDescent="0.3">
      <c r="A22" s="26">
        <v>45832</v>
      </c>
      <c r="B22" s="27" t="s">
        <v>4</v>
      </c>
      <c r="C22" s="24">
        <v>-342.71</v>
      </c>
    </row>
    <row r="23" spans="1:3" hidden="1" x14ac:dyDescent="0.3">
      <c r="A23" s="26">
        <v>45832</v>
      </c>
      <c r="B23" s="27" t="s">
        <v>1</v>
      </c>
      <c r="C23" s="24">
        <v>34.86</v>
      </c>
    </row>
    <row r="24" spans="1:3" hidden="1" x14ac:dyDescent="0.3">
      <c r="A24" s="26">
        <v>45832</v>
      </c>
      <c r="B24" s="34" t="s">
        <v>21</v>
      </c>
      <c r="C24" s="24">
        <v>676.17</v>
      </c>
    </row>
    <row r="25" spans="1:3" hidden="1" x14ac:dyDescent="0.3">
      <c r="A25" s="26">
        <v>45832</v>
      </c>
      <c r="B25" s="51" t="s">
        <v>1</v>
      </c>
      <c r="C25" s="24">
        <v>29.06</v>
      </c>
    </row>
    <row r="26" spans="1:3" hidden="1" x14ac:dyDescent="0.3">
      <c r="A26" s="26">
        <v>45840</v>
      </c>
      <c r="B26" s="27" t="s">
        <v>4</v>
      </c>
      <c r="C26" s="24">
        <v>-740.09</v>
      </c>
    </row>
    <row r="27" spans="1:3" hidden="1" x14ac:dyDescent="0.3">
      <c r="A27" s="26">
        <v>45839</v>
      </c>
      <c r="B27" s="32" t="s">
        <v>21</v>
      </c>
      <c r="C27" s="24">
        <v>128.27000000000001</v>
      </c>
    </row>
    <row r="28" spans="1:3" hidden="1" x14ac:dyDescent="0.3">
      <c r="A28" s="26">
        <v>45839</v>
      </c>
      <c r="B28" s="34" t="s">
        <v>21</v>
      </c>
      <c r="C28" s="24">
        <v>483.08</v>
      </c>
    </row>
    <row r="29" spans="1:3" hidden="1" x14ac:dyDescent="0.3">
      <c r="A29" s="26">
        <v>45839</v>
      </c>
      <c r="B29" s="51" t="s">
        <v>1</v>
      </c>
      <c r="C29" s="24">
        <v>26.25</v>
      </c>
    </row>
    <row r="30" spans="1:3" hidden="1" x14ac:dyDescent="0.3">
      <c r="A30" s="26">
        <v>45839</v>
      </c>
      <c r="B30" s="27" t="s">
        <v>1</v>
      </c>
      <c r="C30" s="24">
        <v>34.86</v>
      </c>
    </row>
    <row r="31" spans="1:3" hidden="1" x14ac:dyDescent="0.3">
      <c r="A31" s="26">
        <v>45842</v>
      </c>
      <c r="B31" s="32" t="s">
        <v>21</v>
      </c>
      <c r="C31" s="24">
        <v>90.5</v>
      </c>
    </row>
    <row r="32" spans="1:3" hidden="1" x14ac:dyDescent="0.3">
      <c r="A32" s="26">
        <v>45846</v>
      </c>
      <c r="B32" s="32" t="s">
        <v>21</v>
      </c>
      <c r="C32" s="24">
        <v>150.52000000000001</v>
      </c>
    </row>
    <row r="33" spans="1:3" hidden="1" x14ac:dyDescent="0.3">
      <c r="A33" s="26">
        <v>45846</v>
      </c>
      <c r="B33" s="34" t="s">
        <v>21</v>
      </c>
      <c r="C33" s="24">
        <v>306.26</v>
      </c>
    </row>
    <row r="34" spans="1:3" hidden="1" x14ac:dyDescent="0.3">
      <c r="A34" s="26">
        <v>45847</v>
      </c>
      <c r="B34" s="27" t="s">
        <v>4</v>
      </c>
      <c r="C34" s="24">
        <v>-620.41</v>
      </c>
    </row>
    <row r="35" spans="1:3" hidden="1" x14ac:dyDescent="0.3">
      <c r="A35" s="26">
        <v>45847</v>
      </c>
      <c r="B35" s="27" t="s">
        <v>4</v>
      </c>
      <c r="C35" s="24">
        <v>-143.57</v>
      </c>
    </row>
    <row r="36" spans="1:3" hidden="1" x14ac:dyDescent="0.3">
      <c r="A36" s="26">
        <v>45853</v>
      </c>
      <c r="B36" s="32" t="s">
        <v>21</v>
      </c>
      <c r="C36" s="24">
        <v>190.98</v>
      </c>
    </row>
    <row r="37" spans="1:3" hidden="1" x14ac:dyDescent="0.3">
      <c r="A37" s="26">
        <v>45853</v>
      </c>
      <c r="B37" s="34" t="s">
        <v>21</v>
      </c>
      <c r="C37" s="24">
        <v>690.59</v>
      </c>
    </row>
    <row r="38" spans="1:3" hidden="1" x14ac:dyDescent="0.3">
      <c r="A38" s="26">
        <v>45853</v>
      </c>
      <c r="B38" s="51" t="s">
        <v>1</v>
      </c>
      <c r="C38" s="24">
        <v>65.489999999999995</v>
      </c>
    </row>
    <row r="39" spans="1:3" hidden="1" x14ac:dyDescent="0.3">
      <c r="A39" s="26">
        <v>45853</v>
      </c>
      <c r="B39" s="27" t="s">
        <v>1</v>
      </c>
      <c r="C39" s="24">
        <v>34.86</v>
      </c>
    </row>
    <row r="40" spans="1:3" hidden="1" x14ac:dyDescent="0.3">
      <c r="A40" s="26">
        <v>45856</v>
      </c>
      <c r="B40" s="27" t="s">
        <v>4</v>
      </c>
      <c r="C40" s="24">
        <v>-456.79</v>
      </c>
    </row>
    <row r="41" spans="1:3" hidden="1" x14ac:dyDescent="0.3">
      <c r="A41" s="26">
        <v>45859</v>
      </c>
      <c r="B41" s="27" t="s">
        <v>4</v>
      </c>
      <c r="C41" s="24">
        <v>-983.23</v>
      </c>
    </row>
    <row r="42" spans="1:3" hidden="1" x14ac:dyDescent="0.3">
      <c r="A42" s="26">
        <v>45860</v>
      </c>
      <c r="B42" s="32" t="s">
        <v>21</v>
      </c>
      <c r="C42" s="24">
        <v>186.58</v>
      </c>
    </row>
    <row r="43" spans="1:3" hidden="1" x14ac:dyDescent="0.3">
      <c r="A43" s="26">
        <v>45860</v>
      </c>
      <c r="B43" s="34" t="s">
        <v>21</v>
      </c>
      <c r="C43" s="24">
        <v>1006.83</v>
      </c>
    </row>
    <row r="44" spans="1:3" hidden="1" x14ac:dyDescent="0.3">
      <c r="A44" s="26">
        <v>45860</v>
      </c>
      <c r="B44" s="51" t="s">
        <v>1</v>
      </c>
      <c r="C44" s="24">
        <v>76.3</v>
      </c>
    </row>
    <row r="45" spans="1:3" hidden="1" x14ac:dyDescent="0.3">
      <c r="A45" s="26">
        <v>45860</v>
      </c>
      <c r="B45" s="27" t="s">
        <v>1</v>
      </c>
      <c r="C45" s="24">
        <v>34.86</v>
      </c>
    </row>
    <row r="46" spans="1:3" hidden="1" x14ac:dyDescent="0.3">
      <c r="A46" s="26">
        <v>45863</v>
      </c>
      <c r="B46" s="27" t="s">
        <v>4</v>
      </c>
      <c r="C46" s="24">
        <v>-659.27</v>
      </c>
    </row>
    <row r="47" spans="1:3" hidden="1" x14ac:dyDescent="0.3">
      <c r="A47" s="26">
        <v>45868</v>
      </c>
      <c r="B47" s="27" t="s">
        <v>4</v>
      </c>
      <c r="C47" s="24">
        <v>-589.29</v>
      </c>
    </row>
    <row r="48" spans="1:3" hidden="1" x14ac:dyDescent="0.3">
      <c r="A48" s="26">
        <v>45868</v>
      </c>
      <c r="B48" s="27" t="s">
        <v>4</v>
      </c>
      <c r="C48" s="24">
        <v>-64.459999999999994</v>
      </c>
    </row>
    <row r="49" spans="1:3" hidden="1" x14ac:dyDescent="0.3">
      <c r="A49" s="26">
        <v>45867</v>
      </c>
      <c r="B49" s="32" t="s">
        <v>21</v>
      </c>
      <c r="C49" s="24">
        <v>77.459999999999994</v>
      </c>
    </row>
    <row r="50" spans="1:3" hidden="1" x14ac:dyDescent="0.3">
      <c r="A50" s="26">
        <v>45867</v>
      </c>
      <c r="B50" s="34" t="s">
        <v>21</v>
      </c>
      <c r="C50" s="24">
        <v>946.79</v>
      </c>
    </row>
    <row r="51" spans="1:3" hidden="1" x14ac:dyDescent="0.3">
      <c r="A51" s="26">
        <v>45867</v>
      </c>
      <c r="B51" s="51" t="s">
        <v>1</v>
      </c>
      <c r="C51" s="24">
        <v>23.59</v>
      </c>
    </row>
    <row r="52" spans="1:3" hidden="1" x14ac:dyDescent="0.3">
      <c r="A52" s="26">
        <v>45867</v>
      </c>
      <c r="B52" s="27" t="s">
        <v>1</v>
      </c>
      <c r="C52" s="24">
        <v>34.86</v>
      </c>
    </row>
    <row r="53" spans="1:3" hidden="1" x14ac:dyDescent="0.3">
      <c r="A53" s="26">
        <v>45869</v>
      </c>
      <c r="B53" s="32" t="s">
        <v>21</v>
      </c>
      <c r="C53" s="24">
        <v>11.72</v>
      </c>
    </row>
    <row r="54" spans="1:3" hidden="1" x14ac:dyDescent="0.3">
      <c r="A54" s="26">
        <v>45875</v>
      </c>
      <c r="B54" s="27" t="s">
        <v>4</v>
      </c>
      <c r="C54" s="24">
        <v>-1072.68</v>
      </c>
    </row>
    <row r="55" spans="1:3" hidden="1" x14ac:dyDescent="0.3">
      <c r="A55" s="26">
        <v>45874</v>
      </c>
      <c r="B55" s="34" t="s">
        <v>21</v>
      </c>
      <c r="C55" s="24">
        <v>321.11</v>
      </c>
    </row>
    <row r="56" spans="1:3" hidden="1" x14ac:dyDescent="0.3">
      <c r="A56" s="26">
        <v>45874</v>
      </c>
      <c r="B56" s="51" t="s">
        <v>1</v>
      </c>
      <c r="C56" s="24">
        <v>16.05</v>
      </c>
    </row>
    <row r="57" spans="1:3" hidden="1" x14ac:dyDescent="0.3">
      <c r="A57" s="26">
        <v>45881</v>
      </c>
      <c r="B57" s="32" t="s">
        <v>21</v>
      </c>
      <c r="C57" s="24">
        <v>96.27</v>
      </c>
    </row>
    <row r="58" spans="1:3" hidden="1" x14ac:dyDescent="0.3">
      <c r="A58" s="26">
        <v>45881</v>
      </c>
      <c r="B58" s="34" t="s">
        <v>21</v>
      </c>
      <c r="C58" s="24">
        <v>497.5</v>
      </c>
    </row>
    <row r="59" spans="1:3" hidden="1" x14ac:dyDescent="0.3">
      <c r="A59" s="26">
        <v>45881</v>
      </c>
      <c r="B59" s="51" t="s">
        <v>1</v>
      </c>
      <c r="C59" s="24">
        <v>20.92</v>
      </c>
    </row>
    <row r="60" spans="1:3" hidden="1" x14ac:dyDescent="0.3">
      <c r="A60" s="26">
        <v>45881</v>
      </c>
      <c r="B60" s="27" t="s">
        <v>1</v>
      </c>
      <c r="C60" s="24">
        <v>34.86</v>
      </c>
    </row>
    <row r="61" spans="1:3" hidden="1" x14ac:dyDescent="0.3">
      <c r="A61" s="26">
        <v>45882</v>
      </c>
      <c r="B61" s="27" t="s">
        <v>4</v>
      </c>
      <c r="C61" s="24">
        <v>-604.66999999999996</v>
      </c>
    </row>
    <row r="62" spans="1:3" hidden="1" x14ac:dyDescent="0.3">
      <c r="A62" s="26">
        <v>45888</v>
      </c>
      <c r="B62" s="27" t="s">
        <v>4</v>
      </c>
      <c r="C62" s="24">
        <v>-387.36</v>
      </c>
    </row>
    <row r="63" spans="1:3" hidden="1" x14ac:dyDescent="0.3">
      <c r="A63" s="26">
        <v>45888</v>
      </c>
      <c r="B63" s="32" t="s">
        <v>21</v>
      </c>
      <c r="C63" s="24">
        <v>10.3</v>
      </c>
    </row>
    <row r="64" spans="1:3" hidden="1" x14ac:dyDescent="0.3">
      <c r="A64" s="26">
        <v>45888</v>
      </c>
      <c r="B64" s="34" t="s">
        <v>21</v>
      </c>
      <c r="C64" s="24">
        <v>259</v>
      </c>
    </row>
    <row r="65" spans="1:3" hidden="1" x14ac:dyDescent="0.3">
      <c r="A65" s="26">
        <v>45888</v>
      </c>
      <c r="B65" s="51" t="s">
        <v>1</v>
      </c>
      <c r="C65" s="24">
        <v>17.79</v>
      </c>
    </row>
    <row r="66" spans="1:3" hidden="1" x14ac:dyDescent="0.3">
      <c r="A66" s="26">
        <v>45895</v>
      </c>
      <c r="B66" s="32" t="s">
        <v>21</v>
      </c>
      <c r="C66" s="24">
        <v>126.23</v>
      </c>
    </row>
    <row r="67" spans="1:3" hidden="1" x14ac:dyDescent="0.3">
      <c r="A67" s="26">
        <v>45895</v>
      </c>
      <c r="B67" s="34" t="s">
        <v>21</v>
      </c>
      <c r="C67" s="24">
        <v>189.74</v>
      </c>
    </row>
    <row r="68" spans="1:3" hidden="1" x14ac:dyDescent="0.3">
      <c r="A68" s="26">
        <v>45895</v>
      </c>
      <c r="B68" s="51" t="s">
        <v>1</v>
      </c>
      <c r="C68" s="24">
        <v>19.68</v>
      </c>
    </row>
    <row r="69" spans="1:3" hidden="1" x14ac:dyDescent="0.3">
      <c r="A69" s="26">
        <v>45895</v>
      </c>
      <c r="B69" s="27" t="s">
        <v>1</v>
      </c>
      <c r="C69" s="24">
        <v>69.72</v>
      </c>
    </row>
    <row r="70" spans="1:3" hidden="1" x14ac:dyDescent="0.3">
      <c r="A70" s="26">
        <v>45902</v>
      </c>
      <c r="B70" s="27" t="s">
        <v>4</v>
      </c>
      <c r="C70" s="24">
        <v>-698.09</v>
      </c>
    </row>
    <row r="71" spans="1:3" x14ac:dyDescent="0.3">
      <c r="A71" s="26">
        <v>45902</v>
      </c>
      <c r="B71" s="32" t="s">
        <v>21</v>
      </c>
      <c r="C71" s="24">
        <v>83.08</v>
      </c>
    </row>
    <row r="72" spans="1:3" x14ac:dyDescent="0.3">
      <c r="A72" s="26">
        <v>45902</v>
      </c>
      <c r="B72" s="34" t="s">
        <v>21</v>
      </c>
      <c r="C72" s="24">
        <v>268.48</v>
      </c>
    </row>
    <row r="73" spans="1:3" x14ac:dyDescent="0.3">
      <c r="A73" s="26">
        <v>45902</v>
      </c>
      <c r="B73" s="51" t="s">
        <v>1</v>
      </c>
      <c r="C73" s="24">
        <v>41.78</v>
      </c>
    </row>
    <row r="74" spans="1:3" x14ac:dyDescent="0.3">
      <c r="A74" s="26">
        <v>45904</v>
      </c>
      <c r="B74" s="51" t="s">
        <v>1</v>
      </c>
      <c r="C74" s="24">
        <v>8.2200000000000006</v>
      </c>
    </row>
    <row r="75" spans="1:3" x14ac:dyDescent="0.3">
      <c r="A75" s="26">
        <v>45905</v>
      </c>
      <c r="B75" s="27" t="s">
        <v>4</v>
      </c>
      <c r="C75" s="24">
        <v>-130.87</v>
      </c>
    </row>
    <row r="76" spans="1:3" x14ac:dyDescent="0.3">
      <c r="A76" s="26">
        <v>45909</v>
      </c>
      <c r="B76" s="32" t="s">
        <v>21</v>
      </c>
      <c r="C76" s="24">
        <v>250.82</v>
      </c>
    </row>
    <row r="77" spans="1:3" x14ac:dyDescent="0.3">
      <c r="A77" s="26">
        <v>45909</v>
      </c>
      <c r="B77" s="34" t="s">
        <v>21</v>
      </c>
      <c r="C77" s="24">
        <v>303.68</v>
      </c>
    </row>
    <row r="78" spans="1:3" x14ac:dyDescent="0.3">
      <c r="A78" s="26">
        <v>45909</v>
      </c>
      <c r="B78" s="51" t="s">
        <v>1</v>
      </c>
      <c r="C78" s="24">
        <v>10.38</v>
      </c>
    </row>
    <row r="79" spans="1:3" x14ac:dyDescent="0.3">
      <c r="A79" s="26">
        <v>45909</v>
      </c>
      <c r="B79" s="27" t="s">
        <v>1</v>
      </c>
      <c r="C79" s="24">
        <v>104.58</v>
      </c>
    </row>
    <row r="80" spans="1:3" x14ac:dyDescent="0.3">
      <c r="A80" s="26">
        <v>45910</v>
      </c>
      <c r="B80" s="27" t="s">
        <v>4</v>
      </c>
      <c r="C80" s="24">
        <v>-271.82</v>
      </c>
    </row>
    <row r="81" spans="1:3" x14ac:dyDescent="0.3">
      <c r="A81" s="26">
        <v>45916</v>
      </c>
      <c r="B81" s="27" t="s">
        <v>4</v>
      </c>
      <c r="C81" s="24">
        <v>-662</v>
      </c>
    </row>
    <row r="82" spans="1:3" x14ac:dyDescent="0.3">
      <c r="A82" s="26">
        <v>40</v>
      </c>
      <c r="B82" s="32" t="s">
        <v>21</v>
      </c>
      <c r="C82" s="24">
        <v>59.78</v>
      </c>
    </row>
    <row r="83" spans="1:3" x14ac:dyDescent="0.3">
      <c r="A83" s="26">
        <v>45916</v>
      </c>
      <c r="B83" s="34" t="s">
        <v>21</v>
      </c>
      <c r="C83" s="24">
        <v>588.4</v>
      </c>
    </row>
    <row r="84" spans="1:3" x14ac:dyDescent="0.3">
      <c r="A84" s="26">
        <v>45916</v>
      </c>
      <c r="B84" s="51" t="s">
        <v>1</v>
      </c>
      <c r="C84" s="24">
        <v>21.74</v>
      </c>
    </row>
    <row r="85" spans="1:3" x14ac:dyDescent="0.3">
      <c r="A85" s="26">
        <v>45916</v>
      </c>
      <c r="B85" s="27" t="s">
        <v>1</v>
      </c>
      <c r="C85" s="24">
        <v>34.86</v>
      </c>
    </row>
    <row r="86" spans="1:3" x14ac:dyDescent="0.3">
      <c r="A86" s="26">
        <v>45923</v>
      </c>
      <c r="B86" s="27" t="s">
        <v>4</v>
      </c>
      <c r="C86" s="24">
        <v>-704.92</v>
      </c>
    </row>
    <row r="87" spans="1:3" x14ac:dyDescent="0.3">
      <c r="A87" s="26">
        <v>45923</v>
      </c>
      <c r="B87" s="32" t="s">
        <v>21</v>
      </c>
      <c r="C87" s="24">
        <v>112.88</v>
      </c>
    </row>
    <row r="88" spans="1:3" x14ac:dyDescent="0.3">
      <c r="A88" s="26">
        <v>45923</v>
      </c>
      <c r="B88" s="34" t="s">
        <v>21</v>
      </c>
      <c r="C88" s="24">
        <v>199.6</v>
      </c>
    </row>
    <row r="89" spans="1:3" x14ac:dyDescent="0.3">
      <c r="A89" s="26">
        <v>45923</v>
      </c>
      <c r="B89" s="51" t="s">
        <v>1</v>
      </c>
      <c r="C89" s="24">
        <v>32.4</v>
      </c>
    </row>
    <row r="90" spans="1:3" x14ac:dyDescent="0.3">
      <c r="A90" s="26">
        <v>45923</v>
      </c>
      <c r="B90" s="27" t="s">
        <v>1</v>
      </c>
      <c r="C90" s="24">
        <v>34.86</v>
      </c>
    </row>
    <row r="91" spans="1:3" x14ac:dyDescent="0.3">
      <c r="A91" s="26">
        <v>45930</v>
      </c>
      <c r="B91" s="32" t="s">
        <v>21</v>
      </c>
      <c r="C91" s="24">
        <v>167.44</v>
      </c>
    </row>
    <row r="92" spans="1:3" x14ac:dyDescent="0.3">
      <c r="A92" s="26">
        <v>45930</v>
      </c>
      <c r="B92" s="34" t="s">
        <v>21</v>
      </c>
      <c r="C92" s="24">
        <v>156.37</v>
      </c>
    </row>
    <row r="93" spans="1:3" x14ac:dyDescent="0.3">
      <c r="A93" s="26">
        <v>45932</v>
      </c>
      <c r="B93" s="27" t="s">
        <v>4</v>
      </c>
      <c r="C93" s="24">
        <v>-380.54</v>
      </c>
    </row>
    <row r="94" spans="1:3" x14ac:dyDescent="0.3">
      <c r="A94" s="26">
        <v>45939</v>
      </c>
      <c r="B94" s="27" t="s">
        <v>4</v>
      </c>
      <c r="C94" s="24">
        <v>-161.97999999999999</v>
      </c>
    </row>
    <row r="95" spans="1:3" x14ac:dyDescent="0.3">
      <c r="A95" s="26">
        <v>45939</v>
      </c>
      <c r="B95" s="32" t="s">
        <v>21</v>
      </c>
      <c r="C95" s="24">
        <v>80.739999999999995</v>
      </c>
    </row>
    <row r="96" spans="1:3" x14ac:dyDescent="0.3">
      <c r="A96" s="26">
        <v>45939</v>
      </c>
      <c r="B96" s="34" t="s">
        <v>21</v>
      </c>
      <c r="C96" s="24">
        <v>118.4</v>
      </c>
    </row>
    <row r="97" spans="1:3" x14ac:dyDescent="0.3">
      <c r="A97" s="26">
        <v>45939</v>
      </c>
      <c r="B97" s="27" t="s">
        <v>1</v>
      </c>
      <c r="C97" s="24">
        <v>68.42</v>
      </c>
    </row>
    <row r="98" spans="1:3" x14ac:dyDescent="0.3">
      <c r="A98" s="26">
        <v>45944</v>
      </c>
      <c r="B98" s="34" t="s">
        <v>21</v>
      </c>
      <c r="C98" s="24">
        <v>416.85</v>
      </c>
    </row>
    <row r="99" spans="1:3" x14ac:dyDescent="0.3">
      <c r="A99" s="26">
        <v>45944</v>
      </c>
      <c r="B99" s="51" t="s">
        <v>1</v>
      </c>
      <c r="C99" s="24">
        <v>35.04</v>
      </c>
    </row>
    <row r="100" spans="1:3" x14ac:dyDescent="0.3">
      <c r="A100" s="26">
        <v>45952</v>
      </c>
      <c r="B100" s="27" t="s">
        <v>4</v>
      </c>
      <c r="C100" s="24">
        <v>-881.2</v>
      </c>
    </row>
    <row r="101" spans="1:3" x14ac:dyDescent="0.3">
      <c r="A101" s="26">
        <v>45952</v>
      </c>
      <c r="B101" s="32" t="s">
        <v>21</v>
      </c>
      <c r="C101" s="24">
        <v>90.16</v>
      </c>
    </row>
    <row r="102" spans="1:3" x14ac:dyDescent="0.3">
      <c r="A102" s="26">
        <v>45952</v>
      </c>
      <c r="B102" s="34" t="s">
        <v>21</v>
      </c>
      <c r="C102" s="24">
        <v>1550.15</v>
      </c>
    </row>
    <row r="103" spans="1:3" x14ac:dyDescent="0.3">
      <c r="A103" s="26">
        <v>45952</v>
      </c>
      <c r="B103" s="51" t="s">
        <v>1</v>
      </c>
      <c r="C103" s="24">
        <v>23.14</v>
      </c>
    </row>
    <row r="104" spans="1:3" x14ac:dyDescent="0.3">
      <c r="A104" s="26">
        <v>45958</v>
      </c>
      <c r="B104" s="27" t="s">
        <v>4</v>
      </c>
      <c r="C104" s="24">
        <v>-1375.07</v>
      </c>
    </row>
    <row r="105" spans="1:3" x14ac:dyDescent="0.3">
      <c r="A105" s="26">
        <v>45958</v>
      </c>
      <c r="B105" s="32" t="s">
        <v>21</v>
      </c>
      <c r="C105" s="24">
        <v>102.84</v>
      </c>
    </row>
    <row r="106" spans="1:3" x14ac:dyDescent="0.3">
      <c r="A106" s="26">
        <v>45958</v>
      </c>
      <c r="B106" s="34" t="s">
        <v>21</v>
      </c>
      <c r="C106" s="24">
        <v>325.36</v>
      </c>
    </row>
    <row r="107" spans="1:3" x14ac:dyDescent="0.3">
      <c r="A107" s="26">
        <v>45958</v>
      </c>
      <c r="B107" s="51" t="s">
        <v>1</v>
      </c>
      <c r="C107" s="24">
        <v>13.84</v>
      </c>
    </row>
    <row r="108" spans="1:3" x14ac:dyDescent="0.3">
      <c r="A108" s="26">
        <v>45959</v>
      </c>
      <c r="B108" s="27" t="s">
        <v>4</v>
      </c>
      <c r="C108" s="24">
        <v>-292.20999999999998</v>
      </c>
    </row>
    <row r="109" spans="1:3" x14ac:dyDescent="0.3">
      <c r="A109" s="26">
        <v>45965</v>
      </c>
      <c r="B109" s="32" t="s">
        <v>21</v>
      </c>
      <c r="C109" s="24">
        <v>141.22</v>
      </c>
    </row>
    <row r="110" spans="1:3" x14ac:dyDescent="0.3">
      <c r="A110" s="26">
        <v>45965</v>
      </c>
      <c r="B110" s="34" t="s">
        <v>21</v>
      </c>
      <c r="C110" s="24">
        <v>1732.05</v>
      </c>
    </row>
    <row r="111" spans="1:3" x14ac:dyDescent="0.3">
      <c r="A111" s="26">
        <v>45965</v>
      </c>
      <c r="B111" s="51" t="s">
        <v>1</v>
      </c>
      <c r="C111" s="24">
        <v>13.99</v>
      </c>
    </row>
    <row r="112" spans="1:3" x14ac:dyDescent="0.3">
      <c r="A112" s="26">
        <v>45971</v>
      </c>
      <c r="B112" s="27" t="s">
        <v>4</v>
      </c>
      <c r="C112" s="24">
        <v>-519.38</v>
      </c>
    </row>
    <row r="113" spans="1:3" x14ac:dyDescent="0.3">
      <c r="A113" s="26">
        <v>45972</v>
      </c>
      <c r="B113" s="27" t="s">
        <v>4</v>
      </c>
      <c r="C113" s="24">
        <v>671.33</v>
      </c>
    </row>
    <row r="114" spans="1:3" x14ac:dyDescent="0.3">
      <c r="A114" s="26">
        <v>45980</v>
      </c>
      <c r="B114" s="27" t="s">
        <v>4</v>
      </c>
      <c r="C114" s="24">
        <v>-420.61</v>
      </c>
    </row>
    <row r="115" spans="1:3" x14ac:dyDescent="0.3">
      <c r="A115" s="26">
        <v>45980</v>
      </c>
      <c r="B115" s="27" t="s">
        <v>4</v>
      </c>
      <c r="C115" s="24">
        <v>-420.61</v>
      </c>
    </row>
    <row r="116" spans="1:3" x14ac:dyDescent="0.3">
      <c r="A116" s="26">
        <v>45980</v>
      </c>
      <c r="B116" s="27" t="s">
        <v>4</v>
      </c>
      <c r="C116" s="24">
        <v>-420.61</v>
      </c>
    </row>
    <row r="117" spans="1:3" x14ac:dyDescent="0.3">
      <c r="A117" s="26">
        <v>45979</v>
      </c>
      <c r="B117" s="27" t="s">
        <v>1</v>
      </c>
      <c r="C117" s="24">
        <v>15</v>
      </c>
    </row>
    <row r="118" spans="1:3" x14ac:dyDescent="0.3">
      <c r="A118" s="26">
        <v>45980</v>
      </c>
      <c r="B118" s="27" t="s">
        <v>1</v>
      </c>
      <c r="C118" s="24">
        <v>1554.87</v>
      </c>
    </row>
    <row r="119" spans="1:3" x14ac:dyDescent="0.3">
      <c r="A119" s="26">
        <v>45982</v>
      </c>
      <c r="B119" s="27" t="s">
        <v>4</v>
      </c>
      <c r="C119" s="24">
        <v>-208.63</v>
      </c>
    </row>
    <row r="120" spans="1:3" x14ac:dyDescent="0.3">
      <c r="A120" s="26">
        <v>45986</v>
      </c>
      <c r="B120" s="27" t="s">
        <v>1</v>
      </c>
      <c r="C120" s="24">
        <f>439.52</f>
        <v>439.52</v>
      </c>
    </row>
    <row r="121" spans="1:3" x14ac:dyDescent="0.3">
      <c r="A121" s="26">
        <v>45987</v>
      </c>
      <c r="B121" s="27" t="s">
        <v>4</v>
      </c>
      <c r="C121" s="24">
        <v>-328.08</v>
      </c>
    </row>
    <row r="122" spans="1:3" x14ac:dyDescent="0.3">
      <c r="A122" s="26">
        <v>45988</v>
      </c>
      <c r="B122" s="27" t="s">
        <v>4</v>
      </c>
      <c r="C122" s="24">
        <v>-730.79</v>
      </c>
    </row>
    <row r="123" spans="1:3" x14ac:dyDescent="0.3">
      <c r="A123" s="26">
        <v>45988</v>
      </c>
      <c r="B123" s="27" t="s">
        <v>4</v>
      </c>
      <c r="C123" s="24">
        <v>-1231.67</v>
      </c>
    </row>
    <row r="124" spans="1:3" x14ac:dyDescent="0.3">
      <c r="A124" s="26">
        <v>45992</v>
      </c>
      <c r="B124" s="27" t="s">
        <v>4</v>
      </c>
      <c r="C124" s="24">
        <v>-293</v>
      </c>
    </row>
    <row r="125" spans="1:3" x14ac:dyDescent="0.3">
      <c r="A125" s="26">
        <v>45993</v>
      </c>
      <c r="B125" s="27" t="s">
        <v>1</v>
      </c>
      <c r="C125" s="24">
        <v>248.04</v>
      </c>
    </row>
    <row r="126" spans="1:3" x14ac:dyDescent="0.3">
      <c r="A126" s="26">
        <v>45995</v>
      </c>
      <c r="B126" s="27" t="s">
        <v>1</v>
      </c>
      <c r="C126" s="24">
        <v>119.25</v>
      </c>
    </row>
    <row r="127" spans="1:3" x14ac:dyDescent="0.3">
      <c r="A127" s="26">
        <v>46001</v>
      </c>
      <c r="B127" s="27" t="s">
        <v>4</v>
      </c>
      <c r="C127" s="24">
        <v>-763.06</v>
      </c>
    </row>
    <row r="128" spans="1:3" x14ac:dyDescent="0.3">
      <c r="A128" s="26">
        <v>46002</v>
      </c>
      <c r="B128" s="27" t="s">
        <v>1</v>
      </c>
      <c r="C128" s="24">
        <v>658.03</v>
      </c>
    </row>
    <row r="129" spans="1:3" x14ac:dyDescent="0.3">
      <c r="A129" s="26">
        <v>46009</v>
      </c>
      <c r="B129" s="27" t="s">
        <v>4</v>
      </c>
      <c r="C129" s="24">
        <v>-536.54999999999995</v>
      </c>
    </row>
    <row r="130" spans="1:3" x14ac:dyDescent="0.3">
      <c r="A130" s="26">
        <v>46009</v>
      </c>
      <c r="B130" s="27" t="s">
        <v>1</v>
      </c>
      <c r="C130" s="24">
        <v>398.53</v>
      </c>
    </row>
    <row r="131" spans="1:3" x14ac:dyDescent="0.3">
      <c r="A131" s="26">
        <v>46013</v>
      </c>
      <c r="B131" s="27" t="s">
        <v>1</v>
      </c>
      <c r="C131" s="24">
        <v>330.33</v>
      </c>
    </row>
    <row r="132" spans="1:3" x14ac:dyDescent="0.3">
      <c r="A132" s="26">
        <v>46013</v>
      </c>
      <c r="B132" s="27" t="s">
        <v>4</v>
      </c>
      <c r="C132" s="24">
        <v>-1051.1500000000001</v>
      </c>
    </row>
    <row r="133" spans="1:3" x14ac:dyDescent="0.3">
      <c r="A133" s="26">
        <v>46014</v>
      </c>
      <c r="B133" s="27" t="s">
        <v>1</v>
      </c>
      <c r="C133" s="24">
        <v>24.56</v>
      </c>
    </row>
    <row r="134" spans="1:3" x14ac:dyDescent="0.3">
      <c r="A134" s="26">
        <v>46028</v>
      </c>
      <c r="B134" s="27" t="s">
        <v>1</v>
      </c>
      <c r="C134" s="24">
        <v>1437.39</v>
      </c>
    </row>
    <row r="135" spans="1:3" x14ac:dyDescent="0.3">
      <c r="A135" s="26">
        <v>46034</v>
      </c>
      <c r="B135" s="27" t="s">
        <v>4</v>
      </c>
      <c r="C135" s="24">
        <v>-605.37</v>
      </c>
    </row>
    <row r="136" spans="1:3" x14ac:dyDescent="0.3">
      <c r="A136" s="26">
        <v>46035</v>
      </c>
      <c r="B136" s="27" t="s">
        <v>4</v>
      </c>
      <c r="C136" s="24">
        <v>-689</v>
      </c>
    </row>
    <row r="137" spans="1:3" x14ac:dyDescent="0.3">
      <c r="A137" s="26">
        <v>46035</v>
      </c>
      <c r="B137" s="27" t="s">
        <v>1</v>
      </c>
      <c r="C137" s="24">
        <v>1502.16</v>
      </c>
    </row>
    <row r="138" spans="1:3" x14ac:dyDescent="0.3">
      <c r="A138" s="26">
        <v>46035</v>
      </c>
      <c r="B138" s="27" t="s">
        <v>503</v>
      </c>
      <c r="C138" s="24">
        <v>-7.2</v>
      </c>
    </row>
    <row r="139" spans="1:3" x14ac:dyDescent="0.3">
      <c r="A139" s="26">
        <v>46042</v>
      </c>
      <c r="B139" s="27" t="s">
        <v>4</v>
      </c>
      <c r="C139" s="24">
        <v>-435.4</v>
      </c>
    </row>
    <row r="140" spans="1:3" x14ac:dyDescent="0.3">
      <c r="A140" s="26">
        <v>46042</v>
      </c>
      <c r="B140" s="27" t="s">
        <v>4</v>
      </c>
      <c r="C140" s="24">
        <v>-435.4</v>
      </c>
    </row>
    <row r="141" spans="1:3" x14ac:dyDescent="0.3">
      <c r="A141" s="26">
        <v>46042</v>
      </c>
      <c r="B141" s="27" t="s">
        <v>1</v>
      </c>
      <c r="C141" s="24">
        <v>2047.17</v>
      </c>
    </row>
    <row r="142" spans="1:3" x14ac:dyDescent="0.3">
      <c r="A142" s="26">
        <v>46045</v>
      </c>
      <c r="B142" s="27" t="s">
        <v>4</v>
      </c>
      <c r="C142" s="24">
        <v>-122.58</v>
      </c>
    </row>
    <row r="143" spans="1:3" x14ac:dyDescent="0.3">
      <c r="A143" s="26">
        <v>46048</v>
      </c>
      <c r="B143" s="27" t="s">
        <v>4</v>
      </c>
      <c r="C143" s="24">
        <v>-281.25</v>
      </c>
    </row>
    <row r="144" spans="1:3" x14ac:dyDescent="0.3">
      <c r="A144" s="26">
        <v>46049</v>
      </c>
      <c r="B144" s="27" t="s">
        <v>4</v>
      </c>
      <c r="C144" s="24">
        <v>-170.11</v>
      </c>
    </row>
    <row r="145" spans="1:3" x14ac:dyDescent="0.3">
      <c r="A145" s="26">
        <v>46049</v>
      </c>
      <c r="B145" s="27" t="s">
        <v>4</v>
      </c>
      <c r="C145" s="24">
        <v>-835.83</v>
      </c>
    </row>
    <row r="146" spans="1:3" x14ac:dyDescent="0.3">
      <c r="A146" s="26">
        <v>46049</v>
      </c>
      <c r="B146" s="27" t="s">
        <v>4</v>
      </c>
      <c r="C146" s="24">
        <v>-835.83</v>
      </c>
    </row>
    <row r="147" spans="1:3" x14ac:dyDescent="0.3">
      <c r="A147" s="26">
        <v>46049</v>
      </c>
      <c r="B147" s="27" t="s">
        <v>1</v>
      </c>
      <c r="C147" s="24">
        <v>714.92</v>
      </c>
    </row>
    <row r="148" spans="1:3" x14ac:dyDescent="0.3">
      <c r="A148" s="26">
        <v>46056</v>
      </c>
      <c r="B148" s="27" t="s">
        <v>4</v>
      </c>
      <c r="C148" s="24">
        <v>-540.16999999999996</v>
      </c>
    </row>
    <row r="149" spans="1:3" x14ac:dyDescent="0.3">
      <c r="A149" s="26">
        <v>46056</v>
      </c>
      <c r="B149" s="27" t="s">
        <v>1</v>
      </c>
      <c r="C149" s="24">
        <v>352.64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6409F-7927-4AD9-A5A0-5E51F38E9954}">
  <dimension ref="A1:H44"/>
  <sheetViews>
    <sheetView view="pageBreakPreview" zoomScale="80" zoomScaleNormal="100" zoomScaleSheetLayoutView="80" workbookViewId="0">
      <selection activeCell="A23" sqref="A5:XFD2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383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-1.9999999999996021E-2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45862</v>
      </c>
      <c r="B5" s="32" t="s">
        <v>21</v>
      </c>
      <c r="C5" s="24">
        <v>30</v>
      </c>
      <c r="D5" s="30"/>
      <c r="E5" s="30"/>
      <c r="F5" s="30"/>
      <c r="G5" s="22"/>
    </row>
    <row r="6" spans="1:8" hidden="1" x14ac:dyDescent="0.3">
      <c r="A6" s="21">
        <v>45876</v>
      </c>
      <c r="B6" s="27" t="s">
        <v>7</v>
      </c>
      <c r="C6" s="24">
        <v>-30</v>
      </c>
    </row>
    <row r="7" spans="1:8" hidden="1" x14ac:dyDescent="0.3">
      <c r="A7" s="21">
        <v>45876</v>
      </c>
      <c r="B7" s="32" t="s">
        <v>1</v>
      </c>
      <c r="C7" s="24">
        <v>37.5</v>
      </c>
    </row>
    <row r="8" spans="1:8" hidden="1" x14ac:dyDescent="0.3">
      <c r="A8" s="21">
        <v>45876</v>
      </c>
      <c r="B8" s="27" t="s">
        <v>1</v>
      </c>
      <c r="C8" s="24">
        <v>41.6</v>
      </c>
    </row>
    <row r="9" spans="1:8" hidden="1" x14ac:dyDescent="0.3">
      <c r="A9" s="26">
        <v>45891</v>
      </c>
      <c r="B9" s="32" t="s">
        <v>1</v>
      </c>
      <c r="C9" s="24">
        <v>15</v>
      </c>
    </row>
    <row r="10" spans="1:8" hidden="1" x14ac:dyDescent="0.3">
      <c r="A10" s="26">
        <v>45894</v>
      </c>
      <c r="B10" s="31" t="s">
        <v>4</v>
      </c>
      <c r="C10" s="24">
        <v>-79.099999999999994</v>
      </c>
    </row>
    <row r="11" spans="1:8" hidden="1" x14ac:dyDescent="0.3">
      <c r="A11" s="26">
        <v>45897</v>
      </c>
      <c r="B11" s="31" t="s">
        <v>7</v>
      </c>
      <c r="C11" s="24">
        <v>-15</v>
      </c>
    </row>
    <row r="12" spans="1:8" hidden="1" x14ac:dyDescent="0.3">
      <c r="A12" s="26">
        <v>45897</v>
      </c>
      <c r="B12" s="32" t="s">
        <v>1</v>
      </c>
      <c r="C12" s="24">
        <v>22.5</v>
      </c>
    </row>
    <row r="13" spans="1:8" hidden="1" x14ac:dyDescent="0.3">
      <c r="A13" s="26">
        <v>45905</v>
      </c>
      <c r="B13" s="27" t="s">
        <v>4</v>
      </c>
      <c r="C13" s="24">
        <v>-22.34</v>
      </c>
    </row>
    <row r="14" spans="1:8" hidden="1" x14ac:dyDescent="0.3">
      <c r="A14" s="26">
        <v>45918</v>
      </c>
      <c r="B14" s="32" t="s">
        <v>1</v>
      </c>
      <c r="C14" s="24">
        <v>30</v>
      </c>
    </row>
    <row r="15" spans="1:8" hidden="1" x14ac:dyDescent="0.3">
      <c r="A15" s="26">
        <v>45925</v>
      </c>
      <c r="B15" s="27" t="s">
        <v>7</v>
      </c>
      <c r="C15" s="24">
        <v>-30</v>
      </c>
    </row>
    <row r="16" spans="1:8" hidden="1" x14ac:dyDescent="0.3">
      <c r="A16" s="26">
        <v>45932</v>
      </c>
      <c r="B16" s="32" t="s">
        <v>1</v>
      </c>
      <c r="C16" s="24">
        <v>30</v>
      </c>
    </row>
    <row r="17" spans="1:3" hidden="1" x14ac:dyDescent="0.3">
      <c r="A17" s="26">
        <v>45939</v>
      </c>
      <c r="B17" s="27" t="s">
        <v>7</v>
      </c>
      <c r="C17" s="24">
        <v>-30</v>
      </c>
    </row>
    <row r="18" spans="1:3" hidden="1" x14ac:dyDescent="0.3">
      <c r="A18" s="26">
        <v>45947</v>
      </c>
      <c r="B18" s="32" t="s">
        <v>1</v>
      </c>
      <c r="C18" s="24">
        <v>53.4</v>
      </c>
    </row>
    <row r="19" spans="1:3" hidden="1" x14ac:dyDescent="0.3">
      <c r="A19" s="26">
        <v>45959</v>
      </c>
      <c r="B19" s="27" t="s">
        <v>4</v>
      </c>
      <c r="C19" s="24">
        <v>-53.57</v>
      </c>
    </row>
    <row r="20" spans="1:3" hidden="1" x14ac:dyDescent="0.3">
      <c r="A20" s="26">
        <v>45960</v>
      </c>
      <c r="B20" s="32" t="s">
        <v>1</v>
      </c>
      <c r="C20" s="24">
        <v>34.200000000000003</v>
      </c>
    </row>
    <row r="21" spans="1:3" hidden="1" x14ac:dyDescent="0.3">
      <c r="A21" s="26">
        <v>45974</v>
      </c>
      <c r="B21" s="27" t="s">
        <v>7</v>
      </c>
      <c r="C21" s="24">
        <v>-34.200000000000003</v>
      </c>
    </row>
    <row r="22" spans="1:3" hidden="1" x14ac:dyDescent="0.3">
      <c r="A22" s="26">
        <v>45974</v>
      </c>
      <c r="B22" s="27" t="s">
        <v>1</v>
      </c>
      <c r="C22" s="24">
        <v>85.2</v>
      </c>
    </row>
    <row r="23" spans="1:3" hidden="1" x14ac:dyDescent="0.3">
      <c r="A23" s="26">
        <v>45982</v>
      </c>
      <c r="B23" s="27" t="s">
        <v>7</v>
      </c>
      <c r="C23" s="24">
        <v>-85.21</v>
      </c>
    </row>
    <row r="24" spans="1:3" x14ac:dyDescent="0.3">
      <c r="A24" s="26">
        <v>45982</v>
      </c>
      <c r="B24" s="27" t="s">
        <v>1</v>
      </c>
      <c r="C24" s="24">
        <v>22.5</v>
      </c>
    </row>
    <row r="25" spans="1:3" x14ac:dyDescent="0.3">
      <c r="A25" s="26">
        <v>45988</v>
      </c>
      <c r="B25" s="27" t="s">
        <v>7</v>
      </c>
      <c r="C25" s="24">
        <v>-22.5</v>
      </c>
    </row>
    <row r="27" spans="1:3" x14ac:dyDescent="0.3">
      <c r="B27" s="32"/>
    </row>
    <row r="28" spans="1:3" x14ac:dyDescent="0.3">
      <c r="B28" s="34"/>
    </row>
    <row r="29" spans="1:3" x14ac:dyDescent="0.3">
      <c r="B29" s="51"/>
    </row>
    <row r="31" spans="1:3" x14ac:dyDescent="0.3">
      <c r="B31" s="32"/>
    </row>
    <row r="32" spans="1:3" x14ac:dyDescent="0.3">
      <c r="B32" s="32"/>
    </row>
    <row r="33" spans="2:2" x14ac:dyDescent="0.3">
      <c r="B33" s="34"/>
    </row>
    <row r="36" spans="2:2" x14ac:dyDescent="0.3">
      <c r="B36" s="32"/>
    </row>
    <row r="37" spans="2:2" x14ac:dyDescent="0.3">
      <c r="B37" s="34"/>
    </row>
    <row r="38" spans="2:2" x14ac:dyDescent="0.3">
      <c r="B38" s="51"/>
    </row>
    <row r="42" spans="2:2" x14ac:dyDescent="0.3">
      <c r="B42" s="32"/>
    </row>
    <row r="43" spans="2:2" x14ac:dyDescent="0.3">
      <c r="B43" s="34"/>
    </row>
    <row r="44" spans="2:2" x14ac:dyDescent="0.3">
      <c r="B44" s="5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57179-6AE6-4E7E-B633-4457E40FA420}">
  <sheetPr codeName="Hoja147"/>
  <dimension ref="A1:H37"/>
  <sheetViews>
    <sheetView view="pageBreakPreview" zoomScaleNormal="100" zoomScaleSheetLayoutView="100" workbookViewId="0">
      <selection activeCell="D38" sqref="D3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283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1239.8</v>
      </c>
      <c r="D3" s="20">
        <f>SUM(D$4:D$1048576)</f>
        <v>30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45821</v>
      </c>
      <c r="B5" s="27" t="s">
        <v>1</v>
      </c>
      <c r="C5" s="24">
        <v>166.4</v>
      </c>
      <c r="D5" s="30"/>
      <c r="E5" s="30"/>
      <c r="F5" s="30"/>
      <c r="G5" s="22"/>
    </row>
    <row r="6" spans="1:8" hidden="1" x14ac:dyDescent="0.3">
      <c r="A6" s="21">
        <v>45821</v>
      </c>
      <c r="B6" s="32" t="s">
        <v>21</v>
      </c>
      <c r="C6" s="24">
        <v>42.75</v>
      </c>
    </row>
    <row r="7" spans="1:8" hidden="1" x14ac:dyDescent="0.3">
      <c r="A7" s="21">
        <v>45828</v>
      </c>
      <c r="B7" s="27" t="s">
        <v>1</v>
      </c>
      <c r="C7" s="24">
        <v>166.4</v>
      </c>
    </row>
    <row r="8" spans="1:8" hidden="1" x14ac:dyDescent="0.3">
      <c r="A8" s="26">
        <v>45832</v>
      </c>
      <c r="B8" s="27" t="s">
        <v>4</v>
      </c>
      <c r="C8" s="24">
        <v>-375.53</v>
      </c>
    </row>
    <row r="9" spans="1:8" hidden="1" x14ac:dyDescent="0.3">
      <c r="A9" s="26">
        <v>45839</v>
      </c>
      <c r="B9" s="27" t="s">
        <v>1</v>
      </c>
      <c r="C9" s="24">
        <v>395.2</v>
      </c>
    </row>
    <row r="10" spans="1:8" hidden="1" x14ac:dyDescent="0.3">
      <c r="A10" s="26">
        <v>45839</v>
      </c>
      <c r="B10" s="32" t="s">
        <v>21</v>
      </c>
      <c r="C10" s="24">
        <v>15</v>
      </c>
    </row>
    <row r="11" spans="1:8" hidden="1" x14ac:dyDescent="0.3">
      <c r="A11" s="26">
        <v>45846</v>
      </c>
      <c r="B11" s="27" t="s">
        <v>4</v>
      </c>
      <c r="C11" s="24">
        <v>-448.95</v>
      </c>
    </row>
    <row r="12" spans="1:8" hidden="1" x14ac:dyDescent="0.3">
      <c r="A12" s="26">
        <v>45846</v>
      </c>
      <c r="B12" s="31" t="s">
        <v>1</v>
      </c>
      <c r="C12" s="24">
        <v>332.8</v>
      </c>
    </row>
    <row r="13" spans="1:8" hidden="1" x14ac:dyDescent="0.3">
      <c r="A13" s="26">
        <v>45862</v>
      </c>
      <c r="B13" s="27" t="s">
        <v>1</v>
      </c>
      <c r="C13" s="24">
        <v>335.2</v>
      </c>
    </row>
    <row r="14" spans="1:8" hidden="1" x14ac:dyDescent="0.3">
      <c r="A14" s="26">
        <v>45862</v>
      </c>
      <c r="B14" s="32" t="s">
        <v>21</v>
      </c>
      <c r="C14" s="24">
        <v>15.85</v>
      </c>
    </row>
    <row r="15" spans="1:8" hidden="1" x14ac:dyDescent="0.3">
      <c r="A15" s="26">
        <v>45873</v>
      </c>
      <c r="B15" s="27" t="s">
        <v>4</v>
      </c>
      <c r="C15" s="24">
        <v>-640.72</v>
      </c>
    </row>
    <row r="16" spans="1:8" hidden="1" x14ac:dyDescent="0.3">
      <c r="A16" s="26">
        <v>45870</v>
      </c>
      <c r="B16" s="27" t="s">
        <v>1</v>
      </c>
      <c r="C16" s="24">
        <v>40</v>
      </c>
    </row>
    <row r="17" spans="1:3" hidden="1" x14ac:dyDescent="0.3">
      <c r="A17" s="26">
        <v>45877</v>
      </c>
      <c r="B17" s="27" t="s">
        <v>1</v>
      </c>
      <c r="C17" s="24">
        <v>370.1</v>
      </c>
    </row>
    <row r="18" spans="1:3" hidden="1" x14ac:dyDescent="0.3">
      <c r="A18" s="26">
        <v>45897</v>
      </c>
      <c r="B18" s="27" t="s">
        <v>1</v>
      </c>
      <c r="C18" s="24">
        <v>332.8</v>
      </c>
    </row>
    <row r="19" spans="1:3" hidden="1" x14ac:dyDescent="0.3">
      <c r="A19" s="26">
        <v>45910</v>
      </c>
      <c r="B19" s="27" t="s">
        <v>4</v>
      </c>
      <c r="C19" s="24">
        <v>-338.93</v>
      </c>
    </row>
    <row r="20" spans="1:3" hidden="1" x14ac:dyDescent="0.3">
      <c r="A20" s="26">
        <v>45910</v>
      </c>
      <c r="B20" s="27" t="s">
        <v>4</v>
      </c>
      <c r="C20" s="24">
        <v>-37.76</v>
      </c>
    </row>
    <row r="21" spans="1:3" hidden="1" x14ac:dyDescent="0.3">
      <c r="A21" s="26">
        <v>45910</v>
      </c>
      <c r="B21" s="27" t="s">
        <v>1</v>
      </c>
      <c r="C21" s="24">
        <v>372.8</v>
      </c>
    </row>
    <row r="22" spans="1:3" hidden="1" x14ac:dyDescent="0.3">
      <c r="A22" s="26">
        <v>45910</v>
      </c>
      <c r="B22" s="32" t="s">
        <v>21</v>
      </c>
      <c r="C22" s="24">
        <v>13.5</v>
      </c>
    </row>
    <row r="23" spans="1:3" hidden="1" x14ac:dyDescent="0.3">
      <c r="A23" s="26">
        <v>45917</v>
      </c>
      <c r="B23" s="27" t="s">
        <v>4</v>
      </c>
      <c r="C23" s="24">
        <v>-366.61</v>
      </c>
    </row>
    <row r="24" spans="1:3" hidden="1" x14ac:dyDescent="0.3">
      <c r="A24" s="26">
        <v>45926</v>
      </c>
      <c r="B24" s="27" t="s">
        <v>1</v>
      </c>
      <c r="C24" s="24">
        <v>332.8</v>
      </c>
    </row>
    <row r="25" spans="1:3" hidden="1" x14ac:dyDescent="0.3">
      <c r="A25" s="26">
        <v>45926</v>
      </c>
      <c r="B25" s="32" t="s">
        <v>21</v>
      </c>
      <c r="C25" s="24">
        <v>18</v>
      </c>
    </row>
    <row r="26" spans="1:3" hidden="1" x14ac:dyDescent="0.3">
      <c r="A26" s="26">
        <v>45931</v>
      </c>
      <c r="B26" s="27" t="s">
        <v>4</v>
      </c>
      <c r="C26" s="24">
        <v>-644.75</v>
      </c>
    </row>
    <row r="27" spans="1:3" hidden="1" x14ac:dyDescent="0.3">
      <c r="A27" s="26">
        <v>45939</v>
      </c>
      <c r="B27" s="27" t="s">
        <v>1</v>
      </c>
      <c r="C27" s="24">
        <v>487.06</v>
      </c>
    </row>
    <row r="28" spans="1:3" hidden="1" x14ac:dyDescent="0.3">
      <c r="A28" s="26">
        <v>45939</v>
      </c>
      <c r="B28" s="32" t="s">
        <v>21</v>
      </c>
      <c r="C28" s="24">
        <v>13.5</v>
      </c>
    </row>
    <row r="29" spans="1:3" hidden="1" x14ac:dyDescent="0.3">
      <c r="A29" s="26">
        <v>45952</v>
      </c>
      <c r="B29" s="27" t="s">
        <v>4</v>
      </c>
      <c r="C29" s="24">
        <v>-596.9</v>
      </c>
    </row>
    <row r="30" spans="1:3" x14ac:dyDescent="0.3">
      <c r="A30" s="26">
        <v>45954</v>
      </c>
      <c r="B30" s="27" t="s">
        <v>1</v>
      </c>
      <c r="C30" s="24">
        <v>230</v>
      </c>
    </row>
    <row r="31" spans="1:3" x14ac:dyDescent="0.3">
      <c r="A31" s="26">
        <v>45968</v>
      </c>
      <c r="B31" s="27" t="s">
        <v>1</v>
      </c>
      <c r="C31" s="24">
        <v>184</v>
      </c>
    </row>
    <row r="32" spans="1:3" x14ac:dyDescent="0.3">
      <c r="A32" s="26">
        <v>45974</v>
      </c>
      <c r="B32" s="27" t="s">
        <v>4</v>
      </c>
      <c r="C32" s="24">
        <v>-229.99</v>
      </c>
    </row>
    <row r="33" spans="1:4" x14ac:dyDescent="0.3">
      <c r="A33" s="26">
        <v>45982</v>
      </c>
      <c r="B33" s="27" t="s">
        <v>1</v>
      </c>
      <c r="C33" s="24">
        <v>184</v>
      </c>
    </row>
    <row r="34" spans="1:4" x14ac:dyDescent="0.3">
      <c r="A34" s="26">
        <v>45982</v>
      </c>
      <c r="B34" s="27" t="s">
        <v>1</v>
      </c>
      <c r="C34" s="24">
        <v>97.7</v>
      </c>
    </row>
    <row r="35" spans="1:4" x14ac:dyDescent="0.3">
      <c r="A35" s="26">
        <v>45998</v>
      </c>
      <c r="B35" s="27" t="s">
        <v>4</v>
      </c>
      <c r="C35" s="24">
        <v>-413.98</v>
      </c>
    </row>
    <row r="36" spans="1:4" x14ac:dyDescent="0.3">
      <c r="A36" s="26">
        <v>45998</v>
      </c>
      <c r="B36" s="27" t="s">
        <v>4</v>
      </c>
      <c r="C36" s="24">
        <v>-279.33</v>
      </c>
    </row>
    <row r="37" spans="1:4" x14ac:dyDescent="0.3">
      <c r="A37" s="26">
        <v>46002</v>
      </c>
      <c r="B37" s="27" t="s">
        <v>1</v>
      </c>
      <c r="C37" s="24">
        <v>1467.39</v>
      </c>
      <c r="D37" s="25">
        <v>30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2A25-BD01-4A53-AD5E-308E84F0DC01}">
  <sheetPr codeName="Hoja148"/>
  <dimension ref="A1:H41"/>
  <sheetViews>
    <sheetView view="pageBreakPreview" zoomScale="80" zoomScaleNormal="100" zoomScaleSheetLayoutView="80" workbookViewId="0">
      <selection activeCell="C42" sqref="C4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258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1.4210854715202004E-14</v>
      </c>
      <c r="D3" s="20">
        <f>SUM(D$4:D$1048576)</f>
        <v>-2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45826</v>
      </c>
      <c r="B5" s="31" t="s">
        <v>1</v>
      </c>
      <c r="C5" s="24">
        <v>41.6</v>
      </c>
      <c r="D5" s="30"/>
      <c r="E5" s="30"/>
      <c r="F5" s="30"/>
      <c r="G5" s="22"/>
    </row>
    <row r="6" spans="1:8" hidden="1" x14ac:dyDescent="0.3">
      <c r="A6" s="26">
        <v>45828</v>
      </c>
      <c r="B6" s="27" t="s">
        <v>4</v>
      </c>
      <c r="C6" s="24">
        <v>-41.6</v>
      </c>
    </row>
    <row r="7" spans="1:8" hidden="1" x14ac:dyDescent="0.3">
      <c r="A7" s="26">
        <v>45833</v>
      </c>
      <c r="B7" s="27" t="s">
        <v>1</v>
      </c>
      <c r="C7" s="24">
        <v>20.8</v>
      </c>
    </row>
    <row r="8" spans="1:8" hidden="1" x14ac:dyDescent="0.3">
      <c r="A8" s="26">
        <v>45833</v>
      </c>
      <c r="B8" s="35" t="s">
        <v>1</v>
      </c>
      <c r="C8" s="24">
        <v>22.5</v>
      </c>
    </row>
    <row r="9" spans="1:8" hidden="1" x14ac:dyDescent="0.3">
      <c r="A9" s="26">
        <v>45833</v>
      </c>
      <c r="B9" s="50" t="s">
        <v>1</v>
      </c>
      <c r="C9" s="24">
        <v>62.08</v>
      </c>
    </row>
    <row r="10" spans="1:8" hidden="1" x14ac:dyDescent="0.3">
      <c r="A10" s="26">
        <v>45834</v>
      </c>
      <c r="B10" s="31" t="s">
        <v>4</v>
      </c>
      <c r="C10" s="24">
        <v>-105.38</v>
      </c>
    </row>
    <row r="11" spans="1:8" hidden="1" x14ac:dyDescent="0.3">
      <c r="A11" s="26">
        <v>45854</v>
      </c>
      <c r="B11" s="27" t="s">
        <v>4</v>
      </c>
      <c r="C11" s="24">
        <v>-56.84</v>
      </c>
    </row>
    <row r="12" spans="1:8" hidden="1" x14ac:dyDescent="0.3">
      <c r="A12" s="26">
        <v>45854</v>
      </c>
      <c r="B12" s="35" t="s">
        <v>1</v>
      </c>
      <c r="C12" s="24">
        <v>9.84</v>
      </c>
    </row>
    <row r="13" spans="1:8" hidden="1" x14ac:dyDescent="0.3">
      <c r="A13" s="26">
        <v>45854</v>
      </c>
      <c r="B13" s="27" t="s">
        <v>1</v>
      </c>
      <c r="C13" s="24">
        <v>41.6</v>
      </c>
    </row>
    <row r="14" spans="1:8" hidden="1" x14ac:dyDescent="0.3">
      <c r="A14" s="26">
        <v>45854</v>
      </c>
      <c r="B14" s="50" t="s">
        <v>1</v>
      </c>
      <c r="C14" s="24">
        <v>5.4</v>
      </c>
    </row>
    <row r="15" spans="1:8" hidden="1" x14ac:dyDescent="0.3">
      <c r="A15" s="26">
        <v>45864</v>
      </c>
      <c r="B15" s="27" t="s">
        <v>4</v>
      </c>
      <c r="C15" s="24">
        <v>-110.96</v>
      </c>
    </row>
    <row r="16" spans="1:8" hidden="1" x14ac:dyDescent="0.3">
      <c r="A16" s="26">
        <v>45863</v>
      </c>
      <c r="B16" s="27" t="s">
        <v>1</v>
      </c>
      <c r="C16" s="24">
        <v>62.4</v>
      </c>
      <c r="D16" s="25">
        <v>1</v>
      </c>
    </row>
    <row r="17" spans="1:4" hidden="1" x14ac:dyDescent="0.3">
      <c r="A17" s="26">
        <v>45863</v>
      </c>
      <c r="B17" s="35" t="s">
        <v>1</v>
      </c>
      <c r="C17" s="24">
        <v>7.5</v>
      </c>
    </row>
    <row r="18" spans="1:4" hidden="1" x14ac:dyDescent="0.3">
      <c r="A18" s="26">
        <v>45863</v>
      </c>
      <c r="B18" s="50" t="s">
        <v>1</v>
      </c>
      <c r="C18" s="24">
        <v>31.74</v>
      </c>
    </row>
    <row r="19" spans="1:4" hidden="1" x14ac:dyDescent="0.3">
      <c r="A19" s="26">
        <v>45868</v>
      </c>
      <c r="B19" s="27" t="s">
        <v>4</v>
      </c>
      <c r="C19" s="24">
        <v>-20.8</v>
      </c>
    </row>
    <row r="20" spans="1:4" hidden="1" x14ac:dyDescent="0.3">
      <c r="A20" s="26">
        <v>45868</v>
      </c>
      <c r="B20" s="27" t="s">
        <v>1</v>
      </c>
      <c r="C20" s="24">
        <v>20.8</v>
      </c>
      <c r="D20" s="25">
        <v>-1</v>
      </c>
    </row>
    <row r="21" spans="1:4" hidden="1" x14ac:dyDescent="0.3">
      <c r="A21" s="26">
        <v>45868</v>
      </c>
      <c r="B21" s="50" t="s">
        <v>1</v>
      </c>
      <c r="C21" s="24">
        <v>9.32</v>
      </c>
    </row>
    <row r="22" spans="1:4" hidden="1" x14ac:dyDescent="0.3">
      <c r="A22" s="26">
        <v>45882</v>
      </c>
      <c r="B22" s="27" t="s">
        <v>1</v>
      </c>
      <c r="C22" s="24">
        <v>20.8</v>
      </c>
      <c r="D22" s="25">
        <v>1</v>
      </c>
    </row>
    <row r="23" spans="1:4" hidden="1" x14ac:dyDescent="0.3">
      <c r="A23" s="26">
        <v>45882</v>
      </c>
      <c r="B23" s="35" t="s">
        <v>1</v>
      </c>
      <c r="C23" s="24">
        <v>30.85</v>
      </c>
    </row>
    <row r="24" spans="1:4" hidden="1" x14ac:dyDescent="0.3">
      <c r="A24" s="26">
        <v>45882</v>
      </c>
      <c r="B24" s="50" t="s">
        <v>1</v>
      </c>
      <c r="C24" s="24">
        <v>25.62</v>
      </c>
    </row>
    <row r="25" spans="1:4" hidden="1" x14ac:dyDescent="0.3">
      <c r="A25" s="26">
        <v>45889</v>
      </c>
      <c r="B25" s="27" t="s">
        <v>7</v>
      </c>
      <c r="C25" s="24">
        <v>-77.290000000000006</v>
      </c>
    </row>
    <row r="26" spans="1:4" hidden="1" x14ac:dyDescent="0.3">
      <c r="A26" s="26">
        <v>45889</v>
      </c>
      <c r="B26" s="50" t="s">
        <v>1</v>
      </c>
      <c r="C26" s="24">
        <v>6.9</v>
      </c>
    </row>
    <row r="27" spans="1:4" hidden="1" x14ac:dyDescent="0.3">
      <c r="A27" s="26">
        <v>45897</v>
      </c>
      <c r="B27" s="27" t="s">
        <v>7</v>
      </c>
      <c r="C27" s="24">
        <v>-6.93</v>
      </c>
    </row>
    <row r="28" spans="1:4" hidden="1" x14ac:dyDescent="0.3">
      <c r="A28" s="26">
        <v>45897</v>
      </c>
      <c r="B28" s="35" t="s">
        <v>1</v>
      </c>
      <c r="C28" s="24">
        <v>24.84</v>
      </c>
    </row>
    <row r="29" spans="1:4" hidden="1" x14ac:dyDescent="0.3">
      <c r="A29" s="26">
        <v>45897</v>
      </c>
      <c r="B29" s="50" t="s">
        <v>1</v>
      </c>
      <c r="C29" s="24">
        <v>14.4</v>
      </c>
    </row>
    <row r="30" spans="1:4" hidden="1" x14ac:dyDescent="0.3">
      <c r="A30" s="26">
        <v>45903</v>
      </c>
      <c r="B30" s="27" t="s">
        <v>7</v>
      </c>
      <c r="C30" s="24">
        <v>-39.25</v>
      </c>
    </row>
    <row r="31" spans="1:4" hidden="1" x14ac:dyDescent="0.3">
      <c r="A31" s="26">
        <v>45903</v>
      </c>
      <c r="B31" s="35" t="s">
        <v>1</v>
      </c>
      <c r="C31" s="24">
        <v>7.5</v>
      </c>
    </row>
    <row r="32" spans="1:4" hidden="1" x14ac:dyDescent="0.3">
      <c r="A32" s="26">
        <v>45910</v>
      </c>
      <c r="B32" s="27" t="s">
        <v>7</v>
      </c>
      <c r="C32" s="24">
        <v>-7.51</v>
      </c>
    </row>
    <row r="33" spans="1:4" x14ac:dyDescent="0.3">
      <c r="A33" s="26">
        <v>45926</v>
      </c>
      <c r="B33" s="27" t="s">
        <v>1</v>
      </c>
      <c r="C33" s="24">
        <v>41.6</v>
      </c>
    </row>
    <row r="34" spans="1:4" x14ac:dyDescent="0.3">
      <c r="A34" s="26">
        <v>45926</v>
      </c>
      <c r="B34" s="35" t="s">
        <v>1</v>
      </c>
      <c r="C34" s="24">
        <v>30.85</v>
      </c>
      <c r="D34" s="25">
        <v>1</v>
      </c>
    </row>
    <row r="35" spans="1:4" x14ac:dyDescent="0.3">
      <c r="A35" s="26">
        <v>45931</v>
      </c>
      <c r="B35" s="27" t="s">
        <v>7</v>
      </c>
      <c r="C35" s="24">
        <v>-72.38</v>
      </c>
    </row>
    <row r="36" spans="1:4" x14ac:dyDescent="0.3">
      <c r="A36" s="26">
        <v>45945</v>
      </c>
      <c r="B36" s="27" t="s">
        <v>1</v>
      </c>
      <c r="D36" s="25">
        <v>-2</v>
      </c>
    </row>
    <row r="37" spans="1:4" x14ac:dyDescent="0.3">
      <c r="A37" s="26">
        <v>45966</v>
      </c>
      <c r="B37" s="27" t="s">
        <v>22</v>
      </c>
      <c r="D37" s="25">
        <v>-2</v>
      </c>
    </row>
    <row r="38" spans="1:4" x14ac:dyDescent="0.3">
      <c r="A38" s="26">
        <v>46001</v>
      </c>
      <c r="B38" s="27" t="s">
        <v>4</v>
      </c>
      <c r="C38" s="24">
        <v>-33.78</v>
      </c>
    </row>
    <row r="39" spans="1:4" x14ac:dyDescent="0.3">
      <c r="A39" s="26">
        <v>46001</v>
      </c>
      <c r="B39" s="27" t="s">
        <v>1</v>
      </c>
      <c r="C39" s="24">
        <v>33.78</v>
      </c>
    </row>
    <row r="40" spans="1:4" x14ac:dyDescent="0.3">
      <c r="A40" s="26">
        <v>46043</v>
      </c>
      <c r="B40" s="27" t="s">
        <v>4</v>
      </c>
      <c r="C40" s="24">
        <v>-15.32</v>
      </c>
    </row>
    <row r="41" spans="1:4" x14ac:dyDescent="0.3">
      <c r="A41" s="26">
        <v>46043</v>
      </c>
      <c r="B41" s="27" t="s">
        <v>1</v>
      </c>
      <c r="C41" s="24">
        <v>15.32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0CDEE-DEF2-4235-9A27-7A4FB5018694}">
  <sheetPr codeName="Hoja149"/>
  <dimension ref="A1:H86"/>
  <sheetViews>
    <sheetView view="pageBreakPreview" zoomScale="80" zoomScaleNormal="100" zoomScaleSheetLayoutView="80" workbookViewId="0">
      <selection activeCell="A14" sqref="A5:XFD14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285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286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2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45828</v>
      </c>
      <c r="B5" s="27" t="s">
        <v>21</v>
      </c>
      <c r="C5" s="24">
        <v>41.6</v>
      </c>
      <c r="D5" s="30">
        <v>2</v>
      </c>
      <c r="E5" s="30"/>
      <c r="F5" s="30"/>
      <c r="G5" s="22"/>
    </row>
    <row r="6" spans="1:8" hidden="1" x14ac:dyDescent="0.3">
      <c r="A6" s="21">
        <v>45835</v>
      </c>
      <c r="B6" s="27" t="s">
        <v>7</v>
      </c>
      <c r="C6" s="24">
        <v>-41.6</v>
      </c>
      <c r="D6" s="25">
        <v>-2</v>
      </c>
    </row>
    <row r="7" spans="1:8" hidden="1" x14ac:dyDescent="0.3">
      <c r="A7" s="21">
        <v>45848</v>
      </c>
      <c r="B7" s="27" t="s">
        <v>1</v>
      </c>
      <c r="C7" s="24">
        <v>41.6</v>
      </c>
      <c r="D7" s="25">
        <v>2</v>
      </c>
    </row>
    <row r="8" spans="1:8" hidden="1" x14ac:dyDescent="0.3">
      <c r="A8" s="26">
        <v>45855</v>
      </c>
      <c r="B8" s="27" t="s">
        <v>7</v>
      </c>
      <c r="C8" s="24">
        <v>-41.62</v>
      </c>
    </row>
    <row r="9" spans="1:8" hidden="1" x14ac:dyDescent="0.3">
      <c r="A9" s="26">
        <v>45855</v>
      </c>
      <c r="B9" s="27" t="s">
        <v>1</v>
      </c>
      <c r="C9" s="24">
        <v>41.6</v>
      </c>
      <c r="D9" s="25">
        <v>1</v>
      </c>
    </row>
    <row r="10" spans="1:8" hidden="1" x14ac:dyDescent="0.3">
      <c r="A10" s="26">
        <v>45876</v>
      </c>
      <c r="B10" s="27" t="s">
        <v>7</v>
      </c>
      <c r="C10" s="24">
        <v>-41.59</v>
      </c>
    </row>
    <row r="11" spans="1:8" hidden="1" x14ac:dyDescent="0.3">
      <c r="A11" s="26">
        <v>45876</v>
      </c>
      <c r="B11" s="27" t="s">
        <v>1</v>
      </c>
      <c r="C11" s="24">
        <v>41.6</v>
      </c>
      <c r="D11" s="25">
        <v>-1</v>
      </c>
    </row>
    <row r="12" spans="1:8" hidden="1" x14ac:dyDescent="0.3">
      <c r="A12" s="26">
        <v>45890</v>
      </c>
      <c r="B12" s="27" t="s">
        <v>4</v>
      </c>
      <c r="C12" s="24">
        <v>-20.8</v>
      </c>
    </row>
    <row r="13" spans="1:8" hidden="1" x14ac:dyDescent="0.3">
      <c r="A13" s="26">
        <v>45890</v>
      </c>
      <c r="B13" s="27" t="s">
        <v>1</v>
      </c>
      <c r="C13" s="24">
        <v>41.6</v>
      </c>
    </row>
    <row r="14" spans="1:8" hidden="1" x14ac:dyDescent="0.3">
      <c r="A14" s="26">
        <v>45904</v>
      </c>
      <c r="B14" s="27" t="s">
        <v>7</v>
      </c>
      <c r="C14" s="24">
        <v>-62.41</v>
      </c>
    </row>
    <row r="15" spans="1:8" x14ac:dyDescent="0.3">
      <c r="A15" s="26">
        <v>45904</v>
      </c>
      <c r="B15" s="27" t="s">
        <v>1</v>
      </c>
      <c r="C15" s="24">
        <v>41.6</v>
      </c>
    </row>
    <row r="16" spans="1:8" x14ac:dyDescent="0.3">
      <c r="A16" s="26">
        <v>45920</v>
      </c>
      <c r="B16" s="27" t="s">
        <v>7</v>
      </c>
      <c r="C16" s="24">
        <v>-41.58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3CD4D-6286-4259-99B0-C81B7B11A1D7}">
  <dimension ref="A1:I35"/>
  <sheetViews>
    <sheetView view="pageBreakPreview" zoomScale="80" zoomScaleNormal="100" zoomScaleSheetLayoutView="80" workbookViewId="0">
      <selection sqref="A1:H6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425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45904</v>
      </c>
      <c r="B5" s="27" t="s">
        <v>291</v>
      </c>
      <c r="C5" s="22">
        <v>-14.5</v>
      </c>
      <c r="D5" s="30"/>
      <c r="E5" s="30"/>
      <c r="F5" s="30"/>
      <c r="G5" s="22"/>
    </row>
    <row r="6" spans="1:9" x14ac:dyDescent="0.3">
      <c r="A6" s="21">
        <v>45904</v>
      </c>
      <c r="B6" s="32" t="s">
        <v>21</v>
      </c>
      <c r="C6" s="24">
        <v>14.5</v>
      </c>
    </row>
    <row r="7" spans="1:9" x14ac:dyDescent="0.3">
      <c r="A7" s="21"/>
      <c r="B7" s="28"/>
    </row>
    <row r="8" spans="1:9" x14ac:dyDescent="0.3">
      <c r="A8" s="21"/>
      <c r="B8" s="34"/>
      <c r="C8" s="22"/>
    </row>
    <row r="9" spans="1:9" x14ac:dyDescent="0.3">
      <c r="B9" s="34"/>
      <c r="I9" s="25"/>
    </row>
    <row r="11" spans="1:9" x14ac:dyDescent="0.3">
      <c r="B11" s="28"/>
    </row>
    <row r="12" spans="1:9" x14ac:dyDescent="0.3">
      <c r="B12" s="32"/>
    </row>
    <row r="13" spans="1:9" x14ac:dyDescent="0.3">
      <c r="B13" s="34"/>
    </row>
    <row r="16" spans="1:9" x14ac:dyDescent="0.3">
      <c r="B16" s="32"/>
    </row>
    <row r="17" spans="2:2" x14ac:dyDescent="0.3">
      <c r="B17" s="34"/>
    </row>
    <row r="18" spans="2:2" x14ac:dyDescent="0.3">
      <c r="B18" s="28"/>
    </row>
    <row r="19" spans="2:2" x14ac:dyDescent="0.3">
      <c r="B19" s="28"/>
    </row>
    <row r="20" spans="2:2" x14ac:dyDescent="0.3">
      <c r="B20" s="32"/>
    </row>
    <row r="21" spans="2:2" x14ac:dyDescent="0.3">
      <c r="B21" s="34"/>
    </row>
    <row r="23" spans="2:2" x14ac:dyDescent="0.3">
      <c r="B23" s="46"/>
    </row>
    <row r="26" spans="2:2" x14ac:dyDescent="0.3">
      <c r="B26" s="46"/>
    </row>
    <row r="28" spans="2:2" x14ac:dyDescent="0.3">
      <c r="B28" s="32"/>
    </row>
    <row r="29" spans="2:2" x14ac:dyDescent="0.3">
      <c r="B29" s="46"/>
    </row>
    <row r="30" spans="2:2" x14ac:dyDescent="0.3">
      <c r="B30" s="34"/>
    </row>
    <row r="31" spans="2:2" x14ac:dyDescent="0.3">
      <c r="B31" s="46"/>
    </row>
    <row r="34" spans="2:2" x14ac:dyDescent="0.3">
      <c r="B34" s="34"/>
    </row>
    <row r="35" spans="2:2" x14ac:dyDescent="0.3">
      <c r="B35" s="46"/>
    </row>
  </sheetData>
  <mergeCells count="1">
    <mergeCell ref="A3:B3"/>
  </mergeCells>
  <pageMargins left="0.7" right="0.7" top="0.75" bottom="0.75" header="0.3" footer="0.3"/>
  <pageSetup paperSize="5" scale="82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B0FBA-ED5C-4FD4-82BE-7AD0DB12C80F}">
  <dimension ref="A1:I67"/>
  <sheetViews>
    <sheetView view="pageBreakPreview" zoomScale="80" zoomScaleNormal="100" zoomScaleSheetLayoutView="80" workbookViewId="0">
      <selection activeCell="C68" sqref="C6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375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86.22</v>
      </c>
      <c r="D3" s="20">
        <f>SUM(D$4:D$1048576)</f>
        <v>0</v>
      </c>
      <c r="E3" s="20">
        <f>SUM(E$5:E$1048576)</f>
        <v>-2</v>
      </c>
      <c r="F3" s="20">
        <f>SUM(F$5:F$1048576)</f>
        <v>-3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45856</v>
      </c>
      <c r="B5" s="32" t="s">
        <v>21</v>
      </c>
      <c r="C5" s="22">
        <v>15.85</v>
      </c>
      <c r="D5" s="30"/>
      <c r="E5" s="30"/>
      <c r="F5" s="30"/>
      <c r="G5" s="22"/>
    </row>
    <row r="6" spans="1:9" hidden="1" x14ac:dyDescent="0.3">
      <c r="A6" s="21">
        <v>45856</v>
      </c>
      <c r="B6" s="34" t="s">
        <v>1</v>
      </c>
      <c r="C6" s="24">
        <v>25</v>
      </c>
    </row>
    <row r="7" spans="1:9" hidden="1" x14ac:dyDescent="0.3">
      <c r="A7" s="21">
        <v>45861</v>
      </c>
      <c r="B7" s="28" t="s">
        <v>4</v>
      </c>
      <c r="C7" s="24">
        <v>-40.85</v>
      </c>
    </row>
    <row r="8" spans="1:9" hidden="1" x14ac:dyDescent="0.3">
      <c r="A8" s="21">
        <v>45870</v>
      </c>
      <c r="B8" s="34" t="s">
        <v>1</v>
      </c>
      <c r="C8" s="22">
        <v>33.96</v>
      </c>
    </row>
    <row r="9" spans="1:9" hidden="1" x14ac:dyDescent="0.3">
      <c r="A9" s="26">
        <v>45877</v>
      </c>
      <c r="B9" s="34" t="s">
        <v>1</v>
      </c>
      <c r="C9" s="24">
        <v>38.979999999999997</v>
      </c>
      <c r="I9" s="25"/>
    </row>
    <row r="10" spans="1:9" hidden="1" x14ac:dyDescent="0.3">
      <c r="A10" s="26">
        <v>45882</v>
      </c>
      <c r="B10" s="27" t="s">
        <v>4</v>
      </c>
      <c r="C10" s="24">
        <v>-37.130000000000003</v>
      </c>
    </row>
    <row r="11" spans="1:9" hidden="1" x14ac:dyDescent="0.3">
      <c r="A11" s="26">
        <v>45883</v>
      </c>
      <c r="B11" s="28" t="s">
        <v>4</v>
      </c>
      <c r="C11" s="24">
        <v>-38.700000000000003</v>
      </c>
    </row>
    <row r="12" spans="1:9" hidden="1" x14ac:dyDescent="0.3">
      <c r="A12" s="26">
        <v>45883</v>
      </c>
      <c r="B12" s="32" t="s">
        <v>21</v>
      </c>
      <c r="C12" s="24">
        <v>26.1</v>
      </c>
    </row>
    <row r="13" spans="1:9" hidden="1" x14ac:dyDescent="0.3">
      <c r="A13" s="26">
        <v>45883</v>
      </c>
      <c r="B13" s="34" t="s">
        <v>1</v>
      </c>
      <c r="C13" s="24">
        <v>32.880000000000003</v>
      </c>
    </row>
    <row r="14" spans="1:9" hidden="1" x14ac:dyDescent="0.3">
      <c r="A14" s="26">
        <v>45888</v>
      </c>
      <c r="B14" s="27" t="s">
        <v>4</v>
      </c>
      <c r="C14" s="24">
        <v>-28.96</v>
      </c>
    </row>
    <row r="15" spans="1:9" hidden="1" x14ac:dyDescent="0.3">
      <c r="A15" s="26">
        <v>45891</v>
      </c>
      <c r="B15" s="27" t="s">
        <v>4</v>
      </c>
      <c r="C15" s="24">
        <v>-26.89</v>
      </c>
    </row>
    <row r="16" spans="1:9" hidden="1" x14ac:dyDescent="0.3">
      <c r="A16" s="26">
        <v>45891</v>
      </c>
      <c r="B16" s="32" t="s">
        <v>21</v>
      </c>
      <c r="C16" s="24">
        <v>24</v>
      </c>
    </row>
    <row r="17" spans="1:3" hidden="1" x14ac:dyDescent="0.3">
      <c r="A17" s="26">
        <v>45891</v>
      </c>
      <c r="B17" s="34" t="s">
        <v>1</v>
      </c>
      <c r="C17" s="24">
        <v>45.06</v>
      </c>
    </row>
    <row r="18" spans="1:3" hidden="1" x14ac:dyDescent="0.3">
      <c r="A18" s="26">
        <v>45896</v>
      </c>
      <c r="B18" s="28" t="s">
        <v>4</v>
      </c>
      <c r="C18" s="24">
        <v>-55.41</v>
      </c>
    </row>
    <row r="19" spans="1:3" hidden="1" x14ac:dyDescent="0.3">
      <c r="A19" s="26">
        <v>45898</v>
      </c>
      <c r="B19" s="28" t="s">
        <v>4</v>
      </c>
      <c r="C19" s="24">
        <v>-13.89</v>
      </c>
    </row>
    <row r="20" spans="1:3" hidden="1" x14ac:dyDescent="0.3">
      <c r="A20" s="26">
        <v>45898</v>
      </c>
      <c r="B20" s="32" t="s">
        <v>21</v>
      </c>
      <c r="C20" s="24">
        <v>24</v>
      </c>
    </row>
    <row r="21" spans="1:3" hidden="1" x14ac:dyDescent="0.3">
      <c r="A21" s="26">
        <v>45898</v>
      </c>
      <c r="B21" s="34" t="s">
        <v>1</v>
      </c>
      <c r="C21" s="24">
        <v>58.5</v>
      </c>
    </row>
    <row r="22" spans="1:3" hidden="1" x14ac:dyDescent="0.3">
      <c r="A22" s="26">
        <v>45905</v>
      </c>
      <c r="B22" s="27" t="s">
        <v>4</v>
      </c>
      <c r="C22" s="24">
        <v>-83.15</v>
      </c>
    </row>
    <row r="23" spans="1:3" hidden="1" x14ac:dyDescent="0.3">
      <c r="A23" s="26">
        <v>45905</v>
      </c>
      <c r="B23" s="34" t="s">
        <v>1</v>
      </c>
      <c r="C23" s="24">
        <v>54.65</v>
      </c>
    </row>
    <row r="24" spans="1:3" hidden="1" x14ac:dyDescent="0.3">
      <c r="A24" s="26">
        <v>45912</v>
      </c>
      <c r="B24" s="27" t="s">
        <v>4</v>
      </c>
      <c r="C24" s="24">
        <v>-54.65</v>
      </c>
    </row>
    <row r="25" spans="1:3" x14ac:dyDescent="0.3">
      <c r="A25" s="26">
        <v>45912</v>
      </c>
      <c r="B25" s="32" t="s">
        <v>1</v>
      </c>
      <c r="C25" s="24">
        <v>9.6</v>
      </c>
    </row>
    <row r="26" spans="1:3" x14ac:dyDescent="0.3">
      <c r="A26" s="26">
        <v>45912</v>
      </c>
      <c r="B26" s="34" t="s">
        <v>1</v>
      </c>
      <c r="C26" s="24">
        <v>75.66</v>
      </c>
    </row>
    <row r="27" spans="1:3" x14ac:dyDescent="0.3">
      <c r="A27" s="26">
        <v>45885</v>
      </c>
      <c r="B27" s="34" t="s">
        <v>1</v>
      </c>
      <c r="C27" s="24">
        <v>151.57</v>
      </c>
    </row>
    <row r="28" spans="1:3" x14ac:dyDescent="0.3">
      <c r="A28" s="26">
        <v>45917</v>
      </c>
      <c r="B28" s="27" t="s">
        <v>4</v>
      </c>
      <c r="C28" s="24">
        <v>-85.26</v>
      </c>
    </row>
    <row r="29" spans="1:3" x14ac:dyDescent="0.3">
      <c r="A29" s="26">
        <v>45925</v>
      </c>
      <c r="B29" s="27" t="s">
        <v>4</v>
      </c>
      <c r="C29" s="24">
        <v>-87.29</v>
      </c>
    </row>
    <row r="30" spans="1:3" x14ac:dyDescent="0.3">
      <c r="A30" s="26">
        <v>45926</v>
      </c>
      <c r="B30" s="32" t="s">
        <v>1</v>
      </c>
      <c r="C30" s="24">
        <v>24</v>
      </c>
    </row>
    <row r="31" spans="1:3" x14ac:dyDescent="0.3">
      <c r="A31" s="26">
        <v>45926</v>
      </c>
      <c r="B31" s="34" t="s">
        <v>1</v>
      </c>
      <c r="C31" s="24">
        <v>63.63</v>
      </c>
    </row>
    <row r="32" spans="1:3" x14ac:dyDescent="0.3">
      <c r="A32" s="26">
        <v>45930</v>
      </c>
      <c r="B32" s="27" t="s">
        <v>4</v>
      </c>
      <c r="C32" s="24">
        <v>-63.63</v>
      </c>
    </row>
    <row r="33" spans="1:6" x14ac:dyDescent="0.3">
      <c r="A33" s="26">
        <v>45930</v>
      </c>
      <c r="B33" s="32" t="s">
        <v>1</v>
      </c>
      <c r="C33" s="24">
        <v>9.6</v>
      </c>
    </row>
    <row r="34" spans="1:6" x14ac:dyDescent="0.3">
      <c r="A34" s="26">
        <v>45930</v>
      </c>
      <c r="B34" s="34" t="s">
        <v>1</v>
      </c>
      <c r="C34" s="24">
        <v>103.1</v>
      </c>
    </row>
    <row r="35" spans="1:6" x14ac:dyDescent="0.3">
      <c r="A35" s="26">
        <v>45933</v>
      </c>
      <c r="B35" s="34" t="s">
        <v>1</v>
      </c>
      <c r="C35" s="24">
        <v>13.91</v>
      </c>
    </row>
    <row r="36" spans="1:6" x14ac:dyDescent="0.3">
      <c r="A36" s="26">
        <v>45936</v>
      </c>
      <c r="B36" s="27" t="s">
        <v>4</v>
      </c>
      <c r="C36" s="24">
        <v>-87.63</v>
      </c>
    </row>
    <row r="37" spans="1:6" x14ac:dyDescent="0.3">
      <c r="A37" s="26">
        <v>45936</v>
      </c>
      <c r="B37" s="34" t="s">
        <v>1</v>
      </c>
      <c r="C37" s="24">
        <v>86.11</v>
      </c>
    </row>
    <row r="38" spans="1:6" x14ac:dyDescent="0.3">
      <c r="A38" s="26">
        <v>45940</v>
      </c>
      <c r="B38" s="32" t="s">
        <v>1</v>
      </c>
      <c r="C38" s="24">
        <v>15</v>
      </c>
      <c r="E38" s="25">
        <v>-1</v>
      </c>
      <c r="F38" s="25">
        <v>-2</v>
      </c>
    </row>
    <row r="39" spans="1:6" x14ac:dyDescent="0.3">
      <c r="A39" s="26">
        <v>45940</v>
      </c>
      <c r="B39" s="34" t="s">
        <v>1</v>
      </c>
      <c r="C39" s="24">
        <v>8.73</v>
      </c>
    </row>
    <row r="40" spans="1:6" x14ac:dyDescent="0.3">
      <c r="A40" s="26">
        <v>45940</v>
      </c>
      <c r="B40" s="27" t="s">
        <v>4</v>
      </c>
      <c r="C40" s="24">
        <v>-66.58</v>
      </c>
    </row>
    <row r="41" spans="1:6" x14ac:dyDescent="0.3">
      <c r="A41" s="26">
        <v>45945</v>
      </c>
      <c r="B41" s="32" t="s">
        <v>1</v>
      </c>
      <c r="C41" s="24">
        <v>40.380000000000003</v>
      </c>
      <c r="D41" s="25">
        <v>1</v>
      </c>
    </row>
    <row r="42" spans="1:6" x14ac:dyDescent="0.3">
      <c r="A42" s="26">
        <v>45945</v>
      </c>
      <c r="B42" s="34" t="s">
        <v>1</v>
      </c>
      <c r="C42" s="24">
        <v>90.83</v>
      </c>
    </row>
    <row r="43" spans="1:6" x14ac:dyDescent="0.3">
      <c r="A43" s="26">
        <v>45947</v>
      </c>
      <c r="B43" s="27" t="s">
        <v>4</v>
      </c>
      <c r="C43" s="24">
        <v>-117.8</v>
      </c>
    </row>
    <row r="44" spans="1:6" x14ac:dyDescent="0.3">
      <c r="A44" s="26">
        <v>45951</v>
      </c>
      <c r="B44" s="27" t="s">
        <v>4</v>
      </c>
      <c r="C44" s="24">
        <v>-96.2</v>
      </c>
    </row>
    <row r="45" spans="1:6" x14ac:dyDescent="0.3">
      <c r="A45" s="26">
        <v>45951</v>
      </c>
      <c r="B45" s="32" t="s">
        <v>1</v>
      </c>
      <c r="C45" s="24">
        <v>15</v>
      </c>
    </row>
    <row r="46" spans="1:6" x14ac:dyDescent="0.3">
      <c r="A46" s="26">
        <v>45951</v>
      </c>
      <c r="B46" s="34" t="s">
        <v>1</v>
      </c>
      <c r="C46" s="24">
        <v>125.01</v>
      </c>
    </row>
    <row r="47" spans="1:6" x14ac:dyDescent="0.3">
      <c r="A47" s="26">
        <v>45954</v>
      </c>
      <c r="B47" s="32" t="s">
        <v>1</v>
      </c>
      <c r="D47" s="25">
        <v>-1</v>
      </c>
      <c r="E47" s="25">
        <v>-1</v>
      </c>
      <c r="F47" s="25">
        <v>-1</v>
      </c>
    </row>
    <row r="48" spans="1:6" x14ac:dyDescent="0.3">
      <c r="A48" s="26">
        <v>45954</v>
      </c>
      <c r="B48" s="34" t="s">
        <v>1</v>
      </c>
      <c r="C48" s="24">
        <v>110.63</v>
      </c>
    </row>
    <row r="49" spans="1:3" x14ac:dyDescent="0.3">
      <c r="A49" s="26">
        <v>45967</v>
      </c>
      <c r="B49" s="27" t="s">
        <v>4</v>
      </c>
      <c r="C49" s="24">
        <v>-72.510000000000005</v>
      </c>
    </row>
    <row r="50" spans="1:3" x14ac:dyDescent="0.3">
      <c r="A50" s="26">
        <v>45968</v>
      </c>
      <c r="B50" s="32" t="s">
        <v>1</v>
      </c>
      <c r="C50" s="24">
        <v>24</v>
      </c>
    </row>
    <row r="51" spans="1:3" x14ac:dyDescent="0.3">
      <c r="A51" s="26">
        <v>45968</v>
      </c>
      <c r="B51" s="34" t="s">
        <v>1</v>
      </c>
      <c r="C51" s="24">
        <v>108.52</v>
      </c>
    </row>
    <row r="52" spans="1:3" x14ac:dyDescent="0.3">
      <c r="A52" s="26">
        <v>45980</v>
      </c>
      <c r="B52" s="27" t="s">
        <v>4</v>
      </c>
      <c r="C52" s="24">
        <v>-124.83</v>
      </c>
    </row>
    <row r="53" spans="1:3" x14ac:dyDescent="0.3">
      <c r="A53" s="26">
        <v>45981</v>
      </c>
      <c r="B53" s="27" t="s">
        <v>4</v>
      </c>
      <c r="C53" s="24">
        <v>-37.26</v>
      </c>
    </row>
    <row r="54" spans="1:3" x14ac:dyDescent="0.3">
      <c r="A54" s="26">
        <v>45982</v>
      </c>
      <c r="B54" s="27" t="s">
        <v>4</v>
      </c>
      <c r="C54" s="24">
        <v>130.91999999999999</v>
      </c>
    </row>
    <row r="55" spans="1:3" x14ac:dyDescent="0.3">
      <c r="A55" s="26">
        <v>45989</v>
      </c>
      <c r="B55" s="27" t="s">
        <v>4</v>
      </c>
      <c r="C55" s="24">
        <v>-81.41</v>
      </c>
    </row>
    <row r="56" spans="1:3" x14ac:dyDescent="0.3">
      <c r="A56" s="26">
        <v>46001</v>
      </c>
      <c r="B56" s="27" t="s">
        <v>4</v>
      </c>
      <c r="C56" s="24">
        <v>-114.46</v>
      </c>
    </row>
    <row r="57" spans="1:3" x14ac:dyDescent="0.3">
      <c r="A57" s="26">
        <v>46001</v>
      </c>
      <c r="B57" s="27" t="s">
        <v>4</v>
      </c>
      <c r="C57" s="24">
        <v>-38.770000000000003</v>
      </c>
    </row>
    <row r="58" spans="1:3" x14ac:dyDescent="0.3">
      <c r="A58" s="26">
        <v>46007</v>
      </c>
      <c r="B58" s="27" t="s">
        <v>4</v>
      </c>
      <c r="C58" s="24">
        <v>-91.38</v>
      </c>
    </row>
    <row r="59" spans="1:3" x14ac:dyDescent="0.3">
      <c r="A59" s="26">
        <v>46008</v>
      </c>
      <c r="B59" s="27" t="s">
        <v>1</v>
      </c>
      <c r="C59" s="24">
        <v>173.15</v>
      </c>
    </row>
    <row r="60" spans="1:3" x14ac:dyDescent="0.3">
      <c r="A60" s="26">
        <v>46010</v>
      </c>
      <c r="B60" s="27" t="s">
        <v>4</v>
      </c>
      <c r="C60" s="24">
        <v>-28.32</v>
      </c>
    </row>
    <row r="61" spans="1:3" x14ac:dyDescent="0.3">
      <c r="A61" s="26">
        <v>46036</v>
      </c>
      <c r="B61" s="27" t="s">
        <v>4</v>
      </c>
      <c r="C61" s="24">
        <v>-46.1</v>
      </c>
    </row>
    <row r="62" spans="1:3" x14ac:dyDescent="0.3">
      <c r="A62" s="26">
        <v>46036</v>
      </c>
      <c r="B62" s="27" t="s">
        <v>4</v>
      </c>
      <c r="C62" s="24">
        <v>-41.68</v>
      </c>
    </row>
    <row r="63" spans="1:3" x14ac:dyDescent="0.3">
      <c r="A63" s="26">
        <v>46037</v>
      </c>
      <c r="B63" s="27" t="s">
        <v>4</v>
      </c>
      <c r="C63" s="24">
        <v>-76.66</v>
      </c>
    </row>
    <row r="64" spans="1:3" x14ac:dyDescent="0.3">
      <c r="A64" s="26">
        <v>46038</v>
      </c>
      <c r="B64" s="27" t="s">
        <v>4</v>
      </c>
      <c r="C64" s="24">
        <v>-20.93</v>
      </c>
    </row>
    <row r="65" spans="1:3" x14ac:dyDescent="0.3">
      <c r="A65" s="26">
        <v>46045</v>
      </c>
      <c r="B65" s="27" t="s">
        <v>1</v>
      </c>
      <c r="C65" s="24">
        <v>34</v>
      </c>
    </row>
    <row r="66" spans="1:3" x14ac:dyDescent="0.3">
      <c r="A66" s="26">
        <v>46051</v>
      </c>
      <c r="B66" s="27" t="s">
        <v>4</v>
      </c>
      <c r="C66" s="24">
        <v>-34</v>
      </c>
    </row>
    <row r="67" spans="1:3" x14ac:dyDescent="0.3">
      <c r="A67" s="26">
        <v>46052</v>
      </c>
      <c r="B67" s="27" t="s">
        <v>1</v>
      </c>
      <c r="C67" s="24">
        <v>86.22</v>
      </c>
    </row>
  </sheetData>
  <mergeCells count="1">
    <mergeCell ref="A3:B3"/>
  </mergeCells>
  <pageMargins left="0.7" right="0.7" top="0.75" bottom="0.75" header="0.3" footer="0.3"/>
  <pageSetup paperSize="5" scale="82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4C270-E016-479E-9252-796FDDC61C58}">
  <dimension ref="A1:I82"/>
  <sheetViews>
    <sheetView view="pageBreakPreview" topLeftCell="A37" zoomScale="80" zoomScaleNormal="100" zoomScaleSheetLayoutView="80" workbookViewId="0">
      <selection activeCell="C76" sqref="C7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485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153.90999999999971</v>
      </c>
      <c r="D3" s="20">
        <f>SUM(D$4:D$1048576)</f>
        <v>2</v>
      </c>
      <c r="E3" s="20">
        <f>SUM(E$5:E$1048576)</f>
        <v>1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45959</v>
      </c>
      <c r="B5" s="32" t="s">
        <v>21</v>
      </c>
      <c r="C5" s="22">
        <v>73.78</v>
      </c>
      <c r="D5" s="30">
        <v>1</v>
      </c>
      <c r="E5" s="30">
        <v>1</v>
      </c>
      <c r="F5" s="30"/>
      <c r="G5" s="22"/>
    </row>
    <row r="6" spans="1:9" hidden="1" x14ac:dyDescent="0.3">
      <c r="A6" s="21">
        <v>45959</v>
      </c>
      <c r="B6" s="34" t="s">
        <v>1</v>
      </c>
      <c r="C6" s="24">
        <v>181.62</v>
      </c>
    </row>
    <row r="7" spans="1:9" hidden="1" x14ac:dyDescent="0.3">
      <c r="A7" s="21">
        <v>45959</v>
      </c>
      <c r="B7" s="46" t="s">
        <v>1</v>
      </c>
      <c r="C7" s="24">
        <v>94.98</v>
      </c>
    </row>
    <row r="8" spans="1:9" hidden="1" x14ac:dyDescent="0.3">
      <c r="A8" s="21">
        <v>45961</v>
      </c>
      <c r="B8" s="29" t="s">
        <v>4</v>
      </c>
      <c r="C8" s="22">
        <v>-335.35</v>
      </c>
    </row>
    <row r="9" spans="1:9" hidden="1" x14ac:dyDescent="0.3">
      <c r="A9" s="21">
        <v>45961</v>
      </c>
      <c r="B9" s="28" t="s">
        <v>4</v>
      </c>
      <c r="C9" s="24">
        <v>-15.03</v>
      </c>
      <c r="I9" s="25"/>
    </row>
    <row r="10" spans="1:9" hidden="1" x14ac:dyDescent="0.3">
      <c r="A10" s="26">
        <v>45966</v>
      </c>
      <c r="B10" s="32" t="s">
        <v>1</v>
      </c>
      <c r="C10" s="24">
        <v>19.68</v>
      </c>
    </row>
    <row r="11" spans="1:9" hidden="1" x14ac:dyDescent="0.3">
      <c r="A11" s="26">
        <v>45966</v>
      </c>
      <c r="B11" s="34" t="s">
        <v>1</v>
      </c>
      <c r="C11" s="24">
        <v>550.28</v>
      </c>
    </row>
    <row r="12" spans="1:9" hidden="1" x14ac:dyDescent="0.3">
      <c r="A12" s="26">
        <v>45968</v>
      </c>
      <c r="B12" s="27" t="s">
        <v>4</v>
      </c>
      <c r="C12" s="24">
        <v>-43.77</v>
      </c>
    </row>
    <row r="13" spans="1:9" hidden="1" x14ac:dyDescent="0.3">
      <c r="A13" s="26">
        <v>45971</v>
      </c>
      <c r="B13" s="28" t="s">
        <v>4</v>
      </c>
      <c r="C13" s="24">
        <v>-38.950000000000003</v>
      </c>
    </row>
    <row r="14" spans="1:9" hidden="1" x14ac:dyDescent="0.3">
      <c r="A14" s="26">
        <v>45971</v>
      </c>
      <c r="B14" s="27" t="s">
        <v>4</v>
      </c>
      <c r="C14" s="24">
        <v>-38.950000000000003</v>
      </c>
    </row>
    <row r="15" spans="1:9" hidden="1" x14ac:dyDescent="0.3">
      <c r="A15" s="26">
        <v>45972</v>
      </c>
      <c r="B15" s="27" t="s">
        <v>4</v>
      </c>
      <c r="C15" s="24">
        <v>-51.93</v>
      </c>
    </row>
    <row r="16" spans="1:9" hidden="1" x14ac:dyDescent="0.3">
      <c r="A16" s="26">
        <v>45973</v>
      </c>
      <c r="B16" s="28" t="s">
        <v>4</v>
      </c>
      <c r="C16" s="24">
        <v>-21.46</v>
      </c>
    </row>
    <row r="17" spans="1:4" hidden="1" x14ac:dyDescent="0.3">
      <c r="A17" s="26">
        <v>45980</v>
      </c>
      <c r="B17" s="28" t="s">
        <v>1</v>
      </c>
      <c r="C17" s="24">
        <v>167.28</v>
      </c>
    </row>
    <row r="18" spans="1:4" hidden="1" x14ac:dyDescent="0.3">
      <c r="A18" s="26">
        <v>45985</v>
      </c>
      <c r="B18" s="28" t="s">
        <v>4</v>
      </c>
      <c r="C18" s="24">
        <v>-45.25</v>
      </c>
    </row>
    <row r="19" spans="1:4" hidden="1" x14ac:dyDescent="0.3">
      <c r="A19" s="26">
        <v>45985</v>
      </c>
      <c r="B19" s="28" t="s">
        <v>4</v>
      </c>
      <c r="C19" s="24">
        <v>-90.49</v>
      </c>
    </row>
    <row r="20" spans="1:4" hidden="1" x14ac:dyDescent="0.3">
      <c r="A20" s="26">
        <v>45986</v>
      </c>
      <c r="B20" s="28" t="s">
        <v>4</v>
      </c>
      <c r="C20" s="24">
        <v>-27.5</v>
      </c>
    </row>
    <row r="21" spans="1:4" hidden="1" x14ac:dyDescent="0.3">
      <c r="A21" s="26">
        <v>45980</v>
      </c>
      <c r="B21" s="27" t="s">
        <v>4</v>
      </c>
      <c r="C21" s="24">
        <v>-374.93</v>
      </c>
    </row>
    <row r="22" spans="1:4" hidden="1" x14ac:dyDescent="0.3">
      <c r="A22" s="26">
        <v>45987</v>
      </c>
      <c r="B22" s="27" t="s">
        <v>4</v>
      </c>
      <c r="C22" s="24">
        <v>-4.5</v>
      </c>
    </row>
    <row r="23" spans="1:4" x14ac:dyDescent="0.3">
      <c r="A23" s="26">
        <v>45987</v>
      </c>
      <c r="B23" s="27" t="s">
        <v>1</v>
      </c>
      <c r="C23" s="24">
        <v>433.47</v>
      </c>
    </row>
    <row r="24" spans="1:4" x14ac:dyDescent="0.3">
      <c r="A24" s="26">
        <v>45988</v>
      </c>
      <c r="B24" s="27" t="s">
        <v>4</v>
      </c>
      <c r="C24" s="24">
        <v>-143.06</v>
      </c>
    </row>
    <row r="25" spans="1:4" x14ac:dyDescent="0.3">
      <c r="A25" s="26">
        <v>45989</v>
      </c>
      <c r="B25" s="27" t="s">
        <v>4</v>
      </c>
      <c r="C25" s="24">
        <v>-81.41</v>
      </c>
    </row>
    <row r="26" spans="1:4" x14ac:dyDescent="0.3">
      <c r="A26" s="26">
        <v>45992</v>
      </c>
      <c r="B26" s="27" t="s">
        <v>4</v>
      </c>
      <c r="C26" s="24">
        <v>-64.7</v>
      </c>
    </row>
    <row r="27" spans="1:4" x14ac:dyDescent="0.3">
      <c r="A27" s="26">
        <v>45992</v>
      </c>
      <c r="B27" s="27" t="s">
        <v>4</v>
      </c>
      <c r="C27" s="24">
        <v>-129.4</v>
      </c>
    </row>
    <row r="28" spans="1:4" x14ac:dyDescent="0.3">
      <c r="A28" s="26">
        <v>45993</v>
      </c>
      <c r="B28" s="27" t="s">
        <v>4</v>
      </c>
      <c r="C28" s="24">
        <v>-16.010000000000002</v>
      </c>
    </row>
    <row r="29" spans="1:4" x14ac:dyDescent="0.3">
      <c r="A29" s="26">
        <v>45994</v>
      </c>
      <c r="B29" s="27" t="s">
        <v>1</v>
      </c>
      <c r="C29" s="24">
        <v>593.02</v>
      </c>
      <c r="D29" s="25">
        <v>1</v>
      </c>
    </row>
    <row r="30" spans="1:4" x14ac:dyDescent="0.3">
      <c r="A30" s="26">
        <v>45999</v>
      </c>
      <c r="B30" s="27" t="s">
        <v>4</v>
      </c>
      <c r="C30" s="24">
        <v>-155.08000000000001</v>
      </c>
    </row>
    <row r="31" spans="1:4" x14ac:dyDescent="0.3">
      <c r="A31" s="26">
        <v>46000</v>
      </c>
      <c r="B31" s="27" t="s">
        <v>4</v>
      </c>
      <c r="C31" s="24">
        <v>-38.770000000000003</v>
      </c>
    </row>
    <row r="32" spans="1:4" x14ac:dyDescent="0.3">
      <c r="A32" s="26">
        <v>46001</v>
      </c>
      <c r="B32" s="27" t="s">
        <v>4</v>
      </c>
      <c r="C32" s="24">
        <v>-57.23</v>
      </c>
    </row>
    <row r="33" spans="1:3" x14ac:dyDescent="0.3">
      <c r="A33" s="26">
        <v>46002</v>
      </c>
      <c r="B33" s="27" t="s">
        <v>4</v>
      </c>
      <c r="C33" s="24">
        <v>-41.5</v>
      </c>
    </row>
    <row r="34" spans="1:3" x14ac:dyDescent="0.3">
      <c r="A34" s="26">
        <v>46003</v>
      </c>
      <c r="B34" s="27" t="s">
        <v>4</v>
      </c>
      <c r="C34" s="24">
        <v>-74.7</v>
      </c>
    </row>
    <row r="35" spans="1:3" x14ac:dyDescent="0.3">
      <c r="A35" s="26">
        <v>46004</v>
      </c>
      <c r="B35" s="27" t="s">
        <v>4</v>
      </c>
      <c r="C35" s="24">
        <v>-44.31</v>
      </c>
    </row>
    <row r="36" spans="1:3" x14ac:dyDescent="0.3">
      <c r="A36" s="26">
        <v>46006</v>
      </c>
      <c r="B36" s="27" t="s">
        <v>4</v>
      </c>
      <c r="C36" s="24">
        <v>-88.63</v>
      </c>
    </row>
    <row r="37" spans="1:3" x14ac:dyDescent="0.3">
      <c r="A37" s="26">
        <v>46007</v>
      </c>
      <c r="B37" s="27" t="s">
        <v>4</v>
      </c>
      <c r="C37" s="24">
        <v>-51.17</v>
      </c>
    </row>
    <row r="38" spans="1:3" x14ac:dyDescent="0.3">
      <c r="A38" s="26">
        <v>46008</v>
      </c>
      <c r="B38" s="27" t="s">
        <v>4</v>
      </c>
      <c r="C38" s="24">
        <v>-41.65</v>
      </c>
    </row>
    <row r="39" spans="1:3" x14ac:dyDescent="0.3">
      <c r="A39" s="26">
        <v>46008</v>
      </c>
      <c r="B39" s="27" t="s">
        <v>1</v>
      </c>
      <c r="C39" s="24">
        <v>632.91999999999996</v>
      </c>
    </row>
    <row r="40" spans="1:3" x14ac:dyDescent="0.3">
      <c r="A40" s="26">
        <v>46009</v>
      </c>
      <c r="B40" s="27" t="s">
        <v>4</v>
      </c>
      <c r="C40" s="24">
        <v>-143.08000000000001</v>
      </c>
    </row>
    <row r="41" spans="1:3" x14ac:dyDescent="0.3">
      <c r="A41" s="26">
        <v>46012</v>
      </c>
      <c r="B41" s="27" t="s">
        <v>4</v>
      </c>
      <c r="C41" s="24">
        <v>-210.23</v>
      </c>
    </row>
    <row r="42" spans="1:3" x14ac:dyDescent="0.3">
      <c r="A42" s="26">
        <v>46013</v>
      </c>
      <c r="B42" s="27" t="s">
        <v>4</v>
      </c>
      <c r="C42" s="24">
        <v>-105.11</v>
      </c>
    </row>
    <row r="43" spans="1:3" x14ac:dyDescent="0.3">
      <c r="A43" s="26">
        <v>46014</v>
      </c>
      <c r="B43" s="27" t="s">
        <v>4</v>
      </c>
      <c r="C43" s="24">
        <v>-90.14</v>
      </c>
    </row>
    <row r="44" spans="1:3" x14ac:dyDescent="0.3">
      <c r="A44" s="26">
        <v>46014</v>
      </c>
      <c r="B44" s="27" t="s">
        <v>1</v>
      </c>
      <c r="C44" s="24">
        <v>428.59</v>
      </c>
    </row>
    <row r="45" spans="1:3" x14ac:dyDescent="0.3">
      <c r="A45" s="26">
        <v>46015</v>
      </c>
      <c r="B45" s="27" t="s">
        <v>4</v>
      </c>
      <c r="C45" s="24">
        <v>-68.650000000000006</v>
      </c>
    </row>
    <row r="46" spans="1:3" x14ac:dyDescent="0.3">
      <c r="A46" s="26">
        <v>46017</v>
      </c>
      <c r="B46" s="27" t="s">
        <v>4</v>
      </c>
      <c r="C46" s="24">
        <v>-15.79</v>
      </c>
    </row>
    <row r="47" spans="1:3" x14ac:dyDescent="0.3">
      <c r="A47" s="26">
        <v>46017</v>
      </c>
      <c r="B47" s="27" t="s">
        <v>4</v>
      </c>
      <c r="C47" s="24">
        <v>-120.13</v>
      </c>
    </row>
    <row r="48" spans="1:3" x14ac:dyDescent="0.3">
      <c r="A48" s="26">
        <v>46020</v>
      </c>
      <c r="B48" s="27" t="s">
        <v>4</v>
      </c>
      <c r="C48" s="24">
        <v>-84.75</v>
      </c>
    </row>
    <row r="49" spans="1:3" x14ac:dyDescent="0.3">
      <c r="A49" s="26">
        <v>46021</v>
      </c>
      <c r="B49" s="27" t="s">
        <v>4</v>
      </c>
      <c r="C49" s="24">
        <v>-67.08</v>
      </c>
    </row>
    <row r="50" spans="1:3" x14ac:dyDescent="0.3">
      <c r="A50" s="26">
        <v>46021</v>
      </c>
      <c r="B50" s="27" t="s">
        <v>1</v>
      </c>
      <c r="C50" s="24">
        <v>219.25</v>
      </c>
    </row>
    <row r="51" spans="1:3" x14ac:dyDescent="0.3">
      <c r="A51" s="26">
        <v>46024</v>
      </c>
      <c r="B51" s="27" t="s">
        <v>4</v>
      </c>
      <c r="C51" s="24">
        <v>-132.72999999999999</v>
      </c>
    </row>
    <row r="52" spans="1:3" x14ac:dyDescent="0.3">
      <c r="A52" s="26">
        <v>46027</v>
      </c>
      <c r="B52" s="27" t="s">
        <v>4</v>
      </c>
      <c r="C52" s="24">
        <v>-23.92</v>
      </c>
    </row>
    <row r="53" spans="1:3" x14ac:dyDescent="0.3">
      <c r="A53" s="26">
        <v>46027</v>
      </c>
      <c r="B53" s="27" t="s">
        <v>4</v>
      </c>
      <c r="C53" s="24">
        <v>-131.29</v>
      </c>
    </row>
    <row r="54" spans="1:3" x14ac:dyDescent="0.3">
      <c r="A54" s="26">
        <v>46028</v>
      </c>
      <c r="B54" s="27" t="s">
        <v>4</v>
      </c>
      <c r="C54" s="24">
        <v>-87.97</v>
      </c>
    </row>
    <row r="55" spans="1:3" x14ac:dyDescent="0.3">
      <c r="A55" s="26">
        <v>46029</v>
      </c>
      <c r="B55" s="27" t="s">
        <v>1</v>
      </c>
      <c r="C55" s="24">
        <v>439.32</v>
      </c>
    </row>
    <row r="56" spans="1:3" x14ac:dyDescent="0.3">
      <c r="A56" s="26">
        <v>46030</v>
      </c>
      <c r="B56" s="27" t="s">
        <v>4</v>
      </c>
      <c r="C56" s="24">
        <v>-171.32</v>
      </c>
    </row>
    <row r="57" spans="1:3" x14ac:dyDescent="0.3">
      <c r="A57" s="26">
        <v>46031</v>
      </c>
      <c r="B57" s="27" t="s">
        <v>4</v>
      </c>
      <c r="C57" s="24">
        <v>-33.81</v>
      </c>
    </row>
    <row r="58" spans="1:3" x14ac:dyDescent="0.3">
      <c r="A58" s="26">
        <v>46035</v>
      </c>
      <c r="B58" s="27" t="s">
        <v>4</v>
      </c>
      <c r="C58" s="24">
        <v>-54.48</v>
      </c>
    </row>
    <row r="59" spans="1:3" x14ac:dyDescent="0.3">
      <c r="A59" s="26">
        <v>46036</v>
      </c>
      <c r="B59" s="27" t="s">
        <v>4</v>
      </c>
      <c r="C59" s="24">
        <v>-41.61</v>
      </c>
    </row>
    <row r="60" spans="1:3" x14ac:dyDescent="0.3">
      <c r="A60" s="26">
        <v>46036</v>
      </c>
      <c r="B60" s="27" t="s">
        <v>1</v>
      </c>
      <c r="C60" s="24">
        <v>189.78</v>
      </c>
    </row>
    <row r="61" spans="1:3" x14ac:dyDescent="0.3">
      <c r="A61" s="26">
        <v>46037</v>
      </c>
      <c r="B61" s="27" t="s">
        <v>4</v>
      </c>
      <c r="C61" s="24">
        <v>-47.18</v>
      </c>
    </row>
    <row r="62" spans="1:3" x14ac:dyDescent="0.3">
      <c r="A62" s="26">
        <v>46038</v>
      </c>
      <c r="B62" s="27" t="s">
        <v>4</v>
      </c>
      <c r="C62" s="24">
        <v>-35.11</v>
      </c>
    </row>
    <row r="63" spans="1:3" x14ac:dyDescent="0.3">
      <c r="A63" s="26">
        <v>46042</v>
      </c>
      <c r="B63" s="27" t="s">
        <v>4</v>
      </c>
      <c r="C63" s="24">
        <v>-150.94</v>
      </c>
    </row>
    <row r="64" spans="1:3" x14ac:dyDescent="0.3">
      <c r="A64" s="26">
        <v>46042</v>
      </c>
      <c r="B64" s="27" t="s">
        <v>4</v>
      </c>
      <c r="C64" s="24">
        <v>-31.93</v>
      </c>
    </row>
    <row r="65" spans="1:3" x14ac:dyDescent="0.3">
      <c r="A65" s="26">
        <v>46042</v>
      </c>
      <c r="B65" s="27" t="s">
        <v>4</v>
      </c>
      <c r="C65" s="24">
        <v>-6.92</v>
      </c>
    </row>
    <row r="66" spans="1:3" x14ac:dyDescent="0.3">
      <c r="A66" s="26">
        <v>46043</v>
      </c>
      <c r="B66" s="27" t="s">
        <v>4</v>
      </c>
      <c r="C66" s="24">
        <v>-55.84</v>
      </c>
    </row>
    <row r="67" spans="1:3" x14ac:dyDescent="0.3">
      <c r="A67" s="26">
        <v>46043</v>
      </c>
      <c r="B67" s="27" t="s">
        <v>1</v>
      </c>
      <c r="C67" s="24">
        <v>225.6</v>
      </c>
    </row>
    <row r="68" spans="1:3" x14ac:dyDescent="0.3">
      <c r="A68" s="26">
        <v>46048</v>
      </c>
      <c r="B68" s="27" t="s">
        <v>4</v>
      </c>
      <c r="C68" s="24">
        <v>-40</v>
      </c>
    </row>
    <row r="69" spans="1:3" x14ac:dyDescent="0.3">
      <c r="A69" s="26">
        <v>46049</v>
      </c>
      <c r="B69" s="27" t="s">
        <v>4</v>
      </c>
      <c r="C69" s="24">
        <v>-91.94</v>
      </c>
    </row>
    <row r="70" spans="1:3" x14ac:dyDescent="0.3">
      <c r="A70" s="26">
        <v>46050</v>
      </c>
      <c r="B70" s="27" t="s">
        <v>4</v>
      </c>
      <c r="C70" s="24">
        <v>-55.33</v>
      </c>
    </row>
    <row r="71" spans="1:3" x14ac:dyDescent="0.3">
      <c r="A71" s="26">
        <v>46050</v>
      </c>
      <c r="B71" s="27" t="s">
        <v>1</v>
      </c>
      <c r="C71" s="24">
        <v>287.64</v>
      </c>
    </row>
    <row r="72" spans="1:3" x14ac:dyDescent="0.3">
      <c r="A72" s="26">
        <v>46051</v>
      </c>
      <c r="B72" s="27" t="s">
        <v>4</v>
      </c>
      <c r="C72" s="24">
        <v>-46.75</v>
      </c>
    </row>
    <row r="73" spans="1:3" x14ac:dyDescent="0.3">
      <c r="A73" s="26">
        <v>46052</v>
      </c>
      <c r="B73" s="27" t="s">
        <v>4</v>
      </c>
      <c r="C73" s="24">
        <v>-73.510000000000005</v>
      </c>
    </row>
    <row r="74" spans="1:3" x14ac:dyDescent="0.3">
      <c r="A74" s="26">
        <v>46055</v>
      </c>
      <c r="B74" s="27" t="s">
        <v>4</v>
      </c>
      <c r="C74" s="24">
        <v>-108.03</v>
      </c>
    </row>
    <row r="75" spans="1:3" x14ac:dyDescent="0.3">
      <c r="A75" s="26">
        <v>46052</v>
      </c>
      <c r="B75" s="27" t="s">
        <v>1</v>
      </c>
      <c r="C75" s="24">
        <v>58</v>
      </c>
    </row>
    <row r="79" spans="1:3" x14ac:dyDescent="0.3">
      <c r="B79" s="32"/>
    </row>
    <row r="82" spans="2:2" x14ac:dyDescent="0.3">
      <c r="B82" s="34"/>
    </row>
  </sheetData>
  <mergeCells count="1">
    <mergeCell ref="A3:B3"/>
  </mergeCells>
  <pageMargins left="0.7" right="0.7" top="0.75" bottom="0.75" header="0.3" footer="0.3"/>
  <pageSetup paperSize="5" scale="82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C41C5-AC56-424E-ACE6-5C8115DD4DB8}">
  <sheetPr codeName="Hoja54"/>
  <dimension ref="A1:I119"/>
  <sheetViews>
    <sheetView view="pageBreakPreview" topLeftCell="A97" zoomScaleNormal="100" zoomScaleSheetLayoutView="100" workbookViewId="0">
      <selection activeCell="C120" sqref="C12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41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358.03000000000009</v>
      </c>
      <c r="D3" s="20">
        <f>SUM(D$4:D$1048576)</f>
        <v>7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45742</v>
      </c>
      <c r="B5" s="34" t="s">
        <v>21</v>
      </c>
      <c r="C5" s="22">
        <v>83.94</v>
      </c>
      <c r="D5" s="30"/>
      <c r="E5" s="30"/>
      <c r="F5" s="30"/>
      <c r="G5" s="22"/>
    </row>
    <row r="6" spans="1:9" x14ac:dyDescent="0.3">
      <c r="A6" s="21">
        <v>45742</v>
      </c>
      <c r="B6" s="46" t="s">
        <v>1</v>
      </c>
      <c r="C6" s="24">
        <v>24.01</v>
      </c>
    </row>
    <row r="7" spans="1:9" x14ac:dyDescent="0.3">
      <c r="A7" s="21">
        <v>45751</v>
      </c>
      <c r="B7" s="28"/>
      <c r="C7" s="24">
        <v>33.69</v>
      </c>
    </row>
    <row r="8" spans="1:9" x14ac:dyDescent="0.3">
      <c r="A8" s="21">
        <v>45751</v>
      </c>
      <c r="B8" s="29" t="s">
        <v>21</v>
      </c>
      <c r="C8" s="22">
        <v>28.8</v>
      </c>
    </row>
    <row r="9" spans="1:9" x14ac:dyDescent="0.3">
      <c r="A9" s="26">
        <v>45755</v>
      </c>
      <c r="B9" s="28" t="s">
        <v>4</v>
      </c>
      <c r="C9" s="24">
        <v>-107.95</v>
      </c>
      <c r="I9" s="25"/>
    </row>
    <row r="10" spans="1:9" x14ac:dyDescent="0.3">
      <c r="A10" s="26">
        <v>45757</v>
      </c>
      <c r="B10" s="32" t="s">
        <v>1</v>
      </c>
      <c r="C10" s="24">
        <v>12.28</v>
      </c>
    </row>
    <row r="11" spans="1:9" x14ac:dyDescent="0.3">
      <c r="A11" s="26">
        <v>45771</v>
      </c>
      <c r="B11" s="28" t="s">
        <v>4</v>
      </c>
      <c r="C11" s="24">
        <v>-46</v>
      </c>
    </row>
    <row r="12" spans="1:9" x14ac:dyDescent="0.3">
      <c r="A12" s="26">
        <v>45772</v>
      </c>
      <c r="B12" s="34" t="s">
        <v>1</v>
      </c>
      <c r="C12" s="24">
        <v>132.16999999999999</v>
      </c>
    </row>
    <row r="13" spans="1:9" x14ac:dyDescent="0.3">
      <c r="A13" s="26">
        <v>45775</v>
      </c>
      <c r="B13" s="28" t="s">
        <v>4</v>
      </c>
      <c r="C13" s="24">
        <v>-28.8</v>
      </c>
    </row>
    <row r="14" spans="1:9" x14ac:dyDescent="0.3">
      <c r="A14" s="26">
        <v>45783</v>
      </c>
      <c r="B14" s="34" t="s">
        <v>1</v>
      </c>
      <c r="C14" s="24">
        <v>55.05</v>
      </c>
    </row>
    <row r="15" spans="1:9" x14ac:dyDescent="0.3">
      <c r="A15" s="26">
        <v>45783</v>
      </c>
      <c r="B15" s="46" t="s">
        <v>1</v>
      </c>
      <c r="C15" s="24">
        <v>43.9</v>
      </c>
    </row>
    <row r="16" spans="1:9" x14ac:dyDescent="0.3">
      <c r="A16" s="26">
        <v>45786</v>
      </c>
      <c r="B16" s="28" t="s">
        <v>4</v>
      </c>
      <c r="C16" s="24">
        <v>-50</v>
      </c>
    </row>
    <row r="17" spans="1:4" x14ac:dyDescent="0.3">
      <c r="A17" s="26">
        <v>45790</v>
      </c>
      <c r="B17" s="28" t="s">
        <v>4</v>
      </c>
      <c r="C17" s="24">
        <v>-50</v>
      </c>
    </row>
    <row r="18" spans="1:4" x14ac:dyDescent="0.3">
      <c r="A18" s="26">
        <v>45792</v>
      </c>
      <c r="B18" s="28" t="s">
        <v>4</v>
      </c>
      <c r="C18" s="24">
        <v>-32.14</v>
      </c>
    </row>
    <row r="19" spans="1:4" x14ac:dyDescent="0.3">
      <c r="A19" s="26">
        <v>45797</v>
      </c>
      <c r="B19" s="28" t="s">
        <v>4</v>
      </c>
      <c r="C19" s="24">
        <v>-50</v>
      </c>
    </row>
    <row r="20" spans="1:4" x14ac:dyDescent="0.3">
      <c r="A20" s="26">
        <v>45798</v>
      </c>
      <c r="B20" s="34" t="s">
        <v>1</v>
      </c>
      <c r="C20" s="24">
        <v>68.12</v>
      </c>
    </row>
    <row r="21" spans="1:4" x14ac:dyDescent="0.3">
      <c r="A21" s="26">
        <v>45807</v>
      </c>
      <c r="B21" s="28" t="s">
        <v>4</v>
      </c>
      <c r="C21" s="24">
        <v>-50</v>
      </c>
    </row>
    <row r="22" spans="1:4" x14ac:dyDescent="0.3">
      <c r="A22" s="26">
        <v>45819</v>
      </c>
      <c r="B22" s="34" t="s">
        <v>1</v>
      </c>
      <c r="C22" s="24">
        <v>44.4</v>
      </c>
    </row>
    <row r="23" spans="1:4" x14ac:dyDescent="0.3">
      <c r="A23" s="26">
        <v>45819</v>
      </c>
      <c r="B23" s="46" t="s">
        <v>1</v>
      </c>
      <c r="C23" s="24">
        <v>17.71</v>
      </c>
    </row>
    <row r="24" spans="1:4" x14ac:dyDescent="0.3">
      <c r="A24" s="26">
        <v>45821</v>
      </c>
      <c r="B24" s="27" t="s">
        <v>4</v>
      </c>
      <c r="C24" s="24">
        <v>-40</v>
      </c>
    </row>
    <row r="25" spans="1:4" x14ac:dyDescent="0.3">
      <c r="A25" s="26">
        <v>45825</v>
      </c>
      <c r="B25" s="27" t="s">
        <v>22</v>
      </c>
      <c r="D25" s="25">
        <v>1</v>
      </c>
    </row>
    <row r="26" spans="1:4" x14ac:dyDescent="0.3">
      <c r="A26" s="26">
        <v>45826</v>
      </c>
      <c r="B26" s="46" t="s">
        <v>1</v>
      </c>
      <c r="C26" s="24">
        <v>5.15</v>
      </c>
    </row>
    <row r="27" spans="1:4" x14ac:dyDescent="0.3">
      <c r="A27" s="26">
        <v>45831</v>
      </c>
      <c r="B27" s="27" t="s">
        <v>4</v>
      </c>
      <c r="C27" s="24">
        <v>-62</v>
      </c>
    </row>
    <row r="28" spans="1:4" x14ac:dyDescent="0.3">
      <c r="A28" s="26">
        <v>45832</v>
      </c>
      <c r="B28" s="32" t="s">
        <v>1</v>
      </c>
      <c r="C28" s="24">
        <v>57.52</v>
      </c>
    </row>
    <row r="29" spans="1:4" x14ac:dyDescent="0.3">
      <c r="A29" s="26">
        <v>45832</v>
      </c>
      <c r="B29" s="46" t="s">
        <v>1</v>
      </c>
      <c r="C29" s="24">
        <v>5.66</v>
      </c>
    </row>
    <row r="30" spans="1:4" x14ac:dyDescent="0.3">
      <c r="A30" s="26">
        <v>45833</v>
      </c>
      <c r="B30" s="34" t="s">
        <v>1</v>
      </c>
      <c r="C30" s="24">
        <v>69</v>
      </c>
    </row>
    <row r="31" spans="1:4" x14ac:dyDescent="0.3">
      <c r="A31" s="26">
        <v>45833</v>
      </c>
      <c r="B31" s="46" t="s">
        <v>1</v>
      </c>
      <c r="C31" s="24">
        <v>16.41</v>
      </c>
    </row>
    <row r="32" spans="1:4" x14ac:dyDescent="0.3">
      <c r="A32" s="26">
        <v>45847</v>
      </c>
      <c r="B32" s="27" t="s">
        <v>4</v>
      </c>
      <c r="C32" s="24">
        <v>-80.31</v>
      </c>
    </row>
    <row r="33" spans="1:3" x14ac:dyDescent="0.3">
      <c r="A33" s="26">
        <v>45852</v>
      </c>
      <c r="B33" s="27" t="s">
        <v>4</v>
      </c>
      <c r="C33" s="24">
        <v>-80.31</v>
      </c>
    </row>
    <row r="34" spans="1:3" x14ac:dyDescent="0.3">
      <c r="A34" s="26">
        <v>45853</v>
      </c>
      <c r="B34" s="34" t="s">
        <v>1</v>
      </c>
      <c r="C34" s="24">
        <v>84.46</v>
      </c>
    </row>
    <row r="35" spans="1:3" x14ac:dyDescent="0.3">
      <c r="A35" s="26">
        <v>45853</v>
      </c>
      <c r="B35" s="46" t="s">
        <v>1</v>
      </c>
      <c r="C35" s="24">
        <v>38.78</v>
      </c>
    </row>
    <row r="36" spans="1:3" x14ac:dyDescent="0.3">
      <c r="A36" s="26">
        <v>45861</v>
      </c>
      <c r="B36" s="34" t="s">
        <v>1</v>
      </c>
      <c r="C36" s="24">
        <v>69</v>
      </c>
    </row>
    <row r="37" spans="1:3" x14ac:dyDescent="0.3">
      <c r="A37" s="26">
        <v>45862</v>
      </c>
      <c r="B37" s="27" t="s">
        <v>4</v>
      </c>
      <c r="C37" s="24">
        <v>-80</v>
      </c>
    </row>
    <row r="38" spans="1:3" x14ac:dyDescent="0.3">
      <c r="A38" s="26">
        <v>45867</v>
      </c>
      <c r="B38" s="27" t="s">
        <v>4</v>
      </c>
      <c r="C38" s="24">
        <v>-66.27</v>
      </c>
    </row>
    <row r="39" spans="1:3" x14ac:dyDescent="0.3">
      <c r="A39" s="26">
        <v>45867</v>
      </c>
      <c r="B39" s="34" t="s">
        <v>1</v>
      </c>
      <c r="C39" s="24">
        <v>57.66</v>
      </c>
    </row>
    <row r="40" spans="1:3" x14ac:dyDescent="0.3">
      <c r="A40" s="26">
        <v>45869</v>
      </c>
      <c r="B40" s="27" t="s">
        <v>4</v>
      </c>
      <c r="C40" s="24">
        <v>-50</v>
      </c>
    </row>
    <row r="41" spans="1:3" x14ac:dyDescent="0.3">
      <c r="A41" s="26">
        <v>45870</v>
      </c>
      <c r="B41" s="34" t="s">
        <v>1</v>
      </c>
      <c r="C41" s="24">
        <v>69</v>
      </c>
    </row>
    <row r="42" spans="1:3" x14ac:dyDescent="0.3">
      <c r="A42" s="26">
        <v>45876</v>
      </c>
      <c r="B42" s="27" t="s">
        <v>4</v>
      </c>
      <c r="C42" s="24">
        <v>-71.47</v>
      </c>
    </row>
    <row r="43" spans="1:3" x14ac:dyDescent="0.3">
      <c r="A43" s="26">
        <v>45877</v>
      </c>
      <c r="B43" s="27" t="s">
        <v>4</v>
      </c>
      <c r="C43" s="24">
        <v>-50</v>
      </c>
    </row>
    <row r="44" spans="1:3" x14ac:dyDescent="0.3">
      <c r="A44" s="26">
        <v>45877</v>
      </c>
      <c r="B44" s="34" t="s">
        <v>1</v>
      </c>
      <c r="C44" s="24">
        <v>69</v>
      </c>
    </row>
    <row r="45" spans="1:3" x14ac:dyDescent="0.3">
      <c r="A45" s="26">
        <v>45882</v>
      </c>
      <c r="B45" s="46" t="s">
        <v>1</v>
      </c>
      <c r="C45" s="24">
        <v>16.41</v>
      </c>
    </row>
    <row r="46" spans="1:3" x14ac:dyDescent="0.3">
      <c r="A46" s="26">
        <v>45882</v>
      </c>
      <c r="B46" s="34" t="s">
        <v>1</v>
      </c>
      <c r="C46" s="24">
        <v>67.040000000000006</v>
      </c>
    </row>
    <row r="47" spans="1:3" x14ac:dyDescent="0.3">
      <c r="A47" s="26">
        <v>45882</v>
      </c>
      <c r="B47" s="46" t="s">
        <v>1</v>
      </c>
      <c r="C47" s="24">
        <v>5.65</v>
      </c>
    </row>
    <row r="48" spans="1:3" x14ac:dyDescent="0.3">
      <c r="A48" s="26">
        <v>45888</v>
      </c>
      <c r="B48" s="27" t="s">
        <v>4</v>
      </c>
      <c r="C48" s="24">
        <v>-49.55</v>
      </c>
    </row>
    <row r="49" spans="1:4" x14ac:dyDescent="0.3">
      <c r="A49" s="26">
        <v>45890</v>
      </c>
      <c r="B49" s="27" t="s">
        <v>4</v>
      </c>
      <c r="C49" s="24">
        <v>-41.61</v>
      </c>
    </row>
    <row r="50" spans="1:4" x14ac:dyDescent="0.3">
      <c r="A50" s="26">
        <v>45893</v>
      </c>
      <c r="B50" s="27" t="s">
        <v>4</v>
      </c>
      <c r="C50" s="24">
        <v>-50</v>
      </c>
    </row>
    <row r="51" spans="1:4" x14ac:dyDescent="0.3">
      <c r="A51" s="26">
        <v>45891</v>
      </c>
      <c r="B51" s="27" t="s">
        <v>1</v>
      </c>
      <c r="C51" s="24">
        <v>41.6</v>
      </c>
      <c r="D51" s="25">
        <v>2</v>
      </c>
    </row>
    <row r="52" spans="1:4" x14ac:dyDescent="0.3">
      <c r="A52" s="26">
        <v>45896</v>
      </c>
      <c r="B52" s="34" t="s">
        <v>1</v>
      </c>
      <c r="C52" s="24">
        <v>67.040000000000006</v>
      </c>
    </row>
    <row r="53" spans="1:4" x14ac:dyDescent="0.3">
      <c r="A53" s="26">
        <v>45896</v>
      </c>
      <c r="B53" s="46" t="s">
        <v>1</v>
      </c>
      <c r="C53" s="24">
        <v>14</v>
      </c>
    </row>
    <row r="54" spans="1:4" x14ac:dyDescent="0.3">
      <c r="A54" s="26">
        <v>45896</v>
      </c>
      <c r="B54" s="34" t="s">
        <v>1</v>
      </c>
      <c r="C54" s="24">
        <v>69</v>
      </c>
    </row>
    <row r="55" spans="1:4" x14ac:dyDescent="0.3">
      <c r="A55" s="26">
        <v>45896</v>
      </c>
      <c r="B55" s="46" t="s">
        <v>1</v>
      </c>
      <c r="C55" s="24">
        <v>12.06</v>
      </c>
    </row>
    <row r="56" spans="1:4" x14ac:dyDescent="0.3">
      <c r="A56" s="26">
        <v>45903</v>
      </c>
      <c r="B56" s="27" t="s">
        <v>4</v>
      </c>
      <c r="C56" s="24">
        <v>-50</v>
      </c>
    </row>
    <row r="57" spans="1:4" x14ac:dyDescent="0.3">
      <c r="A57" s="26">
        <v>45904</v>
      </c>
      <c r="B57" s="27" t="s">
        <v>4</v>
      </c>
      <c r="C57" s="24">
        <v>-50</v>
      </c>
    </row>
    <row r="58" spans="1:4" x14ac:dyDescent="0.3">
      <c r="A58" s="26">
        <v>45906</v>
      </c>
      <c r="B58" s="27" t="s">
        <v>4</v>
      </c>
      <c r="C58" s="24">
        <v>-49.61</v>
      </c>
    </row>
    <row r="59" spans="1:4" x14ac:dyDescent="0.3">
      <c r="A59" s="26">
        <v>45909</v>
      </c>
      <c r="B59" s="27" t="s">
        <v>4</v>
      </c>
      <c r="C59" s="24">
        <v>-92.01</v>
      </c>
    </row>
    <row r="60" spans="1:4" x14ac:dyDescent="0.3">
      <c r="A60" s="26">
        <v>45910</v>
      </c>
      <c r="B60" s="34" t="s">
        <v>1</v>
      </c>
      <c r="C60" s="24">
        <v>63.52</v>
      </c>
    </row>
    <row r="61" spans="1:4" x14ac:dyDescent="0.3">
      <c r="A61" s="26">
        <v>45912</v>
      </c>
      <c r="B61" s="34" t="s">
        <v>1</v>
      </c>
      <c r="C61" s="24">
        <v>69</v>
      </c>
    </row>
    <row r="62" spans="1:4" x14ac:dyDescent="0.3">
      <c r="A62" s="26">
        <v>45916</v>
      </c>
      <c r="B62" s="27" t="s">
        <v>4</v>
      </c>
      <c r="C62" s="24">
        <v>-50</v>
      </c>
    </row>
    <row r="63" spans="1:4" x14ac:dyDescent="0.3">
      <c r="A63" s="26">
        <v>45917</v>
      </c>
      <c r="B63" s="34" t="s">
        <v>1</v>
      </c>
      <c r="C63" s="24">
        <v>16.7</v>
      </c>
    </row>
    <row r="64" spans="1:4" x14ac:dyDescent="0.3">
      <c r="A64" s="26">
        <v>45918</v>
      </c>
      <c r="B64" s="27" t="s">
        <v>4</v>
      </c>
      <c r="C64" s="24">
        <v>-50</v>
      </c>
    </row>
    <row r="65" spans="1:3" x14ac:dyDescent="0.3">
      <c r="A65" s="26">
        <v>45923</v>
      </c>
      <c r="B65" s="34" t="s">
        <v>1</v>
      </c>
      <c r="C65" s="24">
        <v>70.78</v>
      </c>
    </row>
    <row r="66" spans="1:3" x14ac:dyDescent="0.3">
      <c r="A66" s="26">
        <v>45929</v>
      </c>
      <c r="B66" s="27" t="s">
        <v>4</v>
      </c>
      <c r="C66" s="24">
        <v>-50</v>
      </c>
    </row>
    <row r="67" spans="1:3" x14ac:dyDescent="0.3">
      <c r="A67" s="26">
        <v>45929</v>
      </c>
      <c r="B67" s="34" t="s">
        <v>1</v>
      </c>
      <c r="C67" s="24">
        <v>69</v>
      </c>
    </row>
    <row r="68" spans="1:3" x14ac:dyDescent="0.3">
      <c r="A68" s="26">
        <v>45936</v>
      </c>
      <c r="B68" s="27" t="s">
        <v>4</v>
      </c>
      <c r="C68" s="24">
        <v>-50</v>
      </c>
    </row>
    <row r="69" spans="1:3" x14ac:dyDescent="0.3">
      <c r="A69" s="26">
        <v>45937</v>
      </c>
      <c r="B69" s="27" t="s">
        <v>1</v>
      </c>
      <c r="C69" s="24">
        <v>25.06</v>
      </c>
    </row>
    <row r="70" spans="1:3" x14ac:dyDescent="0.3">
      <c r="A70" s="26">
        <v>45937</v>
      </c>
      <c r="B70" s="34" t="s">
        <v>1</v>
      </c>
      <c r="C70" s="24">
        <v>10.61</v>
      </c>
    </row>
    <row r="71" spans="1:3" x14ac:dyDescent="0.3">
      <c r="A71" s="26">
        <v>45937</v>
      </c>
      <c r="B71" s="46" t="s">
        <v>1</v>
      </c>
      <c r="C71" s="24">
        <v>8.52</v>
      </c>
    </row>
    <row r="72" spans="1:3" x14ac:dyDescent="0.3">
      <c r="A72" s="26">
        <v>45937</v>
      </c>
      <c r="B72" s="34" t="s">
        <v>1</v>
      </c>
      <c r="C72" s="24">
        <v>69</v>
      </c>
    </row>
    <row r="73" spans="1:3" x14ac:dyDescent="0.3">
      <c r="A73" s="26">
        <v>45938</v>
      </c>
      <c r="B73" s="27" t="s">
        <v>4</v>
      </c>
      <c r="C73" s="24">
        <v>-50</v>
      </c>
    </row>
    <row r="74" spans="1:3" x14ac:dyDescent="0.3">
      <c r="A74" s="26">
        <v>45939</v>
      </c>
      <c r="B74" s="32" t="s">
        <v>1</v>
      </c>
      <c r="C74" s="24">
        <v>9.84</v>
      </c>
    </row>
    <row r="75" spans="1:3" x14ac:dyDescent="0.3">
      <c r="A75" s="26">
        <v>45939</v>
      </c>
      <c r="B75" s="34" t="s">
        <v>1</v>
      </c>
      <c r="C75" s="24">
        <v>17.86</v>
      </c>
    </row>
    <row r="76" spans="1:3" x14ac:dyDescent="0.3">
      <c r="A76" s="26">
        <v>45940</v>
      </c>
      <c r="B76" s="27" t="s">
        <v>4</v>
      </c>
      <c r="C76" s="24">
        <v>-50</v>
      </c>
    </row>
    <row r="77" spans="1:3" x14ac:dyDescent="0.3">
      <c r="A77" s="26">
        <v>45940</v>
      </c>
      <c r="B77" s="27" t="s">
        <v>1</v>
      </c>
      <c r="C77" s="24">
        <v>12.53</v>
      </c>
    </row>
    <row r="78" spans="1:3" x14ac:dyDescent="0.3">
      <c r="A78" s="26">
        <v>45945</v>
      </c>
      <c r="B78" s="27" t="s">
        <v>4</v>
      </c>
      <c r="C78" s="24">
        <v>-55.25</v>
      </c>
    </row>
    <row r="79" spans="1:3" x14ac:dyDescent="0.3">
      <c r="A79" s="26">
        <v>45945</v>
      </c>
      <c r="B79" s="32" t="s">
        <v>1</v>
      </c>
      <c r="C79" s="24">
        <v>20.5</v>
      </c>
    </row>
    <row r="80" spans="1:3" x14ac:dyDescent="0.3">
      <c r="A80" s="26">
        <v>45946</v>
      </c>
      <c r="B80" s="27" t="s">
        <v>4</v>
      </c>
      <c r="C80" s="24">
        <v>-57.79</v>
      </c>
    </row>
    <row r="81" spans="1:3" x14ac:dyDescent="0.3">
      <c r="A81" s="26">
        <v>45954</v>
      </c>
      <c r="B81" s="27" t="s">
        <v>4</v>
      </c>
      <c r="C81" s="24">
        <v>-50</v>
      </c>
    </row>
    <row r="82" spans="1:3" x14ac:dyDescent="0.3">
      <c r="A82" s="26">
        <v>45979</v>
      </c>
      <c r="B82" s="27" t="s">
        <v>1</v>
      </c>
      <c r="C82" s="24">
        <v>28.85</v>
      </c>
    </row>
    <row r="83" spans="1:3" x14ac:dyDescent="0.3">
      <c r="A83" s="26">
        <v>45985</v>
      </c>
      <c r="B83" s="27" t="s">
        <v>4</v>
      </c>
      <c r="C83" s="24">
        <v>-67</v>
      </c>
    </row>
    <row r="84" spans="1:3" x14ac:dyDescent="0.3">
      <c r="A84" s="26">
        <v>45986</v>
      </c>
      <c r="B84" s="27" t="s">
        <v>4</v>
      </c>
      <c r="C84" s="24">
        <v>-314.39999999999998</v>
      </c>
    </row>
    <row r="85" spans="1:3" x14ac:dyDescent="0.3">
      <c r="A85" s="26">
        <v>45986</v>
      </c>
      <c r="B85" s="27" t="s">
        <v>1</v>
      </c>
      <c r="C85" s="24">
        <v>180</v>
      </c>
    </row>
    <row r="86" spans="1:3" x14ac:dyDescent="0.3">
      <c r="A86" s="26">
        <v>45986</v>
      </c>
      <c r="B86" s="27" t="s">
        <v>503</v>
      </c>
      <c r="C86" s="24">
        <v>-22.8</v>
      </c>
    </row>
    <row r="87" spans="1:3" x14ac:dyDescent="0.3">
      <c r="A87" s="26">
        <v>45986</v>
      </c>
      <c r="B87" s="27" t="s">
        <v>1</v>
      </c>
      <c r="C87" s="24">
        <v>180</v>
      </c>
    </row>
    <row r="88" spans="1:3" x14ac:dyDescent="0.3">
      <c r="A88" s="26">
        <v>45986</v>
      </c>
      <c r="B88" s="27" t="s">
        <v>503</v>
      </c>
      <c r="C88" s="24">
        <v>-22.8</v>
      </c>
    </row>
    <row r="89" spans="1:3" x14ac:dyDescent="0.3">
      <c r="A89" s="26">
        <v>45986</v>
      </c>
      <c r="B89" s="27" t="s">
        <v>1</v>
      </c>
      <c r="C89" s="24">
        <v>34.29</v>
      </c>
    </row>
    <row r="90" spans="1:3" x14ac:dyDescent="0.3">
      <c r="A90" s="26">
        <v>45987</v>
      </c>
      <c r="B90" s="27" t="s">
        <v>4</v>
      </c>
      <c r="C90" s="24">
        <v>-205.28</v>
      </c>
    </row>
    <row r="91" spans="1:3" x14ac:dyDescent="0.3">
      <c r="A91" s="26">
        <v>45987</v>
      </c>
      <c r="B91" s="27" t="s">
        <v>4</v>
      </c>
      <c r="C91" s="24">
        <v>-110.85</v>
      </c>
    </row>
    <row r="92" spans="1:3" x14ac:dyDescent="0.3">
      <c r="A92" s="26">
        <v>45987</v>
      </c>
      <c r="B92" s="27" t="s">
        <v>1</v>
      </c>
      <c r="C92" s="24">
        <v>180</v>
      </c>
    </row>
    <row r="93" spans="1:3" x14ac:dyDescent="0.3">
      <c r="A93" s="26">
        <v>45987</v>
      </c>
      <c r="B93" s="27" t="s">
        <v>503</v>
      </c>
      <c r="C93" s="24">
        <v>-22.8</v>
      </c>
    </row>
    <row r="94" spans="1:3" x14ac:dyDescent="0.3">
      <c r="A94" s="26">
        <v>45987</v>
      </c>
      <c r="B94" s="27" t="s">
        <v>1</v>
      </c>
      <c r="C94" s="24">
        <v>90</v>
      </c>
    </row>
    <row r="95" spans="1:3" x14ac:dyDescent="0.3">
      <c r="A95" s="26">
        <v>45987</v>
      </c>
      <c r="B95" s="27" t="s">
        <v>503</v>
      </c>
      <c r="C95" s="24">
        <v>-11.4</v>
      </c>
    </row>
    <row r="96" spans="1:3" x14ac:dyDescent="0.3">
      <c r="A96" s="26">
        <v>46007</v>
      </c>
      <c r="B96" s="27" t="s">
        <v>1</v>
      </c>
      <c r="C96" s="24">
        <v>53.4</v>
      </c>
    </row>
    <row r="97" spans="1:4" x14ac:dyDescent="0.3">
      <c r="A97" s="26">
        <v>46009</v>
      </c>
      <c r="B97" s="27" t="s">
        <v>4</v>
      </c>
      <c r="C97" s="24">
        <v>-178.85</v>
      </c>
    </row>
    <row r="98" spans="1:4" x14ac:dyDescent="0.3">
      <c r="A98" s="26">
        <v>46009</v>
      </c>
      <c r="B98" s="27" t="s">
        <v>1</v>
      </c>
      <c r="C98" s="24">
        <v>202.32</v>
      </c>
    </row>
    <row r="99" spans="1:4" x14ac:dyDescent="0.3">
      <c r="A99" s="26">
        <v>46014</v>
      </c>
      <c r="B99" s="27" t="s">
        <v>4</v>
      </c>
      <c r="C99" s="24">
        <v>-112.54</v>
      </c>
    </row>
    <row r="100" spans="1:4" x14ac:dyDescent="0.3">
      <c r="A100" s="26">
        <v>46014</v>
      </c>
      <c r="B100" s="27" t="s">
        <v>1</v>
      </c>
      <c r="C100" s="24">
        <v>130.22</v>
      </c>
    </row>
    <row r="101" spans="1:4" x14ac:dyDescent="0.3">
      <c r="A101" s="26">
        <v>46017</v>
      </c>
      <c r="B101" s="27" t="s">
        <v>4</v>
      </c>
      <c r="C101" s="24">
        <v>-411.87</v>
      </c>
    </row>
    <row r="102" spans="1:4" x14ac:dyDescent="0.3">
      <c r="A102" s="26">
        <v>46017</v>
      </c>
      <c r="B102" s="27" t="s">
        <v>1</v>
      </c>
      <c r="C102" s="24">
        <v>141.26</v>
      </c>
    </row>
    <row r="103" spans="1:4" x14ac:dyDescent="0.3">
      <c r="A103" s="26">
        <v>46017</v>
      </c>
      <c r="B103" s="27" t="s">
        <v>1</v>
      </c>
      <c r="C103" s="24">
        <v>322.75</v>
      </c>
    </row>
    <row r="104" spans="1:4" x14ac:dyDescent="0.3">
      <c r="A104" s="26">
        <v>46017</v>
      </c>
      <c r="B104" s="27" t="s">
        <v>22</v>
      </c>
      <c r="D104" s="25">
        <v>2</v>
      </c>
    </row>
    <row r="105" spans="1:4" x14ac:dyDescent="0.3">
      <c r="A105" s="26">
        <v>46020</v>
      </c>
      <c r="B105" s="27" t="s">
        <v>4</v>
      </c>
      <c r="C105" s="24">
        <v>-61.4</v>
      </c>
    </row>
    <row r="106" spans="1:4" x14ac:dyDescent="0.3">
      <c r="A106" s="26">
        <v>46021</v>
      </c>
      <c r="B106" s="27" t="s">
        <v>22</v>
      </c>
      <c r="D106" s="25">
        <v>2</v>
      </c>
    </row>
    <row r="107" spans="1:4" x14ac:dyDescent="0.3">
      <c r="A107" s="26">
        <v>46024</v>
      </c>
      <c r="B107" s="27" t="s">
        <v>4</v>
      </c>
      <c r="C107" s="24">
        <v>-322</v>
      </c>
    </row>
    <row r="108" spans="1:4" x14ac:dyDescent="0.3">
      <c r="A108" s="26">
        <v>46028</v>
      </c>
      <c r="B108" s="27" t="s">
        <v>1</v>
      </c>
      <c r="C108" s="24">
        <v>60.24</v>
      </c>
    </row>
    <row r="109" spans="1:4" x14ac:dyDescent="0.3">
      <c r="A109" s="26">
        <v>46028</v>
      </c>
      <c r="B109" s="27" t="s">
        <v>1</v>
      </c>
      <c r="C109" s="24">
        <v>322</v>
      </c>
    </row>
    <row r="110" spans="1:4" x14ac:dyDescent="0.3">
      <c r="A110" s="26">
        <v>46035</v>
      </c>
      <c r="B110" s="27" t="s">
        <v>4</v>
      </c>
      <c r="C110" s="24">
        <v>-82.94</v>
      </c>
    </row>
    <row r="111" spans="1:4" x14ac:dyDescent="0.3">
      <c r="A111" s="26">
        <v>46036</v>
      </c>
      <c r="B111" s="27" t="s">
        <v>1</v>
      </c>
      <c r="C111" s="24">
        <v>90</v>
      </c>
    </row>
    <row r="112" spans="1:4" x14ac:dyDescent="0.3">
      <c r="A112" s="26">
        <v>46036</v>
      </c>
      <c r="B112" s="27" t="s">
        <v>503</v>
      </c>
      <c r="C112" s="24">
        <v>-7.2</v>
      </c>
    </row>
    <row r="113" spans="1:3" x14ac:dyDescent="0.3">
      <c r="A113" s="26">
        <v>46038</v>
      </c>
      <c r="B113" s="27" t="s">
        <v>1</v>
      </c>
      <c r="C113" s="24">
        <v>55.8</v>
      </c>
    </row>
    <row r="114" spans="1:3" x14ac:dyDescent="0.3">
      <c r="A114" s="26">
        <v>46042</v>
      </c>
      <c r="B114" s="27" t="s">
        <v>1</v>
      </c>
      <c r="C114" s="24">
        <v>16.96</v>
      </c>
    </row>
    <row r="115" spans="1:3" x14ac:dyDescent="0.3">
      <c r="A115" s="26">
        <v>46050</v>
      </c>
      <c r="B115" s="27" t="s">
        <v>4</v>
      </c>
      <c r="C115" s="24">
        <v>-82.99</v>
      </c>
    </row>
    <row r="116" spans="1:3" x14ac:dyDescent="0.3">
      <c r="A116" s="26">
        <v>46050</v>
      </c>
      <c r="B116" s="27" t="s">
        <v>1</v>
      </c>
      <c r="C116" s="24">
        <v>93.48</v>
      </c>
    </row>
    <row r="117" spans="1:3" x14ac:dyDescent="0.3">
      <c r="A117" s="26">
        <v>46050</v>
      </c>
      <c r="B117" s="125" t="s">
        <v>503</v>
      </c>
      <c r="C117" s="24">
        <v>-7.2</v>
      </c>
    </row>
    <row r="118" spans="1:3" x14ac:dyDescent="0.3">
      <c r="A118" s="26">
        <v>46056</v>
      </c>
      <c r="B118" s="27" t="s">
        <v>1</v>
      </c>
      <c r="C118" s="24">
        <v>142.18</v>
      </c>
    </row>
    <row r="119" spans="1:3" x14ac:dyDescent="0.3">
      <c r="A119" s="26">
        <v>46056</v>
      </c>
      <c r="B119" s="27" t="s">
        <v>1</v>
      </c>
      <c r="C119" s="24">
        <v>78.239999999999995</v>
      </c>
    </row>
  </sheetData>
  <mergeCells count="1">
    <mergeCell ref="A3:B3"/>
  </mergeCells>
  <pageMargins left="0.7" right="0.7" top="0.75" bottom="0.75" header="0.3" footer="0.3"/>
  <pageSetup paperSize="5" scale="82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55602-22E1-4F0E-81F4-DC1B01E3B7C0}">
  <sheetPr codeName="Hoja150"/>
  <dimension ref="A1:H87"/>
  <sheetViews>
    <sheetView view="pageBreakPreview" zoomScale="80" zoomScaleNormal="100" zoomScaleSheetLayoutView="80" workbookViewId="0">
      <selection activeCell="C87" sqref="C8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306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305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263.03399999999999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45828</v>
      </c>
      <c r="B5" s="32" t="s">
        <v>21</v>
      </c>
      <c r="C5" s="24">
        <v>9.84</v>
      </c>
      <c r="D5" s="30"/>
      <c r="E5" s="30"/>
      <c r="F5" s="30"/>
      <c r="G5" s="22"/>
    </row>
    <row r="6" spans="1:8" hidden="1" x14ac:dyDescent="0.3">
      <c r="A6" s="21">
        <v>45828</v>
      </c>
      <c r="B6" s="34" t="s">
        <v>1</v>
      </c>
      <c r="C6" s="24">
        <v>89.76</v>
      </c>
    </row>
    <row r="7" spans="1:8" hidden="1" x14ac:dyDescent="0.3">
      <c r="A7" s="26">
        <v>45828</v>
      </c>
      <c r="B7" s="27" t="s">
        <v>1</v>
      </c>
      <c r="C7" s="24">
        <v>34.86</v>
      </c>
    </row>
    <row r="8" spans="1:8" hidden="1" x14ac:dyDescent="0.3">
      <c r="A8" s="26">
        <v>45833</v>
      </c>
      <c r="B8" s="27" t="s">
        <v>4</v>
      </c>
      <c r="C8" s="24">
        <v>-134.46</v>
      </c>
    </row>
    <row r="9" spans="1:8" hidden="1" x14ac:dyDescent="0.3">
      <c r="A9" s="26">
        <v>45838</v>
      </c>
      <c r="B9" s="27" t="s">
        <v>4</v>
      </c>
      <c r="C9" s="24">
        <v>-210.12</v>
      </c>
    </row>
    <row r="10" spans="1:8" hidden="1" x14ac:dyDescent="0.3">
      <c r="A10" s="26">
        <v>45835</v>
      </c>
      <c r="B10" s="32" t="s">
        <v>1</v>
      </c>
      <c r="C10" s="24">
        <v>9.8840000000000003</v>
      </c>
    </row>
    <row r="11" spans="1:8" hidden="1" x14ac:dyDescent="0.3">
      <c r="A11" s="26">
        <v>45835</v>
      </c>
      <c r="B11" s="34" t="s">
        <v>1</v>
      </c>
      <c r="C11" s="24">
        <v>200.28</v>
      </c>
    </row>
    <row r="12" spans="1:8" hidden="1" x14ac:dyDescent="0.3">
      <c r="A12" s="26">
        <v>45845</v>
      </c>
      <c r="B12" s="27" t="s">
        <v>4</v>
      </c>
      <c r="C12" s="24">
        <v>-90.41</v>
      </c>
    </row>
    <row r="13" spans="1:8" hidden="1" x14ac:dyDescent="0.3">
      <c r="A13" s="26">
        <v>45842</v>
      </c>
      <c r="B13" s="32" t="s">
        <v>21</v>
      </c>
      <c r="C13" s="24">
        <v>15.85</v>
      </c>
    </row>
    <row r="14" spans="1:8" hidden="1" x14ac:dyDescent="0.3">
      <c r="A14" s="26">
        <v>45842</v>
      </c>
      <c r="B14" s="34" t="s">
        <v>1</v>
      </c>
      <c r="C14" s="24">
        <v>74.56</v>
      </c>
    </row>
    <row r="15" spans="1:8" hidden="1" x14ac:dyDescent="0.3">
      <c r="A15" s="26">
        <v>45849</v>
      </c>
      <c r="B15" s="27" t="s">
        <v>4</v>
      </c>
      <c r="C15" s="24">
        <v>-24.62</v>
      </c>
    </row>
    <row r="16" spans="1:8" hidden="1" x14ac:dyDescent="0.3">
      <c r="A16" s="26">
        <v>45849</v>
      </c>
      <c r="B16" s="32" t="s">
        <v>21</v>
      </c>
      <c r="C16" s="24">
        <v>7.5</v>
      </c>
    </row>
    <row r="17" spans="1:3" hidden="1" x14ac:dyDescent="0.3">
      <c r="A17" s="26">
        <v>45849</v>
      </c>
      <c r="B17" s="34" t="s">
        <v>1</v>
      </c>
      <c r="C17" s="24">
        <v>17.12</v>
      </c>
    </row>
    <row r="18" spans="1:3" hidden="1" x14ac:dyDescent="0.3">
      <c r="A18" s="26">
        <v>45856</v>
      </c>
      <c r="B18" s="32" t="s">
        <v>21</v>
      </c>
      <c r="C18" s="24">
        <v>7.5</v>
      </c>
    </row>
    <row r="19" spans="1:3" hidden="1" x14ac:dyDescent="0.3">
      <c r="A19" s="26">
        <v>45856</v>
      </c>
      <c r="B19" s="34" t="s">
        <v>1</v>
      </c>
      <c r="C19" s="24">
        <f>57.18+0.36</f>
        <v>57.54</v>
      </c>
    </row>
    <row r="20" spans="1:3" hidden="1" x14ac:dyDescent="0.3">
      <c r="A20" s="26">
        <v>45861</v>
      </c>
      <c r="B20" s="27" t="s">
        <v>4</v>
      </c>
      <c r="C20" s="24">
        <v>-65.040000000000006</v>
      </c>
    </row>
    <row r="21" spans="1:3" hidden="1" x14ac:dyDescent="0.3">
      <c r="A21" s="26">
        <v>45863</v>
      </c>
      <c r="B21" s="32" t="s">
        <v>21</v>
      </c>
      <c r="C21" s="24">
        <v>7.5</v>
      </c>
    </row>
    <row r="22" spans="1:3" hidden="1" x14ac:dyDescent="0.3">
      <c r="A22" s="26">
        <v>45863</v>
      </c>
      <c r="B22" s="34" t="s">
        <v>1</v>
      </c>
      <c r="C22" s="24">
        <v>294.39999999999998</v>
      </c>
    </row>
    <row r="23" spans="1:3" hidden="1" x14ac:dyDescent="0.3">
      <c r="A23" s="26">
        <v>45863</v>
      </c>
      <c r="B23" s="46" t="s">
        <v>1</v>
      </c>
      <c r="C23" s="24">
        <v>7.42</v>
      </c>
    </row>
    <row r="24" spans="1:3" hidden="1" x14ac:dyDescent="0.3">
      <c r="A24" s="26">
        <v>45863</v>
      </c>
      <c r="B24" s="27" t="s">
        <v>1</v>
      </c>
      <c r="C24" s="24">
        <v>34.86</v>
      </c>
    </row>
    <row r="25" spans="1:3" hidden="1" x14ac:dyDescent="0.3">
      <c r="A25" s="26">
        <v>45866</v>
      </c>
      <c r="B25" s="27" t="s">
        <v>4</v>
      </c>
      <c r="C25" s="24">
        <v>-285.86</v>
      </c>
    </row>
    <row r="26" spans="1:3" hidden="1" x14ac:dyDescent="0.3">
      <c r="A26" s="26">
        <v>45866</v>
      </c>
      <c r="B26" s="27" t="s">
        <v>4</v>
      </c>
      <c r="C26" s="24">
        <v>-57</v>
      </c>
    </row>
    <row r="27" spans="1:3" hidden="1" x14ac:dyDescent="0.3">
      <c r="A27" s="26">
        <v>45870</v>
      </c>
      <c r="B27" s="34" t="s">
        <v>1</v>
      </c>
      <c r="C27" s="24">
        <v>115.84</v>
      </c>
    </row>
    <row r="28" spans="1:3" hidden="1" x14ac:dyDescent="0.3">
      <c r="A28" s="26">
        <v>45870</v>
      </c>
      <c r="B28" s="27" t="s">
        <v>1</v>
      </c>
      <c r="C28" s="24">
        <v>17.43</v>
      </c>
    </row>
    <row r="29" spans="1:3" hidden="1" x14ac:dyDescent="0.3">
      <c r="A29" s="26">
        <v>45874</v>
      </c>
      <c r="B29" s="27" t="s">
        <v>4</v>
      </c>
      <c r="C29" s="24">
        <v>-133.27000000000001</v>
      </c>
    </row>
    <row r="30" spans="1:3" hidden="1" x14ac:dyDescent="0.3">
      <c r="A30" s="26">
        <v>45877</v>
      </c>
      <c r="B30" s="32" t="s">
        <v>21</v>
      </c>
      <c r="C30" s="24">
        <v>56.54</v>
      </c>
    </row>
    <row r="31" spans="1:3" hidden="1" x14ac:dyDescent="0.3">
      <c r="A31" s="26">
        <v>45877</v>
      </c>
      <c r="B31" s="34" t="s">
        <v>1</v>
      </c>
      <c r="C31" s="24">
        <v>147.5</v>
      </c>
    </row>
    <row r="32" spans="1:3" hidden="1" x14ac:dyDescent="0.3">
      <c r="A32" s="26">
        <v>45877</v>
      </c>
      <c r="B32" s="46" t="s">
        <v>1</v>
      </c>
      <c r="C32" s="24">
        <v>6.6</v>
      </c>
    </row>
    <row r="33" spans="1:3" hidden="1" x14ac:dyDescent="0.3">
      <c r="A33" s="26">
        <v>45877</v>
      </c>
      <c r="B33" s="27" t="s">
        <v>1</v>
      </c>
      <c r="C33" s="24">
        <v>34.86</v>
      </c>
    </row>
    <row r="34" spans="1:3" hidden="1" x14ac:dyDescent="0.3">
      <c r="A34" s="26">
        <v>45884</v>
      </c>
      <c r="B34" s="27" t="s">
        <v>4</v>
      </c>
      <c r="C34" s="24">
        <v>-245.5</v>
      </c>
    </row>
    <row r="35" spans="1:3" hidden="1" x14ac:dyDescent="0.3">
      <c r="A35" s="26">
        <v>45891</v>
      </c>
      <c r="B35" s="32" t="s">
        <v>21</v>
      </c>
      <c r="C35" s="24">
        <v>17.34</v>
      </c>
    </row>
    <row r="36" spans="1:3" hidden="1" x14ac:dyDescent="0.3">
      <c r="A36" s="26">
        <v>45891</v>
      </c>
      <c r="B36" s="34" t="s">
        <v>1</v>
      </c>
      <c r="C36" s="24">
        <v>27.72</v>
      </c>
    </row>
    <row r="37" spans="1:3" hidden="1" x14ac:dyDescent="0.3">
      <c r="A37" s="26">
        <v>45891</v>
      </c>
      <c r="B37" s="46" t="s">
        <v>1</v>
      </c>
      <c r="C37" s="24">
        <v>8.25</v>
      </c>
    </row>
    <row r="38" spans="1:3" hidden="1" x14ac:dyDescent="0.3">
      <c r="A38" s="26">
        <v>45894</v>
      </c>
      <c r="B38" s="27" t="s">
        <v>4</v>
      </c>
      <c r="C38" s="24">
        <v>-53.31</v>
      </c>
    </row>
    <row r="39" spans="1:3" hidden="1" x14ac:dyDescent="0.3">
      <c r="A39" s="26">
        <v>45898</v>
      </c>
      <c r="B39" s="34" t="s">
        <v>1</v>
      </c>
      <c r="C39" s="24">
        <v>105.42</v>
      </c>
    </row>
    <row r="40" spans="1:3" hidden="1" x14ac:dyDescent="0.3">
      <c r="A40" s="26">
        <v>45900</v>
      </c>
      <c r="B40" s="27" t="s">
        <v>4</v>
      </c>
      <c r="C40" s="24">
        <v>-105.42</v>
      </c>
    </row>
    <row r="41" spans="1:3" hidden="1" x14ac:dyDescent="0.3">
      <c r="A41" s="26">
        <v>45905</v>
      </c>
      <c r="B41" s="32" t="s">
        <v>21</v>
      </c>
      <c r="C41" s="24">
        <v>15.85</v>
      </c>
    </row>
    <row r="42" spans="1:3" hidden="1" x14ac:dyDescent="0.3">
      <c r="A42" s="26">
        <v>45905</v>
      </c>
      <c r="B42" s="34" t="s">
        <v>1</v>
      </c>
      <c r="C42" s="24">
        <v>38.64</v>
      </c>
    </row>
    <row r="43" spans="1:3" hidden="1" x14ac:dyDescent="0.3">
      <c r="A43" s="26">
        <v>45905</v>
      </c>
      <c r="B43" s="46" t="s">
        <v>1</v>
      </c>
      <c r="C43" s="24">
        <v>8.85</v>
      </c>
    </row>
    <row r="44" spans="1:3" hidden="1" x14ac:dyDescent="0.3">
      <c r="A44" s="26">
        <v>45905</v>
      </c>
      <c r="B44" s="27" t="s">
        <v>1</v>
      </c>
      <c r="C44" s="24">
        <v>11.62</v>
      </c>
    </row>
    <row r="45" spans="1:3" hidden="1" x14ac:dyDescent="0.3">
      <c r="A45" s="26">
        <v>45909</v>
      </c>
      <c r="B45" s="27" t="s">
        <v>4</v>
      </c>
      <c r="C45" s="24">
        <v>-102.46</v>
      </c>
    </row>
    <row r="46" spans="1:3" hidden="1" x14ac:dyDescent="0.3">
      <c r="A46" s="26">
        <v>45912</v>
      </c>
      <c r="B46" s="34" t="s">
        <v>1</v>
      </c>
      <c r="C46" s="24">
        <v>40.369999999999997</v>
      </c>
    </row>
    <row r="47" spans="1:3" hidden="1" x14ac:dyDescent="0.3">
      <c r="A47" s="26">
        <v>45912</v>
      </c>
      <c r="B47" s="27" t="s">
        <v>1</v>
      </c>
      <c r="C47" s="24">
        <v>34.86</v>
      </c>
    </row>
    <row r="48" spans="1:3" hidden="1" x14ac:dyDescent="0.3">
      <c r="A48" s="26">
        <v>45915</v>
      </c>
      <c r="B48" s="27" t="s">
        <v>4</v>
      </c>
      <c r="C48" s="24">
        <v>-48.86</v>
      </c>
    </row>
    <row r="49" spans="1:3" hidden="1" x14ac:dyDescent="0.3">
      <c r="A49" s="26">
        <v>45919</v>
      </c>
      <c r="B49" s="32" t="s">
        <v>21</v>
      </c>
      <c r="C49" s="24">
        <v>33.19</v>
      </c>
    </row>
    <row r="50" spans="1:3" hidden="1" x14ac:dyDescent="0.3">
      <c r="A50" s="26">
        <v>45919</v>
      </c>
      <c r="B50" s="34" t="s">
        <v>1</v>
      </c>
      <c r="C50" s="24">
        <v>67.62</v>
      </c>
    </row>
    <row r="51" spans="1:3" hidden="1" x14ac:dyDescent="0.3">
      <c r="A51" s="26">
        <v>45922</v>
      </c>
      <c r="B51" s="27" t="s">
        <v>4</v>
      </c>
      <c r="C51" s="24">
        <v>-100.81</v>
      </c>
    </row>
    <row r="52" spans="1:3" hidden="1" x14ac:dyDescent="0.3">
      <c r="A52" s="26">
        <v>45926</v>
      </c>
      <c r="B52" s="32" t="s">
        <v>21</v>
      </c>
      <c r="C52" s="24">
        <v>9.84</v>
      </c>
    </row>
    <row r="53" spans="1:3" hidden="1" x14ac:dyDescent="0.3">
      <c r="A53" s="26">
        <v>45926</v>
      </c>
      <c r="B53" s="34" t="s">
        <v>1</v>
      </c>
      <c r="C53" s="24">
        <v>45</v>
      </c>
    </row>
    <row r="54" spans="1:3" hidden="1" x14ac:dyDescent="0.3">
      <c r="A54" s="26">
        <v>45926</v>
      </c>
      <c r="B54" s="46" t="s">
        <v>1</v>
      </c>
      <c r="C54" s="24">
        <v>8.85</v>
      </c>
    </row>
    <row r="55" spans="1:3" hidden="1" x14ac:dyDescent="0.3">
      <c r="A55" s="26">
        <v>45930</v>
      </c>
      <c r="B55" s="27" t="s">
        <v>4</v>
      </c>
      <c r="C55" s="24">
        <v>-18.690000000000001</v>
      </c>
    </row>
    <row r="56" spans="1:3" hidden="1" x14ac:dyDescent="0.3">
      <c r="A56" s="26">
        <v>45930</v>
      </c>
      <c r="B56" s="27" t="s">
        <v>4</v>
      </c>
      <c r="C56" s="24">
        <v>-45</v>
      </c>
    </row>
    <row r="57" spans="1:3" hidden="1" x14ac:dyDescent="0.3">
      <c r="A57" s="26">
        <v>45933</v>
      </c>
      <c r="B57" s="32" t="s">
        <v>21</v>
      </c>
      <c r="C57" s="24">
        <v>9.84</v>
      </c>
    </row>
    <row r="58" spans="1:3" hidden="1" x14ac:dyDescent="0.3">
      <c r="A58" s="26">
        <v>45933</v>
      </c>
      <c r="B58" s="34" t="s">
        <v>1</v>
      </c>
      <c r="C58" s="24">
        <v>83.04</v>
      </c>
    </row>
    <row r="59" spans="1:3" hidden="1" x14ac:dyDescent="0.3">
      <c r="A59" s="26">
        <v>45933</v>
      </c>
      <c r="B59" s="46" t="s">
        <v>1</v>
      </c>
      <c r="C59" s="24">
        <v>7.08</v>
      </c>
    </row>
    <row r="60" spans="1:3" hidden="1" x14ac:dyDescent="0.3">
      <c r="A60" s="26">
        <v>45936</v>
      </c>
      <c r="B60" s="27" t="s">
        <v>4</v>
      </c>
      <c r="C60" s="24">
        <v>-99.96</v>
      </c>
    </row>
    <row r="61" spans="1:3" hidden="1" x14ac:dyDescent="0.3">
      <c r="A61" s="26">
        <v>45940</v>
      </c>
      <c r="B61" s="32" t="s">
        <v>21</v>
      </c>
      <c r="C61" s="24">
        <v>26.22</v>
      </c>
    </row>
    <row r="62" spans="1:3" hidden="1" x14ac:dyDescent="0.3">
      <c r="A62" s="26">
        <v>45940</v>
      </c>
      <c r="B62" s="34" t="s">
        <v>1</v>
      </c>
      <c r="C62" s="24">
        <v>91.93</v>
      </c>
    </row>
    <row r="63" spans="1:3" hidden="1" x14ac:dyDescent="0.3">
      <c r="A63" s="26">
        <v>45940</v>
      </c>
      <c r="B63" s="46" t="s">
        <v>1</v>
      </c>
      <c r="C63" s="24">
        <v>34.29</v>
      </c>
    </row>
    <row r="64" spans="1:3" hidden="1" x14ac:dyDescent="0.3">
      <c r="A64" s="26">
        <v>45942</v>
      </c>
      <c r="B64" s="27" t="s">
        <v>4</v>
      </c>
      <c r="C64" s="24">
        <v>-152.44</v>
      </c>
    </row>
    <row r="65" spans="1:3" hidden="1" x14ac:dyDescent="0.3">
      <c r="A65" s="26">
        <v>45954</v>
      </c>
      <c r="B65" s="32" t="s">
        <v>21</v>
      </c>
      <c r="C65" s="24">
        <v>17.34</v>
      </c>
    </row>
    <row r="66" spans="1:3" hidden="1" x14ac:dyDescent="0.3">
      <c r="A66" s="26">
        <v>45954</v>
      </c>
      <c r="B66" s="34" t="s">
        <v>1</v>
      </c>
      <c r="C66" s="24">
        <v>182.23</v>
      </c>
    </row>
    <row r="67" spans="1:3" hidden="1" x14ac:dyDescent="0.3">
      <c r="A67" s="26">
        <v>45961</v>
      </c>
      <c r="B67" s="34" t="s">
        <v>1</v>
      </c>
      <c r="C67" s="24">
        <v>357.25</v>
      </c>
    </row>
    <row r="68" spans="1:3" hidden="1" x14ac:dyDescent="0.3">
      <c r="A68" s="26">
        <v>45968</v>
      </c>
      <c r="B68" s="34" t="s">
        <v>1</v>
      </c>
      <c r="C68" s="24">
        <v>274.27999999999997</v>
      </c>
    </row>
    <row r="69" spans="1:3" hidden="1" x14ac:dyDescent="0.3">
      <c r="A69" s="26">
        <v>45968</v>
      </c>
      <c r="B69" s="46" t="s">
        <v>1</v>
      </c>
      <c r="C69" s="24">
        <v>19.23</v>
      </c>
    </row>
    <row r="70" spans="1:3" hidden="1" x14ac:dyDescent="0.3">
      <c r="A70" s="26">
        <v>45971</v>
      </c>
      <c r="B70" s="27" t="s">
        <v>4</v>
      </c>
      <c r="C70" s="24">
        <v>-357.96</v>
      </c>
    </row>
    <row r="71" spans="1:3" hidden="1" x14ac:dyDescent="0.3">
      <c r="A71" s="26">
        <v>45975</v>
      </c>
      <c r="B71" s="27" t="s">
        <v>4</v>
      </c>
      <c r="C71" s="24">
        <v>-144.76</v>
      </c>
    </row>
    <row r="72" spans="1:3" hidden="1" x14ac:dyDescent="0.3">
      <c r="A72" s="26">
        <v>45975</v>
      </c>
      <c r="B72" s="27" t="s">
        <v>4</v>
      </c>
      <c r="C72" s="24">
        <v>-199.57</v>
      </c>
    </row>
    <row r="73" spans="1:3" hidden="1" x14ac:dyDescent="0.3">
      <c r="A73" s="26">
        <v>45978</v>
      </c>
      <c r="B73" s="27" t="s">
        <v>4</v>
      </c>
      <c r="C73" s="24">
        <v>-148.75</v>
      </c>
    </row>
    <row r="74" spans="1:3" x14ac:dyDescent="0.3">
      <c r="A74" s="26">
        <v>45982</v>
      </c>
      <c r="B74" s="27" t="s">
        <v>1</v>
      </c>
      <c r="C74" s="24">
        <v>32.76</v>
      </c>
    </row>
    <row r="75" spans="1:3" x14ac:dyDescent="0.3">
      <c r="A75" s="26">
        <v>45987</v>
      </c>
      <c r="B75" s="27" t="s">
        <v>4</v>
      </c>
      <c r="C75" s="24">
        <v>-32.76</v>
      </c>
    </row>
    <row r="76" spans="1:3" x14ac:dyDescent="0.3">
      <c r="A76" s="26">
        <v>46003</v>
      </c>
      <c r="B76" s="27" t="s">
        <v>1</v>
      </c>
      <c r="C76" s="24">
        <v>154.01</v>
      </c>
    </row>
    <row r="77" spans="1:3" x14ac:dyDescent="0.3">
      <c r="A77" s="26">
        <v>46009</v>
      </c>
      <c r="B77" s="27" t="s">
        <v>4</v>
      </c>
      <c r="C77" s="24">
        <v>-154.01</v>
      </c>
    </row>
    <row r="78" spans="1:3" x14ac:dyDescent="0.3">
      <c r="A78" s="26">
        <v>46010</v>
      </c>
      <c r="B78" s="27" t="s">
        <v>1</v>
      </c>
      <c r="C78" s="24">
        <v>199.06</v>
      </c>
    </row>
    <row r="79" spans="1:3" x14ac:dyDescent="0.3">
      <c r="A79" s="26">
        <v>46016</v>
      </c>
      <c r="B79" s="27" t="s">
        <v>4</v>
      </c>
      <c r="C79" s="24">
        <v>-199.06</v>
      </c>
    </row>
    <row r="80" spans="1:3" x14ac:dyDescent="0.3">
      <c r="A80" s="26">
        <v>46031</v>
      </c>
      <c r="B80" s="27" t="s">
        <v>1</v>
      </c>
      <c r="C80" s="24">
        <v>273.14</v>
      </c>
    </row>
    <row r="81" spans="1:3" x14ac:dyDescent="0.3">
      <c r="A81" s="26">
        <v>46034</v>
      </c>
      <c r="B81" s="27" t="s">
        <v>4</v>
      </c>
      <c r="C81" s="24">
        <v>-273.14</v>
      </c>
    </row>
    <row r="82" spans="1:3" x14ac:dyDescent="0.3">
      <c r="A82" s="26">
        <v>46038</v>
      </c>
      <c r="B82" s="27" t="s">
        <v>1</v>
      </c>
      <c r="C82" s="24">
        <v>364.58</v>
      </c>
    </row>
    <row r="83" spans="1:3" x14ac:dyDescent="0.3">
      <c r="A83" s="26">
        <v>46042</v>
      </c>
      <c r="B83" s="27" t="s">
        <v>4</v>
      </c>
      <c r="C83" s="24">
        <v>-364.58</v>
      </c>
    </row>
    <row r="84" spans="1:3" x14ac:dyDescent="0.3">
      <c r="A84" s="26">
        <v>46045</v>
      </c>
      <c r="B84" s="27" t="s">
        <v>1</v>
      </c>
      <c r="C84" s="24">
        <v>397.89</v>
      </c>
    </row>
    <row r="85" spans="1:3" x14ac:dyDescent="0.3">
      <c r="A85" s="26">
        <v>46048</v>
      </c>
      <c r="B85" s="27" t="s">
        <v>4</v>
      </c>
      <c r="C85" s="24">
        <v>-397.89</v>
      </c>
    </row>
    <row r="86" spans="1:3" x14ac:dyDescent="0.3">
      <c r="A86" s="26">
        <v>46049</v>
      </c>
      <c r="B86" s="31" t="s">
        <v>1</v>
      </c>
      <c r="C86" s="24">
        <v>367.79</v>
      </c>
    </row>
    <row r="87" spans="1:3" x14ac:dyDescent="0.3">
      <c r="A87" s="26">
        <v>46056</v>
      </c>
      <c r="B87" s="27" t="s">
        <v>4</v>
      </c>
      <c r="C87" s="24">
        <v>-104.28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4C299-FB37-4E0C-84E2-839059BE6B44}">
  <dimension ref="A1:H86"/>
  <sheetViews>
    <sheetView view="pageBreakPreview" zoomScale="80" zoomScaleNormal="100" zoomScaleSheetLayoutView="80" workbookViewId="0">
      <selection activeCell="C27" sqref="C2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322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323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-1.4210854715202004E-14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45835</v>
      </c>
      <c r="B5" s="32" t="s">
        <v>21</v>
      </c>
      <c r="C5" s="24">
        <v>33.19</v>
      </c>
      <c r="D5" s="30"/>
      <c r="E5" s="30"/>
      <c r="F5" s="30"/>
      <c r="G5" s="22"/>
    </row>
    <row r="6" spans="1:8" x14ac:dyDescent="0.3">
      <c r="A6" s="21">
        <v>45839</v>
      </c>
      <c r="B6" s="27" t="s">
        <v>4</v>
      </c>
      <c r="C6" s="24">
        <v>-33.19</v>
      </c>
    </row>
    <row r="7" spans="1:8" x14ac:dyDescent="0.3">
      <c r="A7" s="21">
        <v>45841</v>
      </c>
      <c r="B7" s="32" t="s">
        <v>21</v>
      </c>
      <c r="C7" s="24">
        <v>23.3</v>
      </c>
    </row>
    <row r="8" spans="1:8" x14ac:dyDescent="0.3">
      <c r="A8" s="26">
        <v>45848</v>
      </c>
      <c r="B8" s="27" t="s">
        <v>7</v>
      </c>
      <c r="C8" s="24">
        <v>-23.31</v>
      </c>
    </row>
    <row r="9" spans="1:8" x14ac:dyDescent="0.3">
      <c r="A9" s="26">
        <v>45848</v>
      </c>
      <c r="B9" s="32" t="s">
        <v>21</v>
      </c>
      <c r="C9" s="24">
        <v>12.1</v>
      </c>
    </row>
    <row r="10" spans="1:8" x14ac:dyDescent="0.3">
      <c r="A10" s="26">
        <v>45855</v>
      </c>
      <c r="B10" s="27" t="s">
        <v>7</v>
      </c>
      <c r="C10" s="24">
        <v>-12.5</v>
      </c>
    </row>
    <row r="11" spans="1:8" x14ac:dyDescent="0.3">
      <c r="A11" s="26">
        <v>45855</v>
      </c>
      <c r="B11" s="32" t="s">
        <v>1</v>
      </c>
      <c r="C11" s="24">
        <v>14.56</v>
      </c>
    </row>
    <row r="12" spans="1:8" x14ac:dyDescent="0.3">
      <c r="A12" s="26">
        <v>45862</v>
      </c>
      <c r="B12" s="32" t="s">
        <v>1</v>
      </c>
      <c r="C12" s="24">
        <v>28.39</v>
      </c>
    </row>
    <row r="13" spans="1:8" x14ac:dyDescent="0.3">
      <c r="A13" s="26">
        <v>45869</v>
      </c>
      <c r="B13" s="27" t="s">
        <v>7</v>
      </c>
      <c r="C13" s="24">
        <v>-42.54</v>
      </c>
    </row>
    <row r="14" spans="1:8" x14ac:dyDescent="0.3">
      <c r="A14" s="26">
        <v>45869</v>
      </c>
      <c r="B14" s="32" t="s">
        <v>1</v>
      </c>
      <c r="C14" s="24">
        <v>14.44</v>
      </c>
    </row>
    <row r="15" spans="1:8" x14ac:dyDescent="0.3">
      <c r="A15" s="26">
        <v>45869</v>
      </c>
      <c r="B15" s="34" t="s">
        <v>1</v>
      </c>
      <c r="C15" s="24">
        <v>44.46</v>
      </c>
    </row>
    <row r="16" spans="1:8" x14ac:dyDescent="0.3">
      <c r="A16" s="26">
        <v>45876</v>
      </c>
      <c r="B16" s="32" t="s">
        <v>1</v>
      </c>
      <c r="C16" s="24">
        <v>15</v>
      </c>
    </row>
    <row r="17" spans="1:3" x14ac:dyDescent="0.3">
      <c r="A17" s="26">
        <v>45876</v>
      </c>
      <c r="B17" s="34" t="s">
        <v>1</v>
      </c>
      <c r="C17" s="24">
        <v>19.8</v>
      </c>
    </row>
    <row r="18" spans="1:3" x14ac:dyDescent="0.3">
      <c r="A18" s="26">
        <v>45890</v>
      </c>
      <c r="B18" s="27" t="s">
        <v>7</v>
      </c>
      <c r="C18" s="24">
        <v>-87.25</v>
      </c>
    </row>
    <row r="19" spans="1:3" x14ac:dyDescent="0.3">
      <c r="A19" s="26">
        <v>45898</v>
      </c>
      <c r="B19" s="27" t="s">
        <v>7</v>
      </c>
      <c r="C19" s="24">
        <v>-6.45</v>
      </c>
    </row>
    <row r="20" spans="1:3" x14ac:dyDescent="0.3">
      <c r="A20" s="26">
        <v>45898</v>
      </c>
      <c r="B20" s="32" t="s">
        <v>1</v>
      </c>
      <c r="C20" s="24">
        <v>49.47</v>
      </c>
    </row>
    <row r="21" spans="1:3" x14ac:dyDescent="0.3">
      <c r="A21" s="26">
        <v>45898</v>
      </c>
      <c r="B21" s="34" t="s">
        <v>1</v>
      </c>
      <c r="C21" s="24">
        <v>12.22</v>
      </c>
    </row>
    <row r="22" spans="1:3" x14ac:dyDescent="0.3">
      <c r="A22" s="26">
        <v>45904</v>
      </c>
      <c r="B22" s="27" t="s">
        <v>7</v>
      </c>
      <c r="C22" s="24">
        <v>-64.510000000000005</v>
      </c>
    </row>
    <row r="23" spans="1:3" x14ac:dyDescent="0.3">
      <c r="A23" s="26">
        <v>45904</v>
      </c>
      <c r="B23" s="32" t="s">
        <v>1</v>
      </c>
      <c r="C23" s="24">
        <v>42.26</v>
      </c>
    </row>
    <row r="24" spans="1:3" x14ac:dyDescent="0.3">
      <c r="A24" s="26">
        <v>45904</v>
      </c>
      <c r="B24" s="34" t="s">
        <v>1</v>
      </c>
      <c r="C24" s="24">
        <v>47.17</v>
      </c>
    </row>
    <row r="25" spans="1:3" x14ac:dyDescent="0.3">
      <c r="A25" s="26">
        <v>45932</v>
      </c>
      <c r="B25" s="27" t="s">
        <v>4</v>
      </c>
      <c r="C25" s="24">
        <v>-81.86</v>
      </c>
    </row>
    <row r="26" spans="1:3" x14ac:dyDescent="0.3">
      <c r="A26" s="26">
        <v>45996</v>
      </c>
      <c r="B26" s="27" t="s">
        <v>7</v>
      </c>
      <c r="C26" s="24">
        <v>-4.75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39EA-911F-4067-8F55-D051AB258C31}">
  <dimension ref="A1:H86"/>
  <sheetViews>
    <sheetView view="pageBreakPreview" zoomScale="80" zoomScaleNormal="100" zoomScaleSheetLayoutView="80" workbookViewId="0">
      <selection activeCell="C48" sqref="C4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423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30.61999999999999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45899</v>
      </c>
      <c r="B5" s="34" t="s">
        <v>21</v>
      </c>
      <c r="C5" s="24">
        <v>28.11</v>
      </c>
      <c r="D5" s="30"/>
      <c r="E5" s="30"/>
      <c r="F5" s="30"/>
      <c r="G5" s="22"/>
    </row>
    <row r="6" spans="1:8" hidden="1" x14ac:dyDescent="0.3">
      <c r="A6" s="21">
        <v>45905</v>
      </c>
      <c r="B6" s="27" t="s">
        <v>4</v>
      </c>
      <c r="C6" s="24">
        <v>-28.11</v>
      </c>
    </row>
    <row r="7" spans="1:8" hidden="1" x14ac:dyDescent="0.3">
      <c r="A7" s="21">
        <v>45905</v>
      </c>
      <c r="B7" s="32" t="s">
        <v>21</v>
      </c>
      <c r="C7" s="24">
        <v>15.85</v>
      </c>
    </row>
    <row r="8" spans="1:8" hidden="1" x14ac:dyDescent="0.3">
      <c r="A8" s="21">
        <v>45905</v>
      </c>
      <c r="B8" s="34" t="s">
        <v>21</v>
      </c>
      <c r="C8" s="24">
        <v>14.7</v>
      </c>
    </row>
    <row r="9" spans="1:8" hidden="1" x14ac:dyDescent="0.3">
      <c r="A9" s="26">
        <v>45911</v>
      </c>
      <c r="B9" s="27" t="s">
        <v>4</v>
      </c>
      <c r="C9" s="24">
        <v>-30.55</v>
      </c>
    </row>
    <row r="10" spans="1:8" hidden="1" x14ac:dyDescent="0.3">
      <c r="A10" s="26">
        <v>45911</v>
      </c>
      <c r="B10" s="32" t="s">
        <v>21</v>
      </c>
      <c r="C10" s="24">
        <v>9.84</v>
      </c>
    </row>
    <row r="11" spans="1:8" hidden="1" x14ac:dyDescent="0.3">
      <c r="A11" s="26">
        <v>45911</v>
      </c>
      <c r="B11" s="34" t="s">
        <v>21</v>
      </c>
      <c r="C11" s="24">
        <v>8.7899999999999991</v>
      </c>
    </row>
    <row r="12" spans="1:8" hidden="1" x14ac:dyDescent="0.3">
      <c r="A12" s="26">
        <v>45920</v>
      </c>
      <c r="B12" s="27" t="s">
        <v>7</v>
      </c>
      <c r="C12" s="24">
        <v>-1.93</v>
      </c>
    </row>
    <row r="13" spans="1:8" hidden="1" x14ac:dyDescent="0.3">
      <c r="A13" s="26">
        <v>45920</v>
      </c>
      <c r="B13" s="32" t="s">
        <v>21</v>
      </c>
      <c r="C13" s="24">
        <v>7.5</v>
      </c>
    </row>
    <row r="14" spans="1:8" hidden="1" x14ac:dyDescent="0.3">
      <c r="A14" s="26">
        <v>45920</v>
      </c>
      <c r="B14" s="34" t="s">
        <v>21</v>
      </c>
      <c r="C14" s="24">
        <v>21.09</v>
      </c>
    </row>
    <row r="15" spans="1:8" hidden="1" x14ac:dyDescent="0.3">
      <c r="A15" s="26">
        <v>45922</v>
      </c>
      <c r="B15" s="27" t="s">
        <v>4</v>
      </c>
      <c r="C15" s="24">
        <v>-16.809999999999999</v>
      </c>
    </row>
    <row r="16" spans="1:8" hidden="1" x14ac:dyDescent="0.3">
      <c r="A16" s="26">
        <v>45926</v>
      </c>
      <c r="B16" s="27" t="s">
        <v>4</v>
      </c>
      <c r="C16" s="24">
        <v>-28.17</v>
      </c>
    </row>
    <row r="17" spans="1:3" hidden="1" x14ac:dyDescent="0.3">
      <c r="A17" s="26">
        <v>45925</v>
      </c>
      <c r="B17" s="32" t="s">
        <v>21</v>
      </c>
      <c r="C17" s="24">
        <v>12.1</v>
      </c>
    </row>
    <row r="18" spans="1:3" hidden="1" x14ac:dyDescent="0.3">
      <c r="A18" s="26">
        <v>45925</v>
      </c>
      <c r="B18" s="34" t="s">
        <v>21</v>
      </c>
      <c r="C18" s="24">
        <v>13.44</v>
      </c>
    </row>
    <row r="19" spans="1:3" hidden="1" x14ac:dyDescent="0.3">
      <c r="A19" s="26">
        <v>45932</v>
      </c>
      <c r="B19" s="27" t="s">
        <v>4</v>
      </c>
      <c r="C19" s="24">
        <v>-10.92</v>
      </c>
    </row>
    <row r="20" spans="1:3" hidden="1" x14ac:dyDescent="0.3">
      <c r="A20" s="26">
        <v>45932</v>
      </c>
      <c r="B20" s="27" t="s">
        <v>7</v>
      </c>
      <c r="C20" s="24">
        <v>-17.88</v>
      </c>
    </row>
    <row r="21" spans="1:3" hidden="1" x14ac:dyDescent="0.3">
      <c r="A21" s="26">
        <v>45932</v>
      </c>
      <c r="B21" s="34" t="s">
        <v>21</v>
      </c>
      <c r="C21" s="24">
        <v>27.68</v>
      </c>
    </row>
    <row r="22" spans="1:3" hidden="1" x14ac:dyDescent="0.3">
      <c r="A22" s="26">
        <v>45939</v>
      </c>
      <c r="B22" s="27" t="s">
        <v>4</v>
      </c>
      <c r="C22" s="24">
        <v>-24.73</v>
      </c>
    </row>
    <row r="23" spans="1:3" hidden="1" x14ac:dyDescent="0.3">
      <c r="A23" s="26">
        <v>45939</v>
      </c>
      <c r="B23" s="34" t="s">
        <v>21</v>
      </c>
      <c r="C23" s="24">
        <v>16.059999999999999</v>
      </c>
    </row>
    <row r="24" spans="1:3" hidden="1" x14ac:dyDescent="0.3">
      <c r="A24" s="26">
        <v>45946</v>
      </c>
      <c r="B24" s="27" t="s">
        <v>4</v>
      </c>
      <c r="C24" s="24">
        <v>-16.059999999999999</v>
      </c>
    </row>
    <row r="25" spans="1:3" hidden="1" x14ac:dyDescent="0.3">
      <c r="A25" s="26">
        <v>45946</v>
      </c>
      <c r="B25" s="34" t="s">
        <v>21</v>
      </c>
      <c r="C25" s="24">
        <v>26.31</v>
      </c>
    </row>
    <row r="26" spans="1:3" hidden="1" x14ac:dyDescent="0.3">
      <c r="A26" s="26">
        <v>45946</v>
      </c>
      <c r="B26" s="46" t="s">
        <v>21</v>
      </c>
      <c r="C26" s="24">
        <v>3.46</v>
      </c>
    </row>
    <row r="27" spans="1:3" hidden="1" x14ac:dyDescent="0.3">
      <c r="A27" s="26">
        <v>45953</v>
      </c>
      <c r="B27" s="27" t="s">
        <v>4</v>
      </c>
      <c r="C27" s="24">
        <v>-29.77</v>
      </c>
    </row>
    <row r="28" spans="1:3" hidden="1" x14ac:dyDescent="0.3">
      <c r="A28" s="26">
        <v>45953</v>
      </c>
      <c r="B28" s="32" t="s">
        <v>21</v>
      </c>
      <c r="C28" s="24">
        <v>7.5</v>
      </c>
    </row>
    <row r="29" spans="1:3" hidden="1" x14ac:dyDescent="0.3">
      <c r="A29" s="26">
        <v>45953</v>
      </c>
      <c r="B29" s="34" t="s">
        <v>21</v>
      </c>
      <c r="C29" s="24">
        <v>22.29</v>
      </c>
    </row>
    <row r="30" spans="1:3" hidden="1" x14ac:dyDescent="0.3">
      <c r="A30" s="26">
        <v>45961</v>
      </c>
      <c r="B30" s="27" t="s">
        <v>4</v>
      </c>
      <c r="C30" s="24">
        <v>-22.36</v>
      </c>
    </row>
    <row r="31" spans="1:3" hidden="1" x14ac:dyDescent="0.3">
      <c r="A31" s="26">
        <v>45961</v>
      </c>
      <c r="B31" s="27" t="s">
        <v>7</v>
      </c>
      <c r="C31" s="24">
        <v>-7.77</v>
      </c>
    </row>
    <row r="32" spans="1:3" hidden="1" x14ac:dyDescent="0.3">
      <c r="A32" s="26">
        <v>45961</v>
      </c>
      <c r="B32" s="27" t="s">
        <v>1</v>
      </c>
      <c r="C32" s="24">
        <v>26.7</v>
      </c>
    </row>
    <row r="33" spans="1:3" hidden="1" x14ac:dyDescent="0.3">
      <c r="A33" s="26">
        <v>45961</v>
      </c>
      <c r="B33" s="34" t="s">
        <v>21</v>
      </c>
      <c r="C33" s="24">
        <v>16.850000000000001</v>
      </c>
    </row>
    <row r="34" spans="1:3" hidden="1" x14ac:dyDescent="0.3">
      <c r="A34" s="26">
        <v>45967</v>
      </c>
      <c r="B34" s="27" t="s">
        <v>4</v>
      </c>
      <c r="C34" s="24">
        <v>-43.21</v>
      </c>
    </row>
    <row r="35" spans="1:3" hidden="1" x14ac:dyDescent="0.3">
      <c r="A35" s="26">
        <v>45967</v>
      </c>
      <c r="B35" s="27" t="s">
        <v>1</v>
      </c>
      <c r="C35" s="24">
        <v>18.66</v>
      </c>
    </row>
    <row r="36" spans="1:3" hidden="1" x14ac:dyDescent="0.3">
      <c r="A36" s="26">
        <v>45967</v>
      </c>
      <c r="B36" s="34" t="s">
        <v>21</v>
      </c>
      <c r="C36" s="24">
        <v>20.440000000000001</v>
      </c>
    </row>
    <row r="37" spans="1:3" hidden="1" x14ac:dyDescent="0.3">
      <c r="A37" s="26">
        <v>45974</v>
      </c>
      <c r="B37" s="27" t="s">
        <v>4</v>
      </c>
      <c r="C37" s="24">
        <v>-21.29</v>
      </c>
    </row>
    <row r="38" spans="1:3" hidden="1" x14ac:dyDescent="0.3">
      <c r="A38" s="26">
        <v>45974</v>
      </c>
      <c r="B38" s="27" t="s">
        <v>7</v>
      </c>
      <c r="C38" s="24">
        <v>-17.850000000000001</v>
      </c>
    </row>
    <row r="39" spans="1:3" x14ac:dyDescent="0.3">
      <c r="A39" s="26">
        <v>45974</v>
      </c>
      <c r="B39" s="27" t="s">
        <v>1</v>
      </c>
      <c r="C39" s="24">
        <v>6.63</v>
      </c>
    </row>
    <row r="40" spans="1:3" x14ac:dyDescent="0.3">
      <c r="A40" s="26">
        <v>45988</v>
      </c>
      <c r="B40" s="27" t="s">
        <v>1</v>
      </c>
      <c r="C40" s="24">
        <v>46.96</v>
      </c>
    </row>
    <row r="41" spans="1:3" x14ac:dyDescent="0.3">
      <c r="A41" s="26">
        <v>45996</v>
      </c>
      <c r="B41" s="27" t="s">
        <v>1</v>
      </c>
      <c r="C41" s="24">
        <v>31.25</v>
      </c>
    </row>
    <row r="42" spans="1:3" x14ac:dyDescent="0.3">
      <c r="A42" s="26">
        <v>46010</v>
      </c>
      <c r="B42" s="27" t="s">
        <v>4</v>
      </c>
      <c r="C42" s="24">
        <v>-56.06</v>
      </c>
    </row>
    <row r="43" spans="1:3" x14ac:dyDescent="0.3">
      <c r="A43" s="26">
        <v>46010</v>
      </c>
      <c r="B43" s="27" t="s">
        <v>1</v>
      </c>
      <c r="C43" s="24">
        <v>32.549999999999997</v>
      </c>
    </row>
    <row r="44" spans="1:3" x14ac:dyDescent="0.3">
      <c r="A44" s="26">
        <v>46014</v>
      </c>
      <c r="B44" s="27" t="s">
        <v>4</v>
      </c>
      <c r="C44" s="24">
        <v>-28</v>
      </c>
    </row>
    <row r="45" spans="1:3" x14ac:dyDescent="0.3">
      <c r="A45" s="26">
        <v>46017</v>
      </c>
      <c r="B45" s="27" t="s">
        <v>4</v>
      </c>
      <c r="C45" s="24">
        <v>-28</v>
      </c>
    </row>
    <row r="46" spans="1:3" x14ac:dyDescent="0.3">
      <c r="A46" s="26">
        <v>46017</v>
      </c>
      <c r="B46" s="27" t="s">
        <v>4</v>
      </c>
      <c r="C46" s="24">
        <v>-5.42</v>
      </c>
    </row>
    <row r="47" spans="1:3" x14ac:dyDescent="0.3">
      <c r="A47" s="26">
        <v>46037</v>
      </c>
      <c r="B47" s="27" t="s">
        <v>1</v>
      </c>
      <c r="C47" s="24">
        <v>30.75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DAC2-1842-4479-92C2-7E280F14D5B1}">
  <dimension ref="A1:H30"/>
  <sheetViews>
    <sheetView view="pageBreakPreview" zoomScale="85" zoomScaleNormal="100" zoomScaleSheetLayoutView="85" workbookViewId="0">
      <selection activeCell="C31" sqref="C31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455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45925</v>
      </c>
      <c r="B5" s="32" t="s">
        <v>21</v>
      </c>
      <c r="C5" s="24">
        <v>63.4</v>
      </c>
      <c r="D5" s="30"/>
      <c r="E5" s="30"/>
      <c r="F5" s="30"/>
      <c r="G5" s="22"/>
    </row>
    <row r="6" spans="1:8" hidden="1" x14ac:dyDescent="0.3">
      <c r="A6" s="21">
        <v>45925</v>
      </c>
      <c r="B6" s="34" t="s">
        <v>1</v>
      </c>
      <c r="C6" s="24">
        <v>138.47999999999999</v>
      </c>
    </row>
    <row r="7" spans="1:8" hidden="1" x14ac:dyDescent="0.3">
      <c r="A7" s="21">
        <v>45926</v>
      </c>
      <c r="B7" s="27" t="s">
        <v>4</v>
      </c>
      <c r="C7" s="24">
        <v>-201.88</v>
      </c>
    </row>
    <row r="8" spans="1:8" hidden="1" x14ac:dyDescent="0.3">
      <c r="A8" s="26">
        <v>45930</v>
      </c>
      <c r="B8" s="27" t="s">
        <v>4</v>
      </c>
      <c r="C8" s="24">
        <v>-321</v>
      </c>
    </row>
    <row r="9" spans="1:8" hidden="1" x14ac:dyDescent="0.3">
      <c r="A9" s="26">
        <v>45930</v>
      </c>
      <c r="B9" s="34" t="s">
        <v>1</v>
      </c>
      <c r="C9" s="24">
        <v>321</v>
      </c>
    </row>
    <row r="10" spans="1:8" hidden="1" x14ac:dyDescent="0.3">
      <c r="A10" s="26">
        <v>45937</v>
      </c>
      <c r="B10" s="32" t="s">
        <v>1</v>
      </c>
      <c r="C10" s="24">
        <v>81.900000000000006</v>
      </c>
    </row>
    <row r="11" spans="1:8" hidden="1" x14ac:dyDescent="0.3">
      <c r="A11" s="26">
        <v>45937</v>
      </c>
      <c r="B11" s="34" t="s">
        <v>1</v>
      </c>
      <c r="C11" s="24">
        <v>98.24</v>
      </c>
    </row>
    <row r="12" spans="1:8" hidden="1" x14ac:dyDescent="0.3">
      <c r="A12" s="26">
        <v>45938</v>
      </c>
      <c r="B12" s="34" t="s">
        <v>1</v>
      </c>
      <c r="C12" s="24">
        <v>120</v>
      </c>
    </row>
    <row r="13" spans="1:8" hidden="1" x14ac:dyDescent="0.3">
      <c r="A13" s="26">
        <v>45940</v>
      </c>
      <c r="B13" s="31" t="s">
        <v>4</v>
      </c>
      <c r="C13" s="24">
        <v>-300.14</v>
      </c>
    </row>
    <row r="14" spans="1:8" hidden="1" x14ac:dyDescent="0.3">
      <c r="A14" s="26">
        <v>45951</v>
      </c>
      <c r="B14" s="32" t="s">
        <v>1</v>
      </c>
      <c r="C14" s="24">
        <v>137.63999999999999</v>
      </c>
    </row>
    <row r="15" spans="1:8" hidden="1" x14ac:dyDescent="0.3">
      <c r="A15" s="26">
        <v>45953</v>
      </c>
      <c r="B15" s="31" t="s">
        <v>4</v>
      </c>
      <c r="C15" s="24">
        <v>-137.63999999999999</v>
      </c>
    </row>
    <row r="16" spans="1:8" hidden="1" x14ac:dyDescent="0.3">
      <c r="A16" s="26">
        <v>45966</v>
      </c>
      <c r="B16" s="32" t="s">
        <v>1</v>
      </c>
      <c r="C16" s="24">
        <v>104.88</v>
      </c>
    </row>
    <row r="17" spans="1:3" hidden="1" x14ac:dyDescent="0.3">
      <c r="A17" s="26">
        <v>45968</v>
      </c>
      <c r="B17" s="27" t="s">
        <v>4</v>
      </c>
      <c r="C17" s="24">
        <v>-104.88</v>
      </c>
    </row>
    <row r="18" spans="1:3" hidden="1" x14ac:dyDescent="0.3">
      <c r="A18" s="26">
        <v>45980</v>
      </c>
      <c r="B18" s="27" t="s">
        <v>1</v>
      </c>
      <c r="C18" s="24">
        <v>162.06</v>
      </c>
    </row>
    <row r="19" spans="1:3" hidden="1" x14ac:dyDescent="0.3">
      <c r="A19" s="26">
        <v>45982</v>
      </c>
      <c r="B19" s="27" t="s">
        <v>4</v>
      </c>
      <c r="C19" s="24">
        <v>-162.06</v>
      </c>
    </row>
    <row r="20" spans="1:3" hidden="1" x14ac:dyDescent="0.3">
      <c r="A20" s="26">
        <v>45986</v>
      </c>
      <c r="B20" s="27" t="s">
        <v>4</v>
      </c>
      <c r="C20" s="24">
        <v>627.52</v>
      </c>
    </row>
    <row r="21" spans="1:3" hidden="1" x14ac:dyDescent="0.3">
      <c r="A21" s="26">
        <v>45989</v>
      </c>
      <c r="B21" s="27" t="s">
        <v>4</v>
      </c>
      <c r="C21" s="24">
        <v>-627.52</v>
      </c>
    </row>
    <row r="22" spans="1:3" x14ac:dyDescent="0.3">
      <c r="A22" s="26">
        <v>45993</v>
      </c>
      <c r="B22" s="27" t="s">
        <v>1</v>
      </c>
      <c r="C22" s="24">
        <v>98.4</v>
      </c>
    </row>
    <row r="23" spans="1:3" x14ac:dyDescent="0.3">
      <c r="A23" s="26">
        <v>45994</v>
      </c>
      <c r="B23" s="27" t="s">
        <v>1</v>
      </c>
      <c r="C23" s="24">
        <v>98.28</v>
      </c>
    </row>
    <row r="24" spans="1:3" x14ac:dyDescent="0.3">
      <c r="A24" s="26">
        <v>46000</v>
      </c>
      <c r="B24" s="27" t="s">
        <v>4</v>
      </c>
      <c r="C24" s="24">
        <v>-196.68</v>
      </c>
    </row>
    <row r="25" spans="1:3" x14ac:dyDescent="0.3">
      <c r="A25" s="26">
        <v>46029</v>
      </c>
      <c r="B25" s="27" t="s">
        <v>4</v>
      </c>
      <c r="C25" s="24">
        <v>-1107.24</v>
      </c>
    </row>
    <row r="26" spans="1:3" x14ac:dyDescent="0.3">
      <c r="A26" s="26">
        <v>45663</v>
      </c>
      <c r="B26" s="27" t="s">
        <v>1</v>
      </c>
      <c r="C26" s="24">
        <v>1107.24</v>
      </c>
    </row>
    <row r="27" spans="1:3" x14ac:dyDescent="0.3">
      <c r="A27" s="26">
        <v>46042</v>
      </c>
      <c r="B27" s="27" t="s">
        <v>1</v>
      </c>
      <c r="C27" s="24">
        <v>1204.6400000000001</v>
      </c>
    </row>
    <row r="28" spans="1:3" x14ac:dyDescent="0.3">
      <c r="A28" s="26">
        <v>45683</v>
      </c>
      <c r="B28" s="27" t="s">
        <v>4</v>
      </c>
      <c r="C28" s="24">
        <v>-1204.6400000000001</v>
      </c>
    </row>
    <row r="29" spans="1:3" x14ac:dyDescent="0.3">
      <c r="A29" s="26">
        <v>46056</v>
      </c>
      <c r="B29" s="27" t="s">
        <v>4</v>
      </c>
      <c r="C29" s="24">
        <v>-123.36</v>
      </c>
    </row>
    <row r="30" spans="1:3" x14ac:dyDescent="0.3">
      <c r="A30" s="26">
        <v>46056</v>
      </c>
      <c r="B30" s="27" t="s">
        <v>1</v>
      </c>
      <c r="C30" s="24">
        <v>123.36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F016D-5E4F-45CD-894C-F1E71F9D584F}">
  <dimension ref="A1:H49"/>
  <sheetViews>
    <sheetView view="pageBreakPreview" zoomScale="85" zoomScaleNormal="100" zoomScaleSheetLayoutView="85" workbookViewId="0">
      <selection activeCell="C50" sqref="C5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357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358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2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45853</v>
      </c>
      <c r="B5" s="32" t="s">
        <v>21</v>
      </c>
      <c r="C5" s="24">
        <v>15.85</v>
      </c>
      <c r="D5" s="30"/>
      <c r="E5" s="30"/>
      <c r="F5" s="30"/>
      <c r="G5" s="22"/>
    </row>
    <row r="6" spans="1:8" hidden="1" x14ac:dyDescent="0.3">
      <c r="A6" s="21">
        <v>45856</v>
      </c>
      <c r="B6" s="27" t="s">
        <v>7</v>
      </c>
      <c r="C6" s="24">
        <v>-15.85</v>
      </c>
    </row>
    <row r="7" spans="1:8" hidden="1" x14ac:dyDescent="0.3">
      <c r="A7" s="21">
        <v>45856</v>
      </c>
      <c r="B7" s="34" t="s">
        <v>1</v>
      </c>
      <c r="C7" s="24">
        <v>168.96</v>
      </c>
    </row>
    <row r="8" spans="1:8" hidden="1" x14ac:dyDescent="0.3">
      <c r="A8" s="26">
        <v>45861</v>
      </c>
      <c r="B8" s="27" t="s">
        <v>4</v>
      </c>
      <c r="C8" s="24">
        <v>-168.96</v>
      </c>
    </row>
    <row r="9" spans="1:8" hidden="1" x14ac:dyDescent="0.3">
      <c r="A9" s="26">
        <v>45863</v>
      </c>
      <c r="B9" s="34" t="s">
        <v>1</v>
      </c>
      <c r="C9" s="24">
        <v>58.5</v>
      </c>
    </row>
    <row r="10" spans="1:8" hidden="1" x14ac:dyDescent="0.3">
      <c r="A10" s="26">
        <v>45870</v>
      </c>
      <c r="B10" s="27" t="s">
        <v>4</v>
      </c>
      <c r="C10" s="24">
        <v>-58.5</v>
      </c>
    </row>
    <row r="11" spans="1:8" hidden="1" x14ac:dyDescent="0.3">
      <c r="A11" s="26">
        <v>45870</v>
      </c>
      <c r="B11" s="32" t="s">
        <v>1</v>
      </c>
      <c r="C11" s="24">
        <v>54.34</v>
      </c>
      <c r="E11" s="25">
        <v>2</v>
      </c>
    </row>
    <row r="12" spans="1:8" hidden="1" x14ac:dyDescent="0.3">
      <c r="A12" s="26">
        <v>45870</v>
      </c>
      <c r="B12" s="34" t="s">
        <v>1</v>
      </c>
      <c r="C12" s="24">
        <v>37.380000000000003</v>
      </c>
    </row>
    <row r="13" spans="1:8" hidden="1" x14ac:dyDescent="0.3">
      <c r="A13" s="26">
        <v>45877</v>
      </c>
      <c r="B13" s="31" t="s">
        <v>4</v>
      </c>
      <c r="C13" s="24">
        <v>-91.72</v>
      </c>
    </row>
    <row r="14" spans="1:8" hidden="1" x14ac:dyDescent="0.3">
      <c r="A14" s="26">
        <v>45877</v>
      </c>
      <c r="B14" s="34" t="s">
        <v>1</v>
      </c>
      <c r="C14" s="24">
        <v>98.16</v>
      </c>
    </row>
    <row r="15" spans="1:8" hidden="1" x14ac:dyDescent="0.3">
      <c r="A15" s="26">
        <v>45877</v>
      </c>
      <c r="B15" s="46" t="s">
        <v>1</v>
      </c>
      <c r="C15" s="24">
        <v>28.02</v>
      </c>
    </row>
    <row r="16" spans="1:8" hidden="1" x14ac:dyDescent="0.3">
      <c r="A16" s="26">
        <v>45886</v>
      </c>
      <c r="B16" s="27" t="s">
        <v>4</v>
      </c>
      <c r="C16" s="24">
        <v>-43.83</v>
      </c>
    </row>
    <row r="17" spans="1:3" hidden="1" x14ac:dyDescent="0.3">
      <c r="A17" s="26">
        <v>45887</v>
      </c>
      <c r="B17" s="27" t="s">
        <v>4</v>
      </c>
      <c r="C17" s="24">
        <v>-82.35</v>
      </c>
    </row>
    <row r="18" spans="1:3" hidden="1" x14ac:dyDescent="0.3">
      <c r="A18" s="26">
        <v>45891</v>
      </c>
      <c r="B18" s="32" t="s">
        <v>1</v>
      </c>
      <c r="C18" s="24">
        <v>30.85</v>
      </c>
    </row>
    <row r="19" spans="1:3" hidden="1" x14ac:dyDescent="0.3">
      <c r="A19" s="26">
        <v>45891</v>
      </c>
      <c r="B19" s="34" t="s">
        <v>1</v>
      </c>
      <c r="C19" s="24">
        <v>129.71</v>
      </c>
    </row>
    <row r="20" spans="1:3" hidden="1" x14ac:dyDescent="0.3">
      <c r="A20" s="26">
        <v>45891</v>
      </c>
      <c r="B20" s="46" t="s">
        <v>1</v>
      </c>
      <c r="C20" s="24">
        <v>26.29</v>
      </c>
    </row>
    <row r="21" spans="1:3" hidden="1" x14ac:dyDescent="0.3">
      <c r="A21" s="26">
        <v>45900</v>
      </c>
      <c r="B21" s="27" t="s">
        <v>4</v>
      </c>
      <c r="C21" s="24">
        <v>-107.78</v>
      </c>
    </row>
    <row r="22" spans="1:3" hidden="1" x14ac:dyDescent="0.3">
      <c r="A22" s="26">
        <v>45903</v>
      </c>
      <c r="B22" s="27" t="s">
        <v>4</v>
      </c>
      <c r="C22" s="24">
        <v>-79.069999999999993</v>
      </c>
    </row>
    <row r="23" spans="1:3" hidden="1" x14ac:dyDescent="0.3">
      <c r="A23" s="26">
        <v>45905</v>
      </c>
      <c r="B23" s="34" t="s">
        <v>1</v>
      </c>
      <c r="C23" s="24">
        <v>82.35</v>
      </c>
    </row>
    <row r="24" spans="1:3" hidden="1" x14ac:dyDescent="0.3">
      <c r="A24" s="26">
        <v>45912</v>
      </c>
      <c r="B24" s="27" t="s">
        <v>4</v>
      </c>
      <c r="C24" s="24">
        <v>-82.35</v>
      </c>
    </row>
    <row r="25" spans="1:3" hidden="1" x14ac:dyDescent="0.3">
      <c r="A25" s="26">
        <v>45912</v>
      </c>
      <c r="B25" s="32" t="s">
        <v>1</v>
      </c>
      <c r="C25" s="24">
        <v>15.85</v>
      </c>
    </row>
    <row r="26" spans="1:3" hidden="1" x14ac:dyDescent="0.3">
      <c r="A26" s="26">
        <v>45912</v>
      </c>
      <c r="B26" s="34" t="s">
        <v>1</v>
      </c>
      <c r="C26" s="24">
        <v>50.68</v>
      </c>
    </row>
    <row r="27" spans="1:3" hidden="1" x14ac:dyDescent="0.3">
      <c r="A27" s="26">
        <v>45919</v>
      </c>
      <c r="B27" s="27" t="s">
        <v>4</v>
      </c>
      <c r="C27" s="24">
        <v>-66.53</v>
      </c>
    </row>
    <row r="28" spans="1:3" hidden="1" x14ac:dyDescent="0.3">
      <c r="A28" s="26">
        <v>45920</v>
      </c>
      <c r="B28" s="34" t="s">
        <v>1</v>
      </c>
      <c r="C28" s="24">
        <v>54.68</v>
      </c>
    </row>
    <row r="29" spans="1:3" hidden="1" x14ac:dyDescent="0.3">
      <c r="A29" s="26">
        <v>45931</v>
      </c>
      <c r="B29" s="27" t="s">
        <v>4</v>
      </c>
      <c r="C29" s="24">
        <v>-54.68</v>
      </c>
    </row>
    <row r="30" spans="1:3" hidden="1" x14ac:dyDescent="0.3">
      <c r="A30" s="26">
        <v>45931</v>
      </c>
      <c r="B30" s="32" t="s">
        <v>1</v>
      </c>
      <c r="C30" s="24">
        <v>17.100000000000001</v>
      </c>
    </row>
    <row r="31" spans="1:3" hidden="1" x14ac:dyDescent="0.3">
      <c r="A31" s="26">
        <v>45931</v>
      </c>
      <c r="B31" s="34" t="s">
        <v>1</v>
      </c>
      <c r="C31" s="24">
        <v>104.19</v>
      </c>
    </row>
    <row r="32" spans="1:3" hidden="1" x14ac:dyDescent="0.3">
      <c r="A32" s="26">
        <v>45938</v>
      </c>
      <c r="B32" s="27" t="s">
        <v>4</v>
      </c>
      <c r="C32" s="24">
        <v>-121.28</v>
      </c>
    </row>
    <row r="33" spans="1:3" hidden="1" x14ac:dyDescent="0.3">
      <c r="A33" s="26">
        <v>45940</v>
      </c>
      <c r="B33" s="34" t="s">
        <v>1</v>
      </c>
      <c r="C33" s="24">
        <v>41.7</v>
      </c>
    </row>
    <row r="34" spans="1:3" hidden="1" x14ac:dyDescent="0.3">
      <c r="A34" s="26">
        <v>45940</v>
      </c>
      <c r="B34" s="46" t="s">
        <v>1</v>
      </c>
      <c r="C34" s="24">
        <v>13.84</v>
      </c>
    </row>
    <row r="35" spans="1:3" hidden="1" x14ac:dyDescent="0.3">
      <c r="A35" s="26">
        <v>45947</v>
      </c>
      <c r="B35" s="32" t="s">
        <v>1</v>
      </c>
      <c r="C35" s="24">
        <v>16.38</v>
      </c>
    </row>
    <row r="36" spans="1:3" hidden="1" x14ac:dyDescent="0.3">
      <c r="A36" s="26">
        <v>45947</v>
      </c>
      <c r="B36" s="34" t="s">
        <v>1</v>
      </c>
      <c r="C36" s="24">
        <v>49.35</v>
      </c>
    </row>
    <row r="37" spans="1:3" hidden="1" x14ac:dyDescent="0.3">
      <c r="A37" s="26">
        <v>45947</v>
      </c>
      <c r="B37" s="46" t="s">
        <v>1</v>
      </c>
      <c r="C37" s="24">
        <v>18.899999999999999</v>
      </c>
    </row>
    <row r="38" spans="1:3" hidden="1" x14ac:dyDescent="0.3">
      <c r="A38" s="26">
        <v>45950</v>
      </c>
      <c r="B38" s="27" t="s">
        <v>4</v>
      </c>
      <c r="C38" s="24">
        <v>-55.55</v>
      </c>
    </row>
    <row r="39" spans="1:3" hidden="1" x14ac:dyDescent="0.3">
      <c r="A39" s="26">
        <v>45957</v>
      </c>
      <c r="B39" s="27" t="s">
        <v>4</v>
      </c>
      <c r="C39" s="24">
        <v>-60.08</v>
      </c>
    </row>
    <row r="40" spans="1:3" hidden="1" x14ac:dyDescent="0.3">
      <c r="A40" s="26">
        <v>45964</v>
      </c>
      <c r="B40" s="27" t="s">
        <v>4</v>
      </c>
      <c r="C40" s="24">
        <v>-24.55</v>
      </c>
    </row>
    <row r="41" spans="1:3" x14ac:dyDescent="0.3">
      <c r="A41" s="26">
        <v>45968</v>
      </c>
      <c r="B41" s="32" t="s">
        <v>1</v>
      </c>
      <c r="C41" s="24">
        <v>31.38</v>
      </c>
    </row>
    <row r="42" spans="1:3" x14ac:dyDescent="0.3">
      <c r="A42" s="26">
        <v>45968</v>
      </c>
      <c r="B42" s="34" t="s">
        <v>1</v>
      </c>
      <c r="C42" s="24">
        <v>92.86</v>
      </c>
    </row>
    <row r="43" spans="1:3" x14ac:dyDescent="0.3">
      <c r="A43" s="26">
        <v>45980</v>
      </c>
      <c r="B43" s="27" t="s">
        <v>4</v>
      </c>
      <c r="C43" s="24">
        <v>-60.99</v>
      </c>
    </row>
    <row r="44" spans="1:3" x14ac:dyDescent="0.3">
      <c r="A44" s="26">
        <v>45982</v>
      </c>
      <c r="B44" s="27" t="s">
        <v>4</v>
      </c>
      <c r="C44" s="24">
        <v>-31.87</v>
      </c>
    </row>
    <row r="45" spans="1:3" x14ac:dyDescent="0.3">
      <c r="A45" s="26">
        <v>45989</v>
      </c>
      <c r="B45" s="27" t="s">
        <v>1</v>
      </c>
      <c r="C45" s="24">
        <v>54.98</v>
      </c>
    </row>
    <row r="46" spans="1:3" x14ac:dyDescent="0.3">
      <c r="A46" s="26">
        <v>45992</v>
      </c>
      <c r="B46" s="27" t="s">
        <v>4</v>
      </c>
      <c r="C46" s="24">
        <v>-31.38</v>
      </c>
    </row>
    <row r="47" spans="1:3" x14ac:dyDescent="0.3">
      <c r="A47" s="26">
        <v>45996</v>
      </c>
      <c r="B47" s="27" t="s">
        <v>1</v>
      </c>
      <c r="C47" s="24">
        <v>41.78</v>
      </c>
    </row>
    <row r="48" spans="1:3" x14ac:dyDescent="0.3">
      <c r="A48" s="26">
        <v>45999</v>
      </c>
      <c r="B48" s="27" t="s">
        <v>4</v>
      </c>
      <c r="C48" s="24">
        <v>-54.98</v>
      </c>
    </row>
    <row r="49" spans="1:3" x14ac:dyDescent="0.3">
      <c r="A49" s="26">
        <v>46017</v>
      </c>
      <c r="B49" s="27" t="s">
        <v>4</v>
      </c>
      <c r="C49" s="24">
        <v>-41.78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C1D08-36C1-4FCC-AA6A-3B76B09BCED0}">
  <dimension ref="A1:H53"/>
  <sheetViews>
    <sheetView view="pageBreakPreview" zoomScale="70" zoomScaleNormal="100" zoomScaleSheetLayoutView="70" workbookViewId="0">
      <selection activeCell="C38" sqref="C3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421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422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211.32000000000002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45897</v>
      </c>
      <c r="B5" s="32" t="s">
        <v>21</v>
      </c>
      <c r="C5" s="24">
        <v>41.54</v>
      </c>
      <c r="D5" s="30"/>
      <c r="E5" s="30"/>
      <c r="F5" s="30"/>
      <c r="G5" s="22"/>
    </row>
    <row r="6" spans="1:8" hidden="1" x14ac:dyDescent="0.3">
      <c r="A6" s="21">
        <v>45897</v>
      </c>
      <c r="B6" s="34" t="s">
        <v>1</v>
      </c>
      <c r="C6" s="24">
        <v>201.06</v>
      </c>
    </row>
    <row r="7" spans="1:8" hidden="1" x14ac:dyDescent="0.3">
      <c r="A7" s="21">
        <v>45904</v>
      </c>
      <c r="B7" s="27" t="s">
        <v>4</v>
      </c>
      <c r="C7" s="24">
        <v>-98.64</v>
      </c>
    </row>
    <row r="8" spans="1:8" hidden="1" x14ac:dyDescent="0.3">
      <c r="A8" s="26">
        <v>45911</v>
      </c>
      <c r="B8" s="27" t="s">
        <v>4</v>
      </c>
      <c r="C8" s="24">
        <v>-86.86</v>
      </c>
    </row>
    <row r="9" spans="1:8" hidden="1" x14ac:dyDescent="0.3">
      <c r="A9" s="26">
        <v>45912</v>
      </c>
      <c r="B9" s="27" t="s">
        <v>4</v>
      </c>
      <c r="C9" s="24">
        <v>-57.14</v>
      </c>
    </row>
    <row r="10" spans="1:8" x14ac:dyDescent="0.3">
      <c r="A10" s="26">
        <v>45916</v>
      </c>
      <c r="B10" s="32" t="s">
        <v>21</v>
      </c>
      <c r="C10" s="24">
        <v>56.55</v>
      </c>
    </row>
    <row r="11" spans="1:8" x14ac:dyDescent="0.3">
      <c r="A11" s="26">
        <v>45916</v>
      </c>
      <c r="B11" s="34" t="s">
        <v>1</v>
      </c>
      <c r="C11" s="24">
        <v>102.75</v>
      </c>
    </row>
    <row r="12" spans="1:8" x14ac:dyDescent="0.3">
      <c r="A12" s="26">
        <v>45938</v>
      </c>
      <c r="B12" s="27" t="s">
        <v>4</v>
      </c>
      <c r="C12" s="24">
        <v>-157.69</v>
      </c>
    </row>
    <row r="13" spans="1:8" x14ac:dyDescent="0.3">
      <c r="A13" s="26">
        <v>45938</v>
      </c>
      <c r="B13" s="32" t="s">
        <v>1</v>
      </c>
      <c r="C13" s="24">
        <v>13.5</v>
      </c>
    </row>
    <row r="14" spans="1:8" x14ac:dyDescent="0.3">
      <c r="A14" s="26">
        <v>45938</v>
      </c>
      <c r="B14" s="34" t="s">
        <v>1</v>
      </c>
      <c r="C14" s="24">
        <v>97.22</v>
      </c>
    </row>
    <row r="15" spans="1:8" x14ac:dyDescent="0.3">
      <c r="A15" s="26">
        <v>45947</v>
      </c>
      <c r="B15" s="27" t="s">
        <v>4</v>
      </c>
      <c r="C15" s="24">
        <v>-110.72</v>
      </c>
    </row>
    <row r="16" spans="1:8" x14ac:dyDescent="0.3">
      <c r="A16" s="26">
        <v>45951</v>
      </c>
      <c r="B16" s="32" t="s">
        <v>1</v>
      </c>
      <c r="C16" s="24">
        <v>50.96</v>
      </c>
    </row>
    <row r="17" spans="1:3" x14ac:dyDescent="0.3">
      <c r="A17" s="26">
        <v>45951</v>
      </c>
      <c r="B17" s="34" t="s">
        <v>1</v>
      </c>
      <c r="C17" s="24">
        <v>75.84</v>
      </c>
    </row>
    <row r="18" spans="1:3" x14ac:dyDescent="0.3">
      <c r="A18" s="26">
        <v>45958</v>
      </c>
      <c r="B18" s="27" t="s">
        <v>4</v>
      </c>
      <c r="C18" s="24">
        <v>-71</v>
      </c>
    </row>
    <row r="19" spans="1:3" x14ac:dyDescent="0.3">
      <c r="A19" s="26">
        <v>45964</v>
      </c>
      <c r="B19" s="27" t="s">
        <v>4</v>
      </c>
      <c r="C19" s="24">
        <v>-55.81</v>
      </c>
    </row>
    <row r="20" spans="1:3" x14ac:dyDescent="0.3">
      <c r="A20" s="26">
        <v>45965</v>
      </c>
      <c r="B20" s="32" t="s">
        <v>1</v>
      </c>
      <c r="C20" s="24">
        <v>9.1999999999999993</v>
      </c>
    </row>
    <row r="21" spans="1:3" x14ac:dyDescent="0.3">
      <c r="A21" s="26">
        <v>45965</v>
      </c>
      <c r="B21" s="34" t="s">
        <v>1</v>
      </c>
      <c r="C21" s="24">
        <v>134.18</v>
      </c>
    </row>
    <row r="22" spans="1:3" x14ac:dyDescent="0.3">
      <c r="A22" s="26">
        <v>45978</v>
      </c>
      <c r="B22" s="27" t="s">
        <v>4</v>
      </c>
      <c r="C22" s="24">
        <v>-143.38</v>
      </c>
    </row>
    <row r="23" spans="1:3" x14ac:dyDescent="0.3">
      <c r="A23" s="26">
        <v>45979</v>
      </c>
      <c r="B23" s="27" t="s">
        <v>1</v>
      </c>
      <c r="C23" s="24">
        <v>171.53</v>
      </c>
    </row>
    <row r="24" spans="1:3" x14ac:dyDescent="0.3">
      <c r="A24" s="26">
        <v>45992</v>
      </c>
      <c r="B24" s="27" t="s">
        <v>4</v>
      </c>
      <c r="C24" s="24">
        <v>-171.53</v>
      </c>
    </row>
    <row r="25" spans="1:3" x14ac:dyDescent="0.3">
      <c r="A25" s="26">
        <v>45993</v>
      </c>
      <c r="B25" s="27" t="s">
        <v>1</v>
      </c>
      <c r="C25" s="24">
        <v>161.1</v>
      </c>
    </row>
    <row r="26" spans="1:3" x14ac:dyDescent="0.3">
      <c r="A26" s="26">
        <v>46007</v>
      </c>
      <c r="B26" s="27" t="s">
        <v>4</v>
      </c>
      <c r="C26" s="24">
        <v>-161.1</v>
      </c>
    </row>
    <row r="27" spans="1:3" x14ac:dyDescent="0.3">
      <c r="A27" s="26">
        <v>46007</v>
      </c>
      <c r="B27" s="27" t="s">
        <v>1</v>
      </c>
      <c r="C27" s="24">
        <v>207.54</v>
      </c>
    </row>
    <row r="28" spans="1:3" x14ac:dyDescent="0.3">
      <c r="A28" s="26">
        <v>46013</v>
      </c>
      <c r="B28" s="27" t="s">
        <v>1</v>
      </c>
      <c r="C28" s="24">
        <v>64.64</v>
      </c>
    </row>
    <row r="29" spans="1:3" x14ac:dyDescent="0.3">
      <c r="A29" s="26">
        <v>46017</v>
      </c>
      <c r="B29" s="27" t="s">
        <v>4</v>
      </c>
      <c r="C29" s="24">
        <v>-135.54</v>
      </c>
    </row>
    <row r="30" spans="1:3" x14ac:dyDescent="0.3">
      <c r="A30" s="26">
        <v>46027</v>
      </c>
      <c r="B30" s="27" t="s">
        <v>4</v>
      </c>
      <c r="C30" s="24">
        <v>-64.64</v>
      </c>
    </row>
    <row r="31" spans="1:3" x14ac:dyDescent="0.3">
      <c r="A31" s="26">
        <v>46028</v>
      </c>
      <c r="B31" s="27" t="s">
        <v>4</v>
      </c>
      <c r="C31" s="24">
        <v>-72</v>
      </c>
    </row>
    <row r="32" spans="1:3" x14ac:dyDescent="0.3">
      <c r="A32" s="26">
        <v>46028</v>
      </c>
      <c r="B32" s="27" t="s">
        <v>1</v>
      </c>
      <c r="C32" s="24">
        <v>161.78</v>
      </c>
    </row>
    <row r="33" spans="1:3" x14ac:dyDescent="0.3">
      <c r="A33" s="26">
        <v>46031</v>
      </c>
      <c r="B33" s="27" t="s">
        <v>4</v>
      </c>
      <c r="C33" s="24">
        <v>-79.900000000000006</v>
      </c>
    </row>
    <row r="34" spans="1:3" x14ac:dyDescent="0.3">
      <c r="A34" s="26">
        <v>46035</v>
      </c>
      <c r="B34" s="27" t="s">
        <v>4</v>
      </c>
      <c r="C34" s="24">
        <v>-81.88</v>
      </c>
    </row>
    <row r="35" spans="1:3" x14ac:dyDescent="0.3">
      <c r="A35" s="26">
        <v>46035</v>
      </c>
      <c r="B35" s="27" t="s">
        <v>1</v>
      </c>
      <c r="C35" s="24">
        <v>67.400000000000006</v>
      </c>
    </row>
    <row r="36" spans="1:3" x14ac:dyDescent="0.3">
      <c r="A36" s="26">
        <v>46048</v>
      </c>
      <c r="B36" s="27" t="s">
        <v>4</v>
      </c>
      <c r="C36" s="24">
        <v>-67.400000000000006</v>
      </c>
    </row>
    <row r="37" spans="1:3" x14ac:dyDescent="0.3">
      <c r="A37" s="26">
        <v>46049</v>
      </c>
      <c r="B37" s="27" t="s">
        <v>1</v>
      </c>
      <c r="C37" s="24">
        <v>209.76</v>
      </c>
    </row>
    <row r="38" spans="1:3" x14ac:dyDescent="0.3">
      <c r="B38" s="32"/>
    </row>
    <row r="39" spans="1:3" x14ac:dyDescent="0.3">
      <c r="B39" s="34"/>
    </row>
    <row r="43" spans="1:3" x14ac:dyDescent="0.3">
      <c r="B43" s="32"/>
    </row>
    <row r="44" spans="1:3" x14ac:dyDescent="0.3">
      <c r="B44" s="34"/>
    </row>
    <row r="45" spans="1:3" x14ac:dyDescent="0.3">
      <c r="B45" s="46"/>
    </row>
    <row r="48" spans="1:3" x14ac:dyDescent="0.3">
      <c r="B48" s="34"/>
    </row>
    <row r="49" spans="2:2" x14ac:dyDescent="0.3">
      <c r="B49" s="46"/>
    </row>
    <row r="53" spans="2:2" x14ac:dyDescent="0.3">
      <c r="B53" s="34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88E2C-17C2-4063-A444-2E5B56D7F3B8}">
  <sheetPr codeName="Hoja151"/>
  <dimension ref="A1:H86"/>
  <sheetViews>
    <sheetView view="pageBreakPreview" zoomScale="80" zoomScaleNormal="100" zoomScaleSheetLayoutView="80" workbookViewId="0">
      <selection activeCell="A7" sqref="A7:C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290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45828</v>
      </c>
      <c r="B5" s="32" t="s">
        <v>21</v>
      </c>
      <c r="C5" s="24">
        <v>35.85</v>
      </c>
      <c r="D5" s="30"/>
      <c r="E5" s="30"/>
      <c r="F5" s="30"/>
      <c r="G5" s="22"/>
    </row>
    <row r="6" spans="1:8" x14ac:dyDescent="0.3">
      <c r="A6" s="21">
        <v>45831</v>
      </c>
      <c r="B6" s="27" t="s">
        <v>4</v>
      </c>
      <c r="C6" s="24">
        <v>-35.85</v>
      </c>
    </row>
    <row r="9" spans="1:8" x14ac:dyDescent="0.3">
      <c r="B9" s="32"/>
    </row>
    <row r="10" spans="1:8" x14ac:dyDescent="0.3">
      <c r="B10" s="34"/>
    </row>
    <row r="12" spans="1:8" x14ac:dyDescent="0.3">
      <c r="B12" s="32"/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471E1-91B7-41A9-B4B3-775D6A829257}">
  <sheetPr codeName="Hoja55"/>
  <dimension ref="A1:N128"/>
  <sheetViews>
    <sheetView view="pageBreakPreview" topLeftCell="A105" zoomScale="90" zoomScaleNormal="100" zoomScaleSheetLayoutView="90" workbookViewId="0">
      <selection activeCell="C129" sqref="C12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117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7.8900000000000503</v>
      </c>
      <c r="D3" s="20">
        <f>SUM(D$4:D$1048576)</f>
        <v>1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45815</v>
      </c>
      <c r="B5" s="32" t="s">
        <v>21</v>
      </c>
      <c r="C5" s="24">
        <v>15.4</v>
      </c>
      <c r="D5" s="30"/>
      <c r="E5" s="30"/>
      <c r="F5" s="30"/>
      <c r="G5" s="22"/>
    </row>
    <row r="6" spans="1:9" hidden="1" x14ac:dyDescent="0.3">
      <c r="A6" s="21">
        <v>45815</v>
      </c>
      <c r="B6" s="34" t="s">
        <v>21</v>
      </c>
      <c r="C6" s="24">
        <v>25.37</v>
      </c>
    </row>
    <row r="7" spans="1:9" hidden="1" x14ac:dyDescent="0.3">
      <c r="A7" s="21">
        <v>45815</v>
      </c>
      <c r="B7" s="46" t="s">
        <v>21</v>
      </c>
      <c r="C7" s="24">
        <v>8.16</v>
      </c>
    </row>
    <row r="8" spans="1:9" hidden="1" x14ac:dyDescent="0.3">
      <c r="A8" s="26">
        <v>45825</v>
      </c>
      <c r="B8" s="27" t="s">
        <v>4</v>
      </c>
      <c r="C8" s="24">
        <v>-48.93</v>
      </c>
    </row>
    <row r="9" spans="1:9" hidden="1" x14ac:dyDescent="0.3">
      <c r="A9" s="26">
        <v>45828</v>
      </c>
      <c r="B9" s="34" t="s">
        <v>21</v>
      </c>
      <c r="C9" s="24">
        <v>47.57</v>
      </c>
    </row>
    <row r="10" spans="1:9" hidden="1" x14ac:dyDescent="0.3">
      <c r="A10" s="26">
        <v>45828</v>
      </c>
      <c r="B10" s="46" t="s">
        <v>21</v>
      </c>
      <c r="C10" s="24">
        <v>5.44</v>
      </c>
    </row>
    <row r="11" spans="1:9" hidden="1" x14ac:dyDescent="0.3">
      <c r="A11" s="26">
        <v>45828</v>
      </c>
      <c r="B11" s="27" t="s">
        <v>1</v>
      </c>
      <c r="C11" s="24">
        <v>20.8</v>
      </c>
    </row>
    <row r="12" spans="1:9" hidden="1" x14ac:dyDescent="0.3">
      <c r="A12" s="26">
        <v>45831</v>
      </c>
      <c r="B12" s="27" t="s">
        <v>4</v>
      </c>
      <c r="C12" s="24">
        <v>-33.81</v>
      </c>
    </row>
    <row r="13" spans="1:9" hidden="1" x14ac:dyDescent="0.3">
      <c r="A13" s="26">
        <v>45832</v>
      </c>
      <c r="B13" s="31" t="s">
        <v>4</v>
      </c>
      <c r="C13" s="24">
        <v>-35</v>
      </c>
    </row>
    <row r="14" spans="1:9" hidden="1" x14ac:dyDescent="0.3">
      <c r="A14" s="26">
        <v>45835</v>
      </c>
      <c r="B14" s="27" t="s">
        <v>4</v>
      </c>
      <c r="C14" s="24">
        <v>-10.67</v>
      </c>
      <c r="I14" s="18">
        <v>5.67</v>
      </c>
    </row>
    <row r="15" spans="1:9" hidden="1" x14ac:dyDescent="0.3">
      <c r="A15" s="26">
        <v>45835</v>
      </c>
      <c r="B15" s="27" t="s">
        <v>1</v>
      </c>
      <c r="C15" s="24">
        <v>20.8</v>
      </c>
    </row>
    <row r="16" spans="1:9" hidden="1" x14ac:dyDescent="0.3">
      <c r="A16" s="26">
        <v>45835</v>
      </c>
      <c r="B16" s="32" t="s">
        <v>21</v>
      </c>
      <c r="C16" s="24">
        <v>9.84</v>
      </c>
    </row>
    <row r="17" spans="1:9" hidden="1" x14ac:dyDescent="0.3">
      <c r="A17" s="26">
        <v>45835</v>
      </c>
      <c r="B17" s="34" t="s">
        <v>21</v>
      </c>
      <c r="C17" s="24">
        <v>33.24</v>
      </c>
    </row>
    <row r="18" spans="1:9" hidden="1" x14ac:dyDescent="0.3">
      <c r="A18" s="26">
        <v>45835</v>
      </c>
      <c r="B18" s="46" t="s">
        <v>21</v>
      </c>
      <c r="C18" s="24">
        <v>10.79</v>
      </c>
    </row>
    <row r="19" spans="1:9" hidden="1" x14ac:dyDescent="0.3">
      <c r="A19" s="26">
        <v>45839</v>
      </c>
      <c r="B19" s="27" t="s">
        <v>4</v>
      </c>
      <c r="C19" s="24">
        <v>-17</v>
      </c>
    </row>
    <row r="20" spans="1:9" hidden="1" x14ac:dyDescent="0.3">
      <c r="A20" s="26">
        <v>45841</v>
      </c>
      <c r="B20" s="27" t="s">
        <v>4</v>
      </c>
      <c r="C20" s="24">
        <v>-10</v>
      </c>
    </row>
    <row r="21" spans="1:9" hidden="1" x14ac:dyDescent="0.3">
      <c r="A21" s="26">
        <v>45842</v>
      </c>
      <c r="B21" s="34" t="s">
        <v>21</v>
      </c>
      <c r="C21" s="24">
        <v>18.48</v>
      </c>
    </row>
    <row r="22" spans="1:9" hidden="1" x14ac:dyDescent="0.3">
      <c r="A22" s="26">
        <v>45842</v>
      </c>
      <c r="B22" s="46" t="s">
        <v>21</v>
      </c>
      <c r="C22" s="24">
        <v>8.16</v>
      </c>
    </row>
    <row r="23" spans="1:9" hidden="1" x14ac:dyDescent="0.3">
      <c r="A23" s="26">
        <v>45842</v>
      </c>
      <c r="B23" s="27" t="s">
        <v>1</v>
      </c>
      <c r="C23" s="24">
        <v>41.6</v>
      </c>
    </row>
    <row r="24" spans="1:9" hidden="1" x14ac:dyDescent="0.3">
      <c r="A24" s="26">
        <v>45846</v>
      </c>
      <c r="B24" s="27" t="s">
        <v>4</v>
      </c>
      <c r="C24" s="24">
        <v>-42</v>
      </c>
    </row>
    <row r="25" spans="1:9" hidden="1" x14ac:dyDescent="0.3">
      <c r="A25" s="26">
        <v>45849</v>
      </c>
      <c r="B25" s="27" t="s">
        <v>4</v>
      </c>
      <c r="C25" s="24">
        <v>-68.209999999999994</v>
      </c>
    </row>
    <row r="26" spans="1:9" hidden="1" x14ac:dyDescent="0.3">
      <c r="A26" s="26">
        <v>45849</v>
      </c>
      <c r="B26" s="34" t="s">
        <v>21</v>
      </c>
      <c r="C26" s="24">
        <v>13.35</v>
      </c>
    </row>
    <row r="27" spans="1:9" hidden="1" x14ac:dyDescent="0.3">
      <c r="A27" s="26">
        <v>45849</v>
      </c>
      <c r="B27" s="27" t="s">
        <v>1</v>
      </c>
      <c r="C27" s="24">
        <v>41.6</v>
      </c>
    </row>
    <row r="28" spans="1:9" hidden="1" x14ac:dyDescent="0.3">
      <c r="A28" s="26">
        <v>45856</v>
      </c>
      <c r="B28" s="27" t="s">
        <v>4</v>
      </c>
      <c r="C28" s="24">
        <v>-54.95</v>
      </c>
      <c r="I28" s="18">
        <v>0</v>
      </c>
    </row>
    <row r="29" spans="1:9" hidden="1" x14ac:dyDescent="0.3">
      <c r="A29" s="26">
        <v>45856</v>
      </c>
      <c r="B29" s="32" t="s">
        <v>21</v>
      </c>
      <c r="C29" s="24">
        <v>15.85</v>
      </c>
    </row>
    <row r="30" spans="1:9" hidden="1" x14ac:dyDescent="0.3">
      <c r="A30" s="26">
        <v>45856</v>
      </c>
      <c r="B30" s="46" t="s">
        <v>21</v>
      </c>
      <c r="C30" s="24">
        <v>8.16</v>
      </c>
    </row>
    <row r="31" spans="1:9" hidden="1" x14ac:dyDescent="0.3">
      <c r="A31" s="26">
        <v>45856</v>
      </c>
      <c r="B31" s="27" t="s">
        <v>1</v>
      </c>
      <c r="C31" s="24">
        <v>20.8</v>
      </c>
    </row>
    <row r="32" spans="1:9" hidden="1" x14ac:dyDescent="0.3">
      <c r="A32" s="26">
        <v>45856</v>
      </c>
      <c r="B32" s="34" t="s">
        <v>21</v>
      </c>
      <c r="C32" s="24">
        <v>44.94</v>
      </c>
    </row>
    <row r="33" spans="1:9" hidden="1" x14ac:dyDescent="0.3">
      <c r="A33" s="26">
        <v>45863</v>
      </c>
      <c r="B33" s="27" t="s">
        <v>4</v>
      </c>
      <c r="C33" s="24">
        <v>-58</v>
      </c>
    </row>
    <row r="34" spans="1:9" hidden="1" x14ac:dyDescent="0.3">
      <c r="A34" s="26">
        <v>45863</v>
      </c>
      <c r="B34" s="32" t="s">
        <v>21</v>
      </c>
      <c r="C34" s="24">
        <v>7.5</v>
      </c>
    </row>
    <row r="35" spans="1:9" hidden="1" x14ac:dyDescent="0.3">
      <c r="A35" s="26">
        <v>45863</v>
      </c>
      <c r="B35" s="34" t="s">
        <v>21</v>
      </c>
      <c r="C35" s="24">
        <v>58.86</v>
      </c>
    </row>
    <row r="36" spans="1:9" hidden="1" x14ac:dyDescent="0.3">
      <c r="A36" s="26">
        <v>45866</v>
      </c>
      <c r="B36" s="27" t="s">
        <v>4</v>
      </c>
      <c r="C36" s="24">
        <v>-31.75</v>
      </c>
    </row>
    <row r="37" spans="1:9" hidden="1" x14ac:dyDescent="0.3">
      <c r="A37" s="26">
        <v>45873</v>
      </c>
      <c r="B37" s="27" t="s">
        <v>4</v>
      </c>
      <c r="C37" s="24">
        <v>-107.6</v>
      </c>
    </row>
    <row r="38" spans="1:9" hidden="1" x14ac:dyDescent="0.3">
      <c r="A38" s="26">
        <v>45870</v>
      </c>
      <c r="B38" s="32" t="s">
        <v>21</v>
      </c>
      <c r="C38" s="24">
        <v>9.84</v>
      </c>
    </row>
    <row r="39" spans="1:9" hidden="1" x14ac:dyDescent="0.3">
      <c r="A39" s="26">
        <v>45870</v>
      </c>
      <c r="B39" s="34" t="s">
        <v>21</v>
      </c>
      <c r="C39" s="24">
        <v>32.33</v>
      </c>
    </row>
    <row r="40" spans="1:9" hidden="1" x14ac:dyDescent="0.3">
      <c r="A40" s="26">
        <v>45870</v>
      </c>
      <c r="B40" s="27" t="s">
        <v>1</v>
      </c>
      <c r="C40" s="24">
        <v>41.6</v>
      </c>
    </row>
    <row r="41" spans="1:9" hidden="1" x14ac:dyDescent="0.3">
      <c r="A41" s="26">
        <v>45874</v>
      </c>
      <c r="B41" s="27" t="s">
        <v>4</v>
      </c>
      <c r="C41" s="24">
        <v>-36</v>
      </c>
    </row>
    <row r="42" spans="1:9" hidden="1" x14ac:dyDescent="0.3">
      <c r="A42" s="26">
        <v>45876</v>
      </c>
      <c r="B42" s="27" t="s">
        <v>4</v>
      </c>
      <c r="C42" s="24">
        <v>-15</v>
      </c>
    </row>
    <row r="43" spans="1:9" hidden="1" x14ac:dyDescent="0.3">
      <c r="A43" s="26">
        <v>45877</v>
      </c>
      <c r="B43" s="32" t="s">
        <v>21</v>
      </c>
      <c r="C43" s="24">
        <v>7.5</v>
      </c>
      <c r="I43" s="18">
        <v>-0.94</v>
      </c>
    </row>
    <row r="44" spans="1:9" hidden="1" x14ac:dyDescent="0.3">
      <c r="A44" s="26">
        <v>45877</v>
      </c>
      <c r="B44" s="34" t="s">
        <v>21</v>
      </c>
      <c r="C44" s="24">
        <v>57.02</v>
      </c>
    </row>
    <row r="45" spans="1:9" hidden="1" x14ac:dyDescent="0.3">
      <c r="A45" s="26">
        <v>45877</v>
      </c>
      <c r="B45" s="46" t="s">
        <v>21</v>
      </c>
      <c r="C45" s="24">
        <v>5.91</v>
      </c>
    </row>
    <row r="46" spans="1:9" hidden="1" x14ac:dyDescent="0.3">
      <c r="A46" s="26">
        <v>45877</v>
      </c>
      <c r="B46" s="27" t="s">
        <v>1</v>
      </c>
      <c r="C46" s="24">
        <v>20.8</v>
      </c>
    </row>
    <row r="47" spans="1:9" hidden="1" x14ac:dyDescent="0.3">
      <c r="A47" s="26">
        <v>45880</v>
      </c>
      <c r="B47" s="27" t="s">
        <v>4</v>
      </c>
      <c r="C47" s="24">
        <v>-56.54</v>
      </c>
    </row>
    <row r="48" spans="1:9" hidden="1" x14ac:dyDescent="0.3">
      <c r="A48" s="26">
        <v>45884</v>
      </c>
      <c r="B48" s="34" t="s">
        <v>21</v>
      </c>
      <c r="C48" s="24">
        <v>37.67</v>
      </c>
    </row>
    <row r="49" spans="1:9" hidden="1" x14ac:dyDescent="0.3">
      <c r="A49" s="26">
        <v>45884</v>
      </c>
      <c r="B49" s="46" t="s">
        <v>21</v>
      </c>
      <c r="C49" s="24">
        <v>8.16</v>
      </c>
    </row>
    <row r="50" spans="1:9" hidden="1" x14ac:dyDescent="0.3">
      <c r="A50" s="26">
        <v>45884</v>
      </c>
      <c r="B50" s="27" t="s">
        <v>1</v>
      </c>
      <c r="C50" s="24">
        <v>20.8</v>
      </c>
    </row>
    <row r="51" spans="1:9" hidden="1" x14ac:dyDescent="0.3">
      <c r="A51" s="26">
        <v>45887</v>
      </c>
      <c r="B51" s="27" t="s">
        <v>4</v>
      </c>
      <c r="C51" s="24">
        <v>-81.319999999999993</v>
      </c>
    </row>
    <row r="52" spans="1:9" hidden="1" x14ac:dyDescent="0.3">
      <c r="A52" s="26">
        <v>45887</v>
      </c>
      <c r="B52" s="27" t="s">
        <v>4</v>
      </c>
      <c r="C52" s="24">
        <v>-10</v>
      </c>
      <c r="I52" s="18">
        <v>1.56</v>
      </c>
    </row>
    <row r="53" spans="1:9" hidden="1" x14ac:dyDescent="0.3">
      <c r="A53" s="26">
        <v>45891</v>
      </c>
      <c r="B53" s="34" t="s">
        <v>21</v>
      </c>
      <c r="C53" s="24">
        <v>72.319999999999993</v>
      </c>
    </row>
    <row r="54" spans="1:9" hidden="1" x14ac:dyDescent="0.3">
      <c r="A54" s="26">
        <v>45898</v>
      </c>
      <c r="B54" s="27" t="s">
        <v>7</v>
      </c>
      <c r="C54" s="24">
        <v>-30</v>
      </c>
    </row>
    <row r="55" spans="1:9" hidden="1" x14ac:dyDescent="0.3">
      <c r="A55" s="26">
        <v>45898</v>
      </c>
      <c r="B55" s="34" t="s">
        <v>21</v>
      </c>
      <c r="C55" s="24">
        <v>41.66</v>
      </c>
    </row>
    <row r="56" spans="1:9" hidden="1" x14ac:dyDescent="0.3">
      <c r="A56" s="26">
        <v>45902</v>
      </c>
      <c r="B56" s="27" t="s">
        <v>4</v>
      </c>
      <c r="C56" s="24">
        <v>-15.88</v>
      </c>
    </row>
    <row r="57" spans="1:9" hidden="1" x14ac:dyDescent="0.3">
      <c r="A57" s="26">
        <v>45905</v>
      </c>
      <c r="B57" s="32" t="s">
        <v>21</v>
      </c>
      <c r="C57" s="24">
        <v>17.34</v>
      </c>
    </row>
    <row r="58" spans="1:9" hidden="1" x14ac:dyDescent="0.3">
      <c r="A58" s="26">
        <v>45905</v>
      </c>
      <c r="B58" s="34" t="s">
        <v>21</v>
      </c>
      <c r="C58" s="24">
        <v>41.33</v>
      </c>
    </row>
    <row r="59" spans="1:9" hidden="1" x14ac:dyDescent="0.3">
      <c r="A59" s="26">
        <v>45905</v>
      </c>
      <c r="B59" s="46" t="s">
        <v>21</v>
      </c>
      <c r="C59" s="24">
        <v>23.94</v>
      </c>
    </row>
    <row r="60" spans="1:9" hidden="1" x14ac:dyDescent="0.3">
      <c r="A60" s="26">
        <v>45912</v>
      </c>
      <c r="B60" s="27" t="s">
        <v>7</v>
      </c>
      <c r="C60" s="24">
        <v>-36</v>
      </c>
    </row>
    <row r="61" spans="1:9" hidden="1" x14ac:dyDescent="0.3">
      <c r="A61" s="26">
        <v>45912</v>
      </c>
      <c r="B61" s="34" t="s">
        <v>21</v>
      </c>
      <c r="C61" s="24">
        <v>40.53</v>
      </c>
    </row>
    <row r="62" spans="1:9" hidden="1" x14ac:dyDescent="0.3">
      <c r="A62" s="26">
        <v>45912</v>
      </c>
      <c r="B62" s="27" t="s">
        <v>1</v>
      </c>
      <c r="C62" s="24">
        <v>20.8</v>
      </c>
    </row>
    <row r="63" spans="1:9" hidden="1" x14ac:dyDescent="0.3">
      <c r="A63" s="26">
        <v>45916</v>
      </c>
      <c r="B63" s="27" t="s">
        <v>4</v>
      </c>
      <c r="C63" s="24">
        <v>-49.86</v>
      </c>
    </row>
    <row r="64" spans="1:9" hidden="1" x14ac:dyDescent="0.3">
      <c r="A64" s="26">
        <v>45917</v>
      </c>
      <c r="B64" s="27" t="s">
        <v>4</v>
      </c>
      <c r="C64" s="24">
        <v>-20</v>
      </c>
    </row>
    <row r="65" spans="1:9" hidden="1" x14ac:dyDescent="0.3">
      <c r="A65" s="26">
        <v>45919</v>
      </c>
      <c r="B65" s="27" t="s">
        <v>4</v>
      </c>
      <c r="C65" s="24">
        <v>-25.16</v>
      </c>
    </row>
    <row r="66" spans="1:9" hidden="1" x14ac:dyDescent="0.3">
      <c r="A66" s="26">
        <v>45919</v>
      </c>
      <c r="B66" s="34" t="s">
        <v>21</v>
      </c>
      <c r="C66" s="24">
        <v>37.340000000000003</v>
      </c>
    </row>
    <row r="67" spans="1:9" hidden="1" x14ac:dyDescent="0.3">
      <c r="A67" s="26">
        <v>45919</v>
      </c>
      <c r="B67" s="46" t="s">
        <v>21</v>
      </c>
      <c r="C67" s="24">
        <v>5.84</v>
      </c>
    </row>
    <row r="68" spans="1:9" hidden="1" x14ac:dyDescent="0.3">
      <c r="A68" s="26">
        <v>45919</v>
      </c>
      <c r="B68" s="27" t="s">
        <v>1</v>
      </c>
      <c r="C68" s="24">
        <v>20.8</v>
      </c>
    </row>
    <row r="69" spans="1:9" hidden="1" x14ac:dyDescent="0.3">
      <c r="A69" s="26">
        <v>45922</v>
      </c>
      <c r="B69" s="27" t="s">
        <v>4</v>
      </c>
      <c r="C69" s="24">
        <v>-19.8</v>
      </c>
    </row>
    <row r="70" spans="1:9" hidden="1" x14ac:dyDescent="0.3">
      <c r="A70" s="26">
        <v>45925</v>
      </c>
      <c r="B70" s="27" t="s">
        <v>4</v>
      </c>
      <c r="C70" s="24">
        <v>-61.76</v>
      </c>
    </row>
    <row r="71" spans="1:9" hidden="1" x14ac:dyDescent="0.3">
      <c r="A71" s="26">
        <v>45925</v>
      </c>
      <c r="B71" s="27" t="s">
        <v>4</v>
      </c>
      <c r="C71" s="24">
        <v>-15</v>
      </c>
    </row>
    <row r="72" spans="1:9" ht="14.4" hidden="1" thickBot="1" x14ac:dyDescent="0.35">
      <c r="A72" s="111">
        <v>45926</v>
      </c>
      <c r="B72" s="112" t="s">
        <v>4</v>
      </c>
      <c r="C72" s="113">
        <v>-50</v>
      </c>
      <c r="D72" s="114"/>
      <c r="E72" s="114"/>
      <c r="F72" s="114"/>
      <c r="G72" s="113"/>
      <c r="I72" s="18">
        <v>0</v>
      </c>
    </row>
    <row r="73" spans="1:9" x14ac:dyDescent="0.3">
      <c r="A73" s="21">
        <v>45926</v>
      </c>
      <c r="B73" s="34" t="s">
        <v>21</v>
      </c>
      <c r="C73" s="93">
        <v>44.26</v>
      </c>
      <c r="D73" s="30"/>
      <c r="E73" s="30"/>
      <c r="F73" s="30"/>
      <c r="G73" s="22"/>
    </row>
    <row r="74" spans="1:9" x14ac:dyDescent="0.3">
      <c r="A74" s="26">
        <v>45926</v>
      </c>
      <c r="B74" s="46" t="s">
        <v>21</v>
      </c>
      <c r="C74" s="94">
        <v>18.18</v>
      </c>
    </row>
    <row r="75" spans="1:9" x14ac:dyDescent="0.3">
      <c r="A75" s="26">
        <v>45926</v>
      </c>
      <c r="B75" s="27" t="s">
        <v>1</v>
      </c>
      <c r="C75" s="94">
        <v>41.6</v>
      </c>
    </row>
    <row r="76" spans="1:9" x14ac:dyDescent="0.3">
      <c r="A76" s="26">
        <v>45933</v>
      </c>
      <c r="B76" s="27" t="s">
        <v>4</v>
      </c>
      <c r="C76" s="94">
        <v>-12.82</v>
      </c>
    </row>
    <row r="77" spans="1:9" x14ac:dyDescent="0.3">
      <c r="A77" s="26">
        <v>45933</v>
      </c>
      <c r="B77" s="27" t="s">
        <v>7</v>
      </c>
      <c r="C77" s="94">
        <v>-41.54</v>
      </c>
      <c r="I77" s="87">
        <f>SUM(C73:C77)</f>
        <v>49.68</v>
      </c>
    </row>
    <row r="78" spans="1:9" x14ac:dyDescent="0.3">
      <c r="A78" s="26">
        <v>45933</v>
      </c>
      <c r="B78" s="34" t="s">
        <v>21</v>
      </c>
      <c r="C78" s="106">
        <v>34.21</v>
      </c>
    </row>
    <row r="79" spans="1:9" x14ac:dyDescent="0.3">
      <c r="A79" s="26">
        <v>45933</v>
      </c>
      <c r="B79" s="46" t="s">
        <v>21</v>
      </c>
      <c r="C79" s="106">
        <v>6.92</v>
      </c>
    </row>
    <row r="80" spans="1:9" x14ac:dyDescent="0.3">
      <c r="A80" s="26">
        <v>45933</v>
      </c>
      <c r="B80" s="27" t="s">
        <v>1</v>
      </c>
      <c r="C80" s="106">
        <v>41.6</v>
      </c>
    </row>
    <row r="81" spans="1:9" x14ac:dyDescent="0.3">
      <c r="A81" s="26">
        <v>45939</v>
      </c>
      <c r="B81" s="27" t="s">
        <v>4</v>
      </c>
      <c r="C81" s="106">
        <v>-32</v>
      </c>
    </row>
    <row r="82" spans="1:9" x14ac:dyDescent="0.3">
      <c r="A82" s="26">
        <v>45940</v>
      </c>
      <c r="B82" s="27" t="s">
        <v>7</v>
      </c>
      <c r="C82" s="106">
        <v>-22</v>
      </c>
      <c r="I82" s="87">
        <f>SUM(C78:C82)</f>
        <v>28.730000000000004</v>
      </c>
    </row>
    <row r="83" spans="1:9" x14ac:dyDescent="0.3">
      <c r="A83" s="26">
        <v>45940</v>
      </c>
      <c r="B83" s="32" t="s">
        <v>21</v>
      </c>
      <c r="C83" s="107">
        <v>21.84</v>
      </c>
    </row>
    <row r="84" spans="1:9" x14ac:dyDescent="0.3">
      <c r="A84" s="26">
        <v>45940</v>
      </c>
      <c r="B84" s="34" t="s">
        <v>21</v>
      </c>
      <c r="C84" s="107">
        <v>44.9</v>
      </c>
    </row>
    <row r="85" spans="1:9" x14ac:dyDescent="0.3">
      <c r="A85" s="26">
        <v>45940</v>
      </c>
      <c r="B85" s="46" t="s">
        <v>21</v>
      </c>
      <c r="C85" s="107">
        <v>10.38</v>
      </c>
    </row>
    <row r="86" spans="1:9" x14ac:dyDescent="0.3">
      <c r="A86" s="26">
        <v>45940</v>
      </c>
      <c r="B86" s="27" t="s">
        <v>1</v>
      </c>
      <c r="C86" s="107">
        <v>46</v>
      </c>
    </row>
    <row r="87" spans="1:9" x14ac:dyDescent="0.3">
      <c r="A87" s="26">
        <v>45947</v>
      </c>
      <c r="B87" s="27" t="s">
        <v>4</v>
      </c>
      <c r="C87" s="107">
        <v>-13.62</v>
      </c>
    </row>
    <row r="88" spans="1:9" x14ac:dyDescent="0.3">
      <c r="A88" s="26">
        <v>45947</v>
      </c>
      <c r="B88" s="27" t="s">
        <v>7</v>
      </c>
      <c r="C88" s="107">
        <v>-101.15</v>
      </c>
      <c r="I88" s="87">
        <f>SUM(C83:C88)</f>
        <v>8.3499999999999801</v>
      </c>
    </row>
    <row r="89" spans="1:9" x14ac:dyDescent="0.3">
      <c r="A89" s="26">
        <v>45947</v>
      </c>
      <c r="B89" s="32" t="s">
        <v>21</v>
      </c>
      <c r="C89" s="42">
        <v>16.38</v>
      </c>
    </row>
    <row r="90" spans="1:9" x14ac:dyDescent="0.3">
      <c r="A90" s="26">
        <v>45947</v>
      </c>
      <c r="B90" s="34" t="s">
        <v>21</v>
      </c>
      <c r="C90" s="42">
        <v>60.81</v>
      </c>
    </row>
    <row r="91" spans="1:9" x14ac:dyDescent="0.3">
      <c r="A91" s="26">
        <v>45947</v>
      </c>
      <c r="B91" s="46" t="s">
        <v>21</v>
      </c>
      <c r="C91" s="42">
        <v>14.76</v>
      </c>
    </row>
    <row r="92" spans="1:9" x14ac:dyDescent="0.3">
      <c r="A92" s="26">
        <v>45947</v>
      </c>
      <c r="B92" s="27" t="s">
        <v>1</v>
      </c>
      <c r="C92" s="42">
        <v>46</v>
      </c>
    </row>
    <row r="93" spans="1:9" x14ac:dyDescent="0.3">
      <c r="A93" s="26">
        <v>45951</v>
      </c>
      <c r="B93" s="27" t="s">
        <v>4</v>
      </c>
      <c r="C93" s="42">
        <v>-65.95</v>
      </c>
    </row>
    <row r="94" spans="1:9" x14ac:dyDescent="0.3">
      <c r="A94" s="26">
        <v>45952</v>
      </c>
      <c r="B94" s="27" t="s">
        <v>4</v>
      </c>
      <c r="C94" s="42">
        <v>-72</v>
      </c>
      <c r="I94" s="87">
        <f>SUM(C89:C94)</f>
        <v>0</v>
      </c>
    </row>
    <row r="95" spans="1:9" x14ac:dyDescent="0.3">
      <c r="A95" s="26">
        <v>45954</v>
      </c>
      <c r="B95" s="32" t="s">
        <v>21</v>
      </c>
      <c r="C95" s="108">
        <v>7.5</v>
      </c>
    </row>
    <row r="96" spans="1:9" x14ac:dyDescent="0.3">
      <c r="A96" s="26">
        <v>45954</v>
      </c>
      <c r="B96" s="34" t="s">
        <v>21</v>
      </c>
      <c r="C96" s="108">
        <v>26.91</v>
      </c>
    </row>
    <row r="97" spans="1:14" x14ac:dyDescent="0.3">
      <c r="A97" s="26">
        <v>45954</v>
      </c>
      <c r="B97" s="46" t="s">
        <v>21</v>
      </c>
      <c r="C97" s="108">
        <v>2.92</v>
      </c>
    </row>
    <row r="98" spans="1:14" x14ac:dyDescent="0.3">
      <c r="A98" s="26">
        <v>45954</v>
      </c>
      <c r="B98" s="27" t="s">
        <v>1</v>
      </c>
      <c r="C98" s="108">
        <v>46</v>
      </c>
    </row>
    <row r="99" spans="1:14" x14ac:dyDescent="0.3">
      <c r="A99" s="26">
        <v>45958</v>
      </c>
      <c r="B99" s="27" t="s">
        <v>4</v>
      </c>
      <c r="C99" s="108">
        <v>-44.33</v>
      </c>
      <c r="I99" s="87">
        <f>SUM(C95:C99)</f>
        <v>39</v>
      </c>
    </row>
    <row r="100" spans="1:14" x14ac:dyDescent="0.3">
      <c r="A100" s="26">
        <v>45959</v>
      </c>
      <c r="B100" s="27" t="s">
        <v>1</v>
      </c>
      <c r="C100" s="109">
        <v>69</v>
      </c>
    </row>
    <row r="101" spans="1:14" x14ac:dyDescent="0.3">
      <c r="A101" s="26">
        <v>45961</v>
      </c>
      <c r="B101" s="27" t="s">
        <v>4</v>
      </c>
      <c r="C101" s="109">
        <v>-11</v>
      </c>
    </row>
    <row r="102" spans="1:14" x14ac:dyDescent="0.3">
      <c r="A102" s="26">
        <v>45961</v>
      </c>
      <c r="B102" s="27" t="s">
        <v>7</v>
      </c>
      <c r="C102" s="109">
        <v>-28</v>
      </c>
      <c r="I102" s="87">
        <f>SUM(C100:C102)</f>
        <v>30</v>
      </c>
    </row>
    <row r="103" spans="1:14" x14ac:dyDescent="0.3">
      <c r="A103" s="26">
        <v>45961</v>
      </c>
      <c r="B103" s="32" t="s">
        <v>21</v>
      </c>
      <c r="C103" s="106">
        <v>9.84</v>
      </c>
    </row>
    <row r="104" spans="1:14" x14ac:dyDescent="0.3">
      <c r="A104" s="26">
        <v>45961</v>
      </c>
      <c r="B104" s="34" t="s">
        <v>21</v>
      </c>
      <c r="C104" s="106">
        <v>39.869999999999997</v>
      </c>
    </row>
    <row r="105" spans="1:14" x14ac:dyDescent="0.3">
      <c r="A105" s="26">
        <v>45961</v>
      </c>
      <c r="B105" s="46" t="s">
        <v>21</v>
      </c>
      <c r="C105" s="106">
        <v>6.92</v>
      </c>
    </row>
    <row r="106" spans="1:14" x14ac:dyDescent="0.3">
      <c r="A106" s="26">
        <v>45966</v>
      </c>
      <c r="B106" s="27" t="s">
        <v>4</v>
      </c>
      <c r="C106" s="106">
        <v>-17.63</v>
      </c>
    </row>
    <row r="107" spans="1:14" x14ac:dyDescent="0.3">
      <c r="A107" s="26">
        <v>45968</v>
      </c>
      <c r="B107" s="27" t="s">
        <v>4</v>
      </c>
      <c r="C107" s="106">
        <v>-7</v>
      </c>
    </row>
    <row r="108" spans="1:14" x14ac:dyDescent="0.3">
      <c r="A108" s="26">
        <v>45968</v>
      </c>
      <c r="B108" s="27" t="s">
        <v>4</v>
      </c>
      <c r="C108" s="106">
        <v>-58.1</v>
      </c>
    </row>
    <row r="109" spans="1:14" x14ac:dyDescent="0.3">
      <c r="A109" s="26">
        <v>45975</v>
      </c>
      <c r="B109" s="27" t="s">
        <v>7</v>
      </c>
      <c r="C109" s="106">
        <v>-85</v>
      </c>
      <c r="I109" s="87">
        <f>SUM(C103:C109)</f>
        <v>-111.1</v>
      </c>
      <c r="N109" s="18" t="s">
        <v>511</v>
      </c>
    </row>
    <row r="110" spans="1:14" x14ac:dyDescent="0.3">
      <c r="A110" s="26">
        <v>45975</v>
      </c>
      <c r="B110" s="27" t="s">
        <v>1</v>
      </c>
      <c r="C110" s="110">
        <v>65.430000000000007</v>
      </c>
      <c r="J110" s="116" t="s">
        <v>512</v>
      </c>
    </row>
    <row r="111" spans="1:14" x14ac:dyDescent="0.3">
      <c r="A111" s="26">
        <v>45979</v>
      </c>
      <c r="B111" s="27" t="s">
        <v>4</v>
      </c>
      <c r="C111" s="110">
        <v>-65.33</v>
      </c>
      <c r="I111" s="87">
        <f>SUM(C110:C111)</f>
        <v>0.10000000000000853</v>
      </c>
      <c r="J111" s="116">
        <f>SUM(I76:I111)</f>
        <v>44.760000000000005</v>
      </c>
    </row>
    <row r="112" spans="1:14" x14ac:dyDescent="0.3">
      <c r="A112" s="26">
        <v>45982</v>
      </c>
      <c r="B112" s="27" t="s">
        <v>1</v>
      </c>
      <c r="C112" s="107">
        <v>74.3</v>
      </c>
    </row>
    <row r="113" spans="1:10" x14ac:dyDescent="0.3">
      <c r="A113" s="26">
        <v>45986</v>
      </c>
      <c r="B113" s="27" t="s">
        <v>4</v>
      </c>
      <c r="C113" s="107">
        <v>-40</v>
      </c>
      <c r="J113" s="116" t="s">
        <v>512</v>
      </c>
    </row>
    <row r="114" spans="1:10" x14ac:dyDescent="0.3">
      <c r="A114" s="26">
        <v>45988</v>
      </c>
      <c r="B114" s="27" t="s">
        <v>4</v>
      </c>
      <c r="C114" s="107">
        <v>-16.3</v>
      </c>
      <c r="I114" s="87">
        <f>SUM(C112:C114)</f>
        <v>17.999999999999996</v>
      </c>
      <c r="J114" s="117">
        <f>SUM(I77:I114)</f>
        <v>62.760000000000005</v>
      </c>
    </row>
    <row r="115" spans="1:10" x14ac:dyDescent="0.3">
      <c r="A115" s="26">
        <v>45989</v>
      </c>
      <c r="B115" s="27" t="s">
        <v>1</v>
      </c>
      <c r="C115" s="24">
        <v>23</v>
      </c>
      <c r="I115" s="18">
        <v>23</v>
      </c>
      <c r="J115" s="115" t="s">
        <v>513</v>
      </c>
    </row>
    <row r="116" spans="1:10" x14ac:dyDescent="0.3">
      <c r="A116" s="26">
        <v>45996</v>
      </c>
      <c r="B116" s="27" t="s">
        <v>4</v>
      </c>
      <c r="C116" s="24">
        <v>-56</v>
      </c>
      <c r="J116" s="115">
        <f>SUM(I76:I116)</f>
        <v>85.76</v>
      </c>
    </row>
    <row r="117" spans="1:10" x14ac:dyDescent="0.3">
      <c r="A117" s="26">
        <v>46000</v>
      </c>
      <c r="B117" s="27" t="s">
        <v>4</v>
      </c>
      <c r="C117" s="24">
        <v>-10</v>
      </c>
    </row>
    <row r="118" spans="1:10" x14ac:dyDescent="0.3">
      <c r="A118" s="26">
        <v>46000</v>
      </c>
      <c r="B118" s="27" t="s">
        <v>1</v>
      </c>
      <c r="C118" s="24">
        <v>73.5</v>
      </c>
      <c r="D118" s="25">
        <v>1</v>
      </c>
    </row>
    <row r="119" spans="1:10" x14ac:dyDescent="0.3">
      <c r="A119" s="26">
        <v>46001</v>
      </c>
      <c r="B119" s="27" t="s">
        <v>4</v>
      </c>
      <c r="C119" s="24">
        <v>-3.47</v>
      </c>
    </row>
    <row r="120" spans="1:10" x14ac:dyDescent="0.3">
      <c r="A120" s="26">
        <v>46001</v>
      </c>
      <c r="B120" s="27" t="s">
        <v>4</v>
      </c>
      <c r="C120" s="24">
        <v>-5</v>
      </c>
    </row>
    <row r="121" spans="1:10" x14ac:dyDescent="0.3">
      <c r="A121" s="26">
        <v>46003</v>
      </c>
      <c r="B121" s="27" t="s">
        <v>1</v>
      </c>
      <c r="C121" s="24">
        <v>40.46</v>
      </c>
    </row>
    <row r="122" spans="1:10" x14ac:dyDescent="0.3">
      <c r="A122" s="26">
        <v>46009</v>
      </c>
      <c r="B122" s="27" t="s">
        <v>4</v>
      </c>
      <c r="C122" s="24">
        <v>-83.9</v>
      </c>
    </row>
    <row r="123" spans="1:10" x14ac:dyDescent="0.3">
      <c r="A123" s="26">
        <v>46017</v>
      </c>
      <c r="B123" s="27" t="s">
        <v>4</v>
      </c>
      <c r="C123" s="24">
        <v>-40.46</v>
      </c>
    </row>
    <row r="124" spans="1:10" x14ac:dyDescent="0.3">
      <c r="A124" s="26">
        <v>46045</v>
      </c>
      <c r="B124" s="27" t="s">
        <v>1</v>
      </c>
      <c r="C124" s="24">
        <v>41.72</v>
      </c>
    </row>
    <row r="125" spans="1:10" x14ac:dyDescent="0.3">
      <c r="A125" s="26">
        <v>46048</v>
      </c>
      <c r="B125" s="27" t="s">
        <v>4</v>
      </c>
      <c r="C125" s="24">
        <v>-41.72</v>
      </c>
    </row>
    <row r="126" spans="1:10" x14ac:dyDescent="0.3">
      <c r="A126" s="26">
        <v>46052</v>
      </c>
      <c r="B126" s="27" t="s">
        <v>1</v>
      </c>
      <c r="C126" s="24">
        <v>57.25</v>
      </c>
    </row>
    <row r="127" spans="1:10" x14ac:dyDescent="0.3">
      <c r="A127" s="26">
        <v>46055</v>
      </c>
      <c r="B127" s="27" t="s">
        <v>4</v>
      </c>
      <c r="C127" s="24">
        <v>-27.25</v>
      </c>
    </row>
    <row r="128" spans="1:10" x14ac:dyDescent="0.3">
      <c r="A128" s="26">
        <v>46056</v>
      </c>
      <c r="B128" s="27" t="s">
        <v>4</v>
      </c>
      <c r="C128" s="24">
        <v>-23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A527A-877C-499F-AD48-3F3628507969}">
  <sheetPr codeName="Hoja152"/>
  <dimension ref="A1:H86"/>
  <sheetViews>
    <sheetView view="pageBreakPreview" zoomScale="80" zoomScaleNormal="100" zoomScaleSheetLayoutView="80" workbookViewId="0">
      <selection activeCell="C36" sqref="C3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277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278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11.64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45827</v>
      </c>
      <c r="B5" s="34" t="s">
        <v>21</v>
      </c>
      <c r="C5" s="24">
        <v>56.42</v>
      </c>
      <c r="D5" s="30"/>
      <c r="E5" s="30"/>
      <c r="F5" s="30"/>
      <c r="G5" s="22"/>
    </row>
    <row r="6" spans="1:8" hidden="1" x14ac:dyDescent="0.3">
      <c r="A6" s="21">
        <v>45841</v>
      </c>
      <c r="B6" s="32" t="s">
        <v>1</v>
      </c>
      <c r="C6" s="24">
        <v>9.84</v>
      </c>
    </row>
    <row r="7" spans="1:8" hidden="1" x14ac:dyDescent="0.3">
      <c r="A7" s="21">
        <v>45841</v>
      </c>
      <c r="B7" s="34" t="s">
        <v>1</v>
      </c>
      <c r="C7" s="24">
        <v>84.75</v>
      </c>
    </row>
    <row r="8" spans="1:8" hidden="1" x14ac:dyDescent="0.3">
      <c r="A8" s="21">
        <v>45842</v>
      </c>
      <c r="B8" s="27" t="s">
        <v>4</v>
      </c>
      <c r="C8" s="24">
        <v>-40.700000000000003</v>
      </c>
    </row>
    <row r="9" spans="1:8" hidden="1" x14ac:dyDescent="0.3">
      <c r="A9" s="21">
        <v>45842</v>
      </c>
      <c r="B9" s="27" t="s">
        <v>4</v>
      </c>
      <c r="C9" s="24">
        <v>-15.71</v>
      </c>
    </row>
    <row r="10" spans="1:8" hidden="1" x14ac:dyDescent="0.3">
      <c r="A10" s="26">
        <v>45863</v>
      </c>
      <c r="B10" s="27" t="s">
        <v>4</v>
      </c>
      <c r="C10" s="24">
        <v>-94.59</v>
      </c>
    </row>
    <row r="11" spans="1:8" hidden="1" x14ac:dyDescent="0.3">
      <c r="A11" s="26">
        <v>45862</v>
      </c>
      <c r="B11" s="34" t="s">
        <v>1</v>
      </c>
      <c r="C11" s="24">
        <v>47.68</v>
      </c>
    </row>
    <row r="12" spans="1:8" hidden="1" x14ac:dyDescent="0.3">
      <c r="A12" s="26">
        <v>45877</v>
      </c>
      <c r="B12" s="31" t="s">
        <v>4</v>
      </c>
      <c r="C12" s="24">
        <v>-47.69</v>
      </c>
    </row>
    <row r="13" spans="1:8" hidden="1" x14ac:dyDescent="0.3">
      <c r="A13" s="26">
        <v>45877</v>
      </c>
      <c r="B13" s="32" t="s">
        <v>1</v>
      </c>
      <c r="C13" s="24">
        <v>9.89</v>
      </c>
    </row>
    <row r="14" spans="1:8" hidden="1" x14ac:dyDescent="0.3">
      <c r="A14" s="26">
        <v>45877</v>
      </c>
      <c r="B14" s="34" t="s">
        <v>1</v>
      </c>
      <c r="C14" s="24">
        <v>13.97</v>
      </c>
    </row>
    <row r="15" spans="1:8" hidden="1" x14ac:dyDescent="0.3">
      <c r="A15" s="26">
        <v>45881</v>
      </c>
      <c r="B15" s="34" t="s">
        <v>1</v>
      </c>
      <c r="C15" s="24">
        <v>25.38</v>
      </c>
    </row>
    <row r="16" spans="1:8" hidden="1" x14ac:dyDescent="0.3">
      <c r="A16" s="26">
        <v>45887</v>
      </c>
      <c r="B16" s="27" t="s">
        <v>4</v>
      </c>
      <c r="C16" s="24">
        <v>-49.19</v>
      </c>
    </row>
    <row r="17" spans="1:3" hidden="1" x14ac:dyDescent="0.3">
      <c r="A17" s="26">
        <v>45891</v>
      </c>
      <c r="B17" s="34" t="s">
        <v>1</v>
      </c>
      <c r="C17" s="24">
        <v>63.9</v>
      </c>
    </row>
    <row r="18" spans="1:3" hidden="1" x14ac:dyDescent="0.3">
      <c r="A18" s="26">
        <v>45899</v>
      </c>
      <c r="B18" s="32" t="s">
        <v>1</v>
      </c>
      <c r="C18" s="24">
        <v>38.4</v>
      </c>
    </row>
    <row r="19" spans="1:3" hidden="1" x14ac:dyDescent="0.3">
      <c r="A19" s="26">
        <v>45899</v>
      </c>
      <c r="B19" s="34" t="s">
        <v>1</v>
      </c>
      <c r="C19" s="24">
        <v>25.8</v>
      </c>
    </row>
    <row r="20" spans="1:3" hidden="1" x14ac:dyDescent="0.3">
      <c r="A20" s="26">
        <v>45901</v>
      </c>
      <c r="B20" s="27" t="s">
        <v>4</v>
      </c>
      <c r="C20" s="24">
        <v>-63.95</v>
      </c>
    </row>
    <row r="21" spans="1:3" hidden="1" x14ac:dyDescent="0.3">
      <c r="A21" s="26">
        <v>45905</v>
      </c>
      <c r="B21" s="34" t="s">
        <v>1</v>
      </c>
      <c r="C21" s="24">
        <v>25.38</v>
      </c>
    </row>
    <row r="22" spans="1:3" hidden="1" x14ac:dyDescent="0.3">
      <c r="A22" s="26">
        <v>45916</v>
      </c>
      <c r="B22" s="34" t="s">
        <v>1</v>
      </c>
      <c r="C22" s="24">
        <v>11.95</v>
      </c>
    </row>
    <row r="23" spans="1:3" hidden="1" x14ac:dyDescent="0.3">
      <c r="A23" s="26">
        <v>45918</v>
      </c>
      <c r="B23" s="27" t="s">
        <v>4</v>
      </c>
      <c r="C23" s="24">
        <v>-101.13</v>
      </c>
    </row>
    <row r="24" spans="1:3" hidden="1" x14ac:dyDescent="0.3">
      <c r="A24" s="26">
        <v>45925</v>
      </c>
      <c r="B24" s="32" t="s">
        <v>1</v>
      </c>
      <c r="C24" s="24">
        <v>15.85</v>
      </c>
    </row>
    <row r="25" spans="1:3" hidden="1" x14ac:dyDescent="0.3">
      <c r="A25" s="26">
        <v>45925</v>
      </c>
      <c r="B25" s="34" t="s">
        <v>1</v>
      </c>
      <c r="C25" s="24">
        <v>65.650000000000006</v>
      </c>
    </row>
    <row r="26" spans="1:3" hidden="1" x14ac:dyDescent="0.3">
      <c r="A26" s="26">
        <v>45932</v>
      </c>
      <c r="B26" s="34" t="s">
        <v>1</v>
      </c>
      <c r="C26" s="24">
        <v>38.700000000000003</v>
      </c>
    </row>
    <row r="27" spans="1:3" hidden="1" x14ac:dyDescent="0.3">
      <c r="A27" s="26">
        <v>45950</v>
      </c>
      <c r="B27" s="27" t="s">
        <v>4</v>
      </c>
      <c r="C27" s="24">
        <v>-120.2</v>
      </c>
    </row>
    <row r="28" spans="1:3" hidden="1" x14ac:dyDescent="0.3">
      <c r="A28" s="26">
        <v>45953</v>
      </c>
      <c r="B28" s="34" t="s">
        <v>1</v>
      </c>
      <c r="C28" s="24">
        <v>109.37</v>
      </c>
    </row>
    <row r="29" spans="1:3" hidden="1" x14ac:dyDescent="0.3">
      <c r="A29" s="26">
        <v>45971</v>
      </c>
      <c r="B29" s="27" t="s">
        <v>4</v>
      </c>
      <c r="C29" s="24">
        <v>-109.37</v>
      </c>
    </row>
    <row r="30" spans="1:3" x14ac:dyDescent="0.3">
      <c r="A30" s="26">
        <v>45974</v>
      </c>
      <c r="B30" s="27" t="s">
        <v>1</v>
      </c>
      <c r="C30" s="24">
        <v>124.99</v>
      </c>
    </row>
    <row r="31" spans="1:3" x14ac:dyDescent="0.3">
      <c r="A31" s="26">
        <v>45994</v>
      </c>
      <c r="B31" s="27" t="s">
        <v>4</v>
      </c>
      <c r="C31" s="24">
        <v>-97.3</v>
      </c>
    </row>
    <row r="32" spans="1:3" x14ac:dyDescent="0.3">
      <c r="A32" s="26">
        <v>45994</v>
      </c>
      <c r="B32" s="27" t="s">
        <v>4</v>
      </c>
      <c r="C32" s="24">
        <v>-28.09</v>
      </c>
    </row>
    <row r="33" spans="1:3" x14ac:dyDescent="0.3">
      <c r="A33" s="26">
        <v>46010</v>
      </c>
      <c r="B33" s="27" t="s">
        <v>1</v>
      </c>
      <c r="C33" s="24">
        <v>117.34</v>
      </c>
    </row>
    <row r="34" spans="1:3" x14ac:dyDescent="0.3">
      <c r="A34" s="26">
        <v>46049</v>
      </c>
      <c r="B34" s="27" t="s">
        <v>4</v>
      </c>
      <c r="C34" s="24">
        <v>-117.34</v>
      </c>
    </row>
    <row r="35" spans="1:3" x14ac:dyDescent="0.3">
      <c r="A35" s="26">
        <v>46052</v>
      </c>
      <c r="B35" s="27" t="s">
        <v>1</v>
      </c>
      <c r="C35" s="24">
        <v>11.64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5B1B-6AB5-4C22-8360-8C1CC5C991AA}">
  <dimension ref="A1:H86"/>
  <sheetViews>
    <sheetView view="pageBreakPreview" zoomScale="80" zoomScaleNormal="100" zoomScaleSheetLayoutView="80" workbookViewId="0">
      <selection activeCell="D16" sqref="D1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530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858.40999999999985</v>
      </c>
      <c r="D3" s="20">
        <f>SUM(D$4:D$1048576)</f>
        <v>1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46017</v>
      </c>
      <c r="B5" s="27" t="s">
        <v>21</v>
      </c>
      <c r="C5" s="24">
        <v>262.22000000000003</v>
      </c>
      <c r="D5" s="30"/>
      <c r="E5" s="30"/>
      <c r="F5" s="30"/>
      <c r="G5" s="22"/>
    </row>
    <row r="6" spans="1:8" x14ac:dyDescent="0.3">
      <c r="A6" s="21">
        <v>46024</v>
      </c>
      <c r="B6" s="27" t="s">
        <v>4</v>
      </c>
      <c r="C6" s="24">
        <v>-262.22000000000003</v>
      </c>
    </row>
    <row r="7" spans="1:8" x14ac:dyDescent="0.3">
      <c r="A7" s="26">
        <v>46031</v>
      </c>
      <c r="B7" s="27" t="s">
        <v>1</v>
      </c>
      <c r="C7" s="24">
        <v>336.75</v>
      </c>
    </row>
    <row r="8" spans="1:8" x14ac:dyDescent="0.3">
      <c r="A8" s="26">
        <v>46038</v>
      </c>
      <c r="B8" s="27" t="s">
        <v>4</v>
      </c>
      <c r="C8" s="24">
        <v>-234.09</v>
      </c>
    </row>
    <row r="9" spans="1:8" x14ac:dyDescent="0.3">
      <c r="A9" s="26">
        <v>46038</v>
      </c>
      <c r="B9" s="27" t="s">
        <v>1</v>
      </c>
      <c r="C9" s="24">
        <v>512.27</v>
      </c>
    </row>
    <row r="10" spans="1:8" x14ac:dyDescent="0.3">
      <c r="A10" s="26">
        <v>46049</v>
      </c>
      <c r="B10" s="27" t="s">
        <v>4</v>
      </c>
      <c r="C10" s="24">
        <v>-83.58</v>
      </c>
    </row>
    <row r="11" spans="1:8" x14ac:dyDescent="0.3">
      <c r="A11" s="26">
        <v>46050</v>
      </c>
      <c r="B11" s="27" t="s">
        <v>4</v>
      </c>
      <c r="C11" s="24">
        <v>-55.33</v>
      </c>
    </row>
    <row r="12" spans="1:8" x14ac:dyDescent="0.3">
      <c r="A12" s="26">
        <v>46051</v>
      </c>
      <c r="B12" s="27" t="s">
        <v>4</v>
      </c>
      <c r="C12" s="24">
        <v>-98.99</v>
      </c>
    </row>
    <row r="13" spans="1:8" x14ac:dyDescent="0.3">
      <c r="A13" s="26">
        <v>46052</v>
      </c>
      <c r="B13" s="27" t="s">
        <v>4</v>
      </c>
      <c r="C13" s="24">
        <v>-100.73</v>
      </c>
    </row>
    <row r="14" spans="1:8" x14ac:dyDescent="0.3">
      <c r="A14" s="26">
        <v>46052</v>
      </c>
      <c r="B14" s="27" t="s">
        <v>4</v>
      </c>
      <c r="C14" s="24">
        <v>-108.9</v>
      </c>
    </row>
    <row r="15" spans="1:8" x14ac:dyDescent="0.3">
      <c r="A15" s="26">
        <v>46052</v>
      </c>
      <c r="B15" s="27" t="s">
        <v>1</v>
      </c>
      <c r="C15" s="24">
        <v>691.01</v>
      </c>
      <c r="D15" s="25">
        <v>1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9EDE6-496A-4068-9870-AF8F3E6CC259}">
  <dimension ref="A1:H86"/>
  <sheetViews>
    <sheetView view="pageBreakPreview" zoomScale="80" zoomScaleNormal="100" zoomScaleSheetLayoutView="80" workbookViewId="0">
      <selection activeCell="C44" sqref="C44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313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314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177.81999999999994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45834</v>
      </c>
      <c r="B5" s="32" t="s">
        <v>21</v>
      </c>
      <c r="C5" s="24">
        <v>21.94</v>
      </c>
      <c r="D5" s="30"/>
      <c r="E5" s="30"/>
      <c r="F5" s="30"/>
      <c r="G5" s="22"/>
    </row>
    <row r="6" spans="1:8" hidden="1" x14ac:dyDescent="0.3">
      <c r="A6" s="21">
        <v>45834</v>
      </c>
      <c r="B6" s="34" t="s">
        <v>1</v>
      </c>
      <c r="C6" s="24">
        <v>122.38</v>
      </c>
    </row>
    <row r="7" spans="1:8" hidden="1" x14ac:dyDescent="0.3">
      <c r="A7" s="21">
        <v>45855</v>
      </c>
      <c r="B7" s="27" t="s">
        <v>4</v>
      </c>
      <c r="C7" s="24">
        <v>-144.32</v>
      </c>
    </row>
    <row r="8" spans="1:8" hidden="1" x14ac:dyDescent="0.3">
      <c r="A8" s="21">
        <v>45855</v>
      </c>
      <c r="B8" s="32" t="s">
        <v>1</v>
      </c>
      <c r="C8" s="24">
        <v>52.15</v>
      </c>
    </row>
    <row r="9" spans="1:8" hidden="1" x14ac:dyDescent="0.3">
      <c r="A9" s="21">
        <v>45855</v>
      </c>
      <c r="B9" s="34" t="s">
        <v>1</v>
      </c>
      <c r="C9" s="24">
        <v>167.95</v>
      </c>
    </row>
    <row r="10" spans="1:8" hidden="1" x14ac:dyDescent="0.3">
      <c r="A10" s="21">
        <v>45855</v>
      </c>
      <c r="B10" s="46" t="s">
        <v>1</v>
      </c>
      <c r="C10" s="24">
        <v>35.270000000000003</v>
      </c>
    </row>
    <row r="11" spans="1:8" hidden="1" x14ac:dyDescent="0.3">
      <c r="A11" s="26">
        <v>45875</v>
      </c>
      <c r="B11" s="27" t="s">
        <v>4</v>
      </c>
      <c r="C11" s="24">
        <v>-100</v>
      </c>
    </row>
    <row r="12" spans="1:8" hidden="1" x14ac:dyDescent="0.3">
      <c r="A12" s="26">
        <v>45889</v>
      </c>
      <c r="B12" s="27" t="s">
        <v>4</v>
      </c>
      <c r="C12" s="24">
        <v>-99.09</v>
      </c>
    </row>
    <row r="13" spans="1:8" hidden="1" x14ac:dyDescent="0.3">
      <c r="A13" s="26">
        <v>45896</v>
      </c>
      <c r="B13" s="27" t="s">
        <v>4</v>
      </c>
      <c r="C13" s="24">
        <v>-63</v>
      </c>
    </row>
    <row r="14" spans="1:8" hidden="1" x14ac:dyDescent="0.3">
      <c r="A14" s="26">
        <v>45898</v>
      </c>
      <c r="B14" s="27" t="s">
        <v>1</v>
      </c>
      <c r="C14" s="24">
        <v>20.8</v>
      </c>
    </row>
    <row r="15" spans="1:8" hidden="1" x14ac:dyDescent="0.3">
      <c r="A15" s="26">
        <v>45898</v>
      </c>
      <c r="B15" s="32" t="s">
        <v>1</v>
      </c>
      <c r="C15" s="24">
        <v>133.63999999999999</v>
      </c>
    </row>
    <row r="16" spans="1:8" hidden="1" x14ac:dyDescent="0.3">
      <c r="A16" s="26">
        <v>45898</v>
      </c>
      <c r="B16" s="34" t="s">
        <v>1</v>
      </c>
      <c r="C16" s="24">
        <v>346.31</v>
      </c>
    </row>
    <row r="17" spans="1:3" hidden="1" x14ac:dyDescent="0.3">
      <c r="A17" s="26">
        <v>45898</v>
      </c>
      <c r="B17" s="46" t="s">
        <v>1</v>
      </c>
      <c r="C17" s="24">
        <v>10.62</v>
      </c>
    </row>
    <row r="18" spans="1:3" hidden="1" x14ac:dyDescent="0.3">
      <c r="A18" s="26">
        <v>45900</v>
      </c>
      <c r="B18" s="27" t="s">
        <v>4</v>
      </c>
      <c r="C18" s="24">
        <v>-50</v>
      </c>
    </row>
    <row r="19" spans="1:3" hidden="1" x14ac:dyDescent="0.3">
      <c r="A19" s="26">
        <v>45918</v>
      </c>
      <c r="B19" s="27" t="s">
        <v>4</v>
      </c>
      <c r="C19" s="24">
        <v>-100</v>
      </c>
    </row>
    <row r="20" spans="1:3" hidden="1" x14ac:dyDescent="0.3">
      <c r="A20" s="26">
        <v>45925</v>
      </c>
      <c r="B20" s="27" t="s">
        <v>4</v>
      </c>
      <c r="C20" s="24">
        <v>-185.05</v>
      </c>
    </row>
    <row r="21" spans="1:3" hidden="1" x14ac:dyDescent="0.3">
      <c r="A21" s="26">
        <v>45925</v>
      </c>
      <c r="B21" s="27" t="s">
        <v>4</v>
      </c>
      <c r="C21" s="24">
        <v>-18</v>
      </c>
    </row>
    <row r="22" spans="1:3" hidden="1" x14ac:dyDescent="0.3">
      <c r="A22" s="26">
        <v>45925</v>
      </c>
      <c r="B22" s="32" t="s">
        <v>1</v>
      </c>
      <c r="C22" s="24">
        <v>18</v>
      </c>
    </row>
    <row r="23" spans="1:3" hidden="1" x14ac:dyDescent="0.3">
      <c r="A23" s="26">
        <v>45932</v>
      </c>
      <c r="B23" s="27" t="s">
        <v>4</v>
      </c>
      <c r="C23" s="24">
        <v>-170</v>
      </c>
    </row>
    <row r="24" spans="1:3" x14ac:dyDescent="0.3">
      <c r="A24" s="26">
        <v>45932</v>
      </c>
      <c r="B24" s="32" t="s">
        <v>1</v>
      </c>
      <c r="C24" s="24">
        <v>66.3</v>
      </c>
    </row>
    <row r="25" spans="1:3" x14ac:dyDescent="0.3">
      <c r="A25" s="26">
        <v>45932</v>
      </c>
      <c r="B25" s="34" t="s">
        <v>1</v>
      </c>
      <c r="C25" s="24">
        <v>179.92</v>
      </c>
    </row>
    <row r="26" spans="1:3" x14ac:dyDescent="0.3">
      <c r="A26" s="26">
        <v>45932</v>
      </c>
      <c r="B26" s="46" t="s">
        <v>1</v>
      </c>
      <c r="C26" s="24">
        <v>15.77</v>
      </c>
    </row>
    <row r="27" spans="1:3" x14ac:dyDescent="0.3">
      <c r="A27" s="26">
        <v>45933</v>
      </c>
      <c r="B27" s="27" t="s">
        <v>1</v>
      </c>
      <c r="C27" s="24">
        <v>124.8</v>
      </c>
    </row>
    <row r="28" spans="1:3" x14ac:dyDescent="0.3">
      <c r="A28" s="26">
        <v>45933</v>
      </c>
      <c r="B28" s="32" t="s">
        <v>1</v>
      </c>
      <c r="C28" s="24">
        <v>9.6</v>
      </c>
    </row>
    <row r="29" spans="1:3" x14ac:dyDescent="0.3">
      <c r="A29" s="26">
        <v>45954</v>
      </c>
      <c r="B29" s="27" t="s">
        <v>4</v>
      </c>
      <c r="C29" s="24">
        <v>-186.55</v>
      </c>
    </row>
    <row r="30" spans="1:3" x14ac:dyDescent="0.3">
      <c r="A30" s="26">
        <v>45969</v>
      </c>
      <c r="B30" s="27" t="s">
        <v>4</v>
      </c>
      <c r="C30" s="24">
        <v>-19.14</v>
      </c>
    </row>
    <row r="31" spans="1:3" x14ac:dyDescent="0.3">
      <c r="A31" s="26">
        <v>45973</v>
      </c>
      <c r="B31" s="27" t="s">
        <v>4</v>
      </c>
      <c r="C31" s="24">
        <v>-208.16</v>
      </c>
    </row>
    <row r="32" spans="1:3" x14ac:dyDescent="0.3">
      <c r="A32" s="26">
        <v>45974</v>
      </c>
      <c r="B32" s="27" t="s">
        <v>1</v>
      </c>
      <c r="C32" s="24">
        <v>450.4</v>
      </c>
    </row>
    <row r="33" spans="1:3" x14ac:dyDescent="0.3">
      <c r="A33" s="26">
        <v>45988</v>
      </c>
      <c r="B33" s="27" t="s">
        <v>4</v>
      </c>
      <c r="C33" s="24">
        <v>-43.89</v>
      </c>
    </row>
    <row r="34" spans="1:3" x14ac:dyDescent="0.3">
      <c r="A34" s="26">
        <v>45988</v>
      </c>
      <c r="B34" s="27" t="s">
        <v>1</v>
      </c>
      <c r="C34" s="24">
        <v>43.89</v>
      </c>
    </row>
    <row r="35" spans="1:3" x14ac:dyDescent="0.3">
      <c r="A35" s="26">
        <v>45995</v>
      </c>
      <c r="B35" s="27" t="s">
        <v>4</v>
      </c>
      <c r="C35" s="24">
        <v>-151.06</v>
      </c>
    </row>
    <row r="36" spans="1:3" x14ac:dyDescent="0.3">
      <c r="A36" s="26">
        <v>46008</v>
      </c>
      <c r="B36" s="27" t="s">
        <v>4</v>
      </c>
      <c r="C36" s="24">
        <v>-150</v>
      </c>
    </row>
    <row r="37" spans="1:3" x14ac:dyDescent="0.3">
      <c r="A37" s="26">
        <v>46009</v>
      </c>
      <c r="B37" s="27" t="s">
        <v>4</v>
      </c>
      <c r="C37" s="24">
        <v>-131.99</v>
      </c>
    </row>
    <row r="38" spans="1:3" x14ac:dyDescent="0.3">
      <c r="A38" s="26">
        <v>46010</v>
      </c>
      <c r="B38" s="27" t="s">
        <v>1</v>
      </c>
      <c r="C38" s="24">
        <v>535.63</v>
      </c>
    </row>
    <row r="39" spans="1:3" x14ac:dyDescent="0.3">
      <c r="A39" s="26">
        <v>46030</v>
      </c>
      <c r="B39" s="27" t="s">
        <v>4</v>
      </c>
      <c r="C39" s="24">
        <v>-100.15</v>
      </c>
    </row>
    <row r="40" spans="1:3" x14ac:dyDescent="0.3">
      <c r="A40" s="26">
        <v>46044</v>
      </c>
      <c r="B40" s="27" t="s">
        <v>4</v>
      </c>
      <c r="C40" s="24">
        <v>-57.15</v>
      </c>
    </row>
    <row r="41" spans="1:3" x14ac:dyDescent="0.3">
      <c r="A41" s="26">
        <v>46050</v>
      </c>
      <c r="B41" s="27" t="s">
        <v>4</v>
      </c>
      <c r="C41" s="24">
        <v>-200</v>
      </c>
    </row>
    <row r="42" spans="1:3" x14ac:dyDescent="0.3">
      <c r="A42" s="26">
        <v>46051</v>
      </c>
      <c r="B42" s="27" t="s">
        <v>4</v>
      </c>
      <c r="C42" s="24">
        <v>-46</v>
      </c>
    </row>
    <row r="43" spans="1:3" x14ac:dyDescent="0.3">
      <c r="A43" s="26">
        <v>46051</v>
      </c>
      <c r="B43" s="27" t="s">
        <v>1</v>
      </c>
      <c r="C43" s="24">
        <v>46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1F9A-B2B4-4413-9140-6A984BD5993B}">
  <dimension ref="A1:I31"/>
  <sheetViews>
    <sheetView view="pageBreakPreview" zoomScale="85" zoomScaleNormal="100" zoomScaleSheetLayoutView="85" workbookViewId="0">
      <selection activeCell="C32" sqref="C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399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-75.66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/>
      <c r="B4" s="56"/>
      <c r="C4" s="57"/>
      <c r="D4" s="54"/>
      <c r="E4" s="53"/>
      <c r="F4" s="53" t="s">
        <v>11</v>
      </c>
      <c r="G4" s="52" t="s">
        <v>90</v>
      </c>
    </row>
    <row r="5" spans="1:9" hidden="1" x14ac:dyDescent="0.3">
      <c r="A5" s="21">
        <v>45870</v>
      </c>
      <c r="B5" s="32" t="s">
        <v>1</v>
      </c>
      <c r="C5" s="24">
        <v>15.85</v>
      </c>
      <c r="D5" s="30"/>
      <c r="E5" s="30"/>
      <c r="F5" s="30"/>
      <c r="G5" s="22"/>
    </row>
    <row r="6" spans="1:9" hidden="1" x14ac:dyDescent="0.3">
      <c r="A6" s="21">
        <v>45870</v>
      </c>
      <c r="B6" s="34" t="s">
        <v>1</v>
      </c>
      <c r="C6" s="24">
        <v>86.96</v>
      </c>
    </row>
    <row r="7" spans="1:9" hidden="1" x14ac:dyDescent="0.3">
      <c r="A7" s="26">
        <v>45884</v>
      </c>
      <c r="B7" s="27" t="s">
        <v>7</v>
      </c>
      <c r="C7" s="24">
        <v>-102.81</v>
      </c>
    </row>
    <row r="8" spans="1:9" hidden="1" x14ac:dyDescent="0.3">
      <c r="A8" s="26">
        <v>45884</v>
      </c>
      <c r="B8" s="32" t="s">
        <v>1</v>
      </c>
      <c r="C8" s="24">
        <v>23.7</v>
      </c>
    </row>
    <row r="9" spans="1:9" hidden="1" x14ac:dyDescent="0.3">
      <c r="A9" s="26">
        <v>45884</v>
      </c>
      <c r="B9" s="34" t="s">
        <v>1</v>
      </c>
      <c r="C9" s="24">
        <v>51.3</v>
      </c>
      <c r="I9" s="25"/>
    </row>
    <row r="10" spans="1:9" hidden="1" x14ac:dyDescent="0.3">
      <c r="A10" s="26">
        <v>45891</v>
      </c>
      <c r="B10" s="27" t="s">
        <v>7</v>
      </c>
      <c r="C10" s="24">
        <v>-75</v>
      </c>
    </row>
    <row r="11" spans="1:9" hidden="1" x14ac:dyDescent="0.3">
      <c r="A11" s="26">
        <v>45905</v>
      </c>
      <c r="B11" s="32" t="s">
        <v>1</v>
      </c>
      <c r="C11" s="24">
        <v>15.85</v>
      </c>
    </row>
    <row r="12" spans="1:9" hidden="1" x14ac:dyDescent="0.3">
      <c r="A12" s="26">
        <v>45905</v>
      </c>
      <c r="B12" s="34" t="s">
        <v>1</v>
      </c>
      <c r="C12" s="24">
        <v>55.05</v>
      </c>
    </row>
    <row r="13" spans="1:9" hidden="1" x14ac:dyDescent="0.3">
      <c r="A13" s="26">
        <v>45912</v>
      </c>
      <c r="B13" s="27" t="s">
        <v>7</v>
      </c>
      <c r="C13" s="24">
        <v>-70.959999999999994</v>
      </c>
    </row>
    <row r="14" spans="1:9" hidden="1" x14ac:dyDescent="0.3">
      <c r="A14" s="26">
        <v>45919</v>
      </c>
      <c r="B14" s="34" t="s">
        <v>1</v>
      </c>
      <c r="C14" s="24">
        <v>67.92</v>
      </c>
    </row>
    <row r="15" spans="1:9" hidden="1" x14ac:dyDescent="0.3">
      <c r="A15" s="26">
        <v>45926</v>
      </c>
      <c r="B15" s="27" t="s">
        <v>7</v>
      </c>
      <c r="C15" s="24">
        <v>-68</v>
      </c>
    </row>
    <row r="16" spans="1:9" hidden="1" x14ac:dyDescent="0.3">
      <c r="A16" s="26">
        <v>45933</v>
      </c>
      <c r="B16" s="32" t="s">
        <v>1</v>
      </c>
      <c r="C16" s="24">
        <v>26.7</v>
      </c>
    </row>
    <row r="17" spans="1:3" hidden="1" x14ac:dyDescent="0.3">
      <c r="A17" s="26">
        <v>45942</v>
      </c>
      <c r="B17" s="27" t="s">
        <v>4</v>
      </c>
      <c r="C17" s="24">
        <v>-26.7</v>
      </c>
    </row>
    <row r="18" spans="1:3" x14ac:dyDescent="0.3">
      <c r="A18" s="26">
        <v>45947</v>
      </c>
      <c r="B18" s="32" t="s">
        <v>1</v>
      </c>
      <c r="C18" s="24">
        <v>16.38</v>
      </c>
    </row>
    <row r="19" spans="1:3" x14ac:dyDescent="0.3">
      <c r="A19" s="26">
        <v>45947</v>
      </c>
      <c r="B19" s="34" t="s">
        <v>1</v>
      </c>
      <c r="C19" s="24">
        <v>58.26</v>
      </c>
    </row>
    <row r="20" spans="1:3" x14ac:dyDescent="0.3">
      <c r="A20" s="26">
        <v>45954</v>
      </c>
      <c r="B20" s="27" t="s">
        <v>4</v>
      </c>
      <c r="C20" s="24">
        <v>-77.5</v>
      </c>
    </row>
    <row r="21" spans="1:3" x14ac:dyDescent="0.3">
      <c r="A21" s="26">
        <v>45961</v>
      </c>
      <c r="B21" s="34" t="s">
        <v>1</v>
      </c>
      <c r="C21" s="24">
        <v>39.24</v>
      </c>
    </row>
    <row r="22" spans="1:3" x14ac:dyDescent="0.3">
      <c r="A22" s="26">
        <v>45975</v>
      </c>
      <c r="B22" s="27" t="s">
        <v>1</v>
      </c>
      <c r="C22" s="24">
        <v>98.96</v>
      </c>
    </row>
    <row r="23" spans="1:3" x14ac:dyDescent="0.3">
      <c r="A23" s="26">
        <v>45978</v>
      </c>
      <c r="B23" s="27" t="s">
        <v>4</v>
      </c>
      <c r="C23" s="24">
        <v>-39.25</v>
      </c>
    </row>
    <row r="24" spans="1:3" x14ac:dyDescent="0.3">
      <c r="A24" s="26">
        <v>45985</v>
      </c>
      <c r="B24" s="27" t="s">
        <v>4</v>
      </c>
      <c r="C24" s="24">
        <v>-98.97</v>
      </c>
    </row>
    <row r="25" spans="1:3" x14ac:dyDescent="0.3">
      <c r="A25" s="26">
        <v>45989</v>
      </c>
      <c r="B25" s="27" t="s">
        <v>1</v>
      </c>
      <c r="C25" s="24">
        <v>78.5</v>
      </c>
    </row>
    <row r="26" spans="1:3" x14ac:dyDescent="0.3">
      <c r="A26" s="26">
        <v>45996</v>
      </c>
      <c r="B26" s="27" t="s">
        <v>7</v>
      </c>
      <c r="C26" s="24">
        <v>-78.569999999999993</v>
      </c>
    </row>
    <row r="27" spans="1:3" x14ac:dyDescent="0.3">
      <c r="A27" s="26">
        <v>46010</v>
      </c>
      <c r="B27" s="27" t="s">
        <v>1</v>
      </c>
      <c r="C27" s="24">
        <v>127.2</v>
      </c>
    </row>
    <row r="28" spans="1:3" x14ac:dyDescent="0.3">
      <c r="A28" s="26">
        <v>46028</v>
      </c>
      <c r="B28" s="27" t="s">
        <v>4</v>
      </c>
      <c r="C28" s="24">
        <v>-127.2</v>
      </c>
    </row>
    <row r="29" spans="1:3" x14ac:dyDescent="0.3">
      <c r="A29" s="26">
        <v>46038</v>
      </c>
      <c r="B29" s="27" t="s">
        <v>1</v>
      </c>
      <c r="C29" s="24">
        <v>143.41999999999999</v>
      </c>
    </row>
    <row r="30" spans="1:3" x14ac:dyDescent="0.3">
      <c r="A30" s="26">
        <v>46044</v>
      </c>
      <c r="B30" s="27" t="s">
        <v>4</v>
      </c>
      <c r="C30" s="24">
        <v>-143.41999999999999</v>
      </c>
    </row>
    <row r="31" spans="1:3" x14ac:dyDescent="0.3">
      <c r="A31" s="26">
        <v>46055</v>
      </c>
      <c r="B31" s="27" t="s">
        <v>4</v>
      </c>
      <c r="C31" s="24">
        <v>-72.569999999999993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C357A-96D5-4B3D-9A01-D55E3C008670}">
  <sheetPr codeName="Hoja56"/>
  <dimension ref="A1:I49"/>
  <sheetViews>
    <sheetView view="pageBreakPreview" zoomScale="80" zoomScaleNormal="100" zoomScaleSheetLayoutView="80" workbookViewId="0">
      <selection activeCell="C50" sqref="C5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26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239.26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45812</v>
      </c>
      <c r="B5" s="31" t="s">
        <v>21</v>
      </c>
      <c r="C5" s="24">
        <v>208</v>
      </c>
      <c r="D5" s="30"/>
      <c r="E5" s="30"/>
      <c r="F5" s="30"/>
      <c r="G5" s="22"/>
    </row>
    <row r="6" spans="1:9" hidden="1" x14ac:dyDescent="0.3">
      <c r="A6" s="21">
        <v>45812</v>
      </c>
      <c r="B6" s="32" t="s">
        <v>21</v>
      </c>
      <c r="C6" s="24">
        <v>15.85</v>
      </c>
    </row>
    <row r="7" spans="1:9" hidden="1" x14ac:dyDescent="0.3">
      <c r="A7" s="26">
        <v>45820</v>
      </c>
      <c r="B7" s="27" t="s">
        <v>7</v>
      </c>
      <c r="C7" s="24">
        <v>-93.75</v>
      </c>
    </row>
    <row r="8" spans="1:9" hidden="1" x14ac:dyDescent="0.3">
      <c r="A8" s="26">
        <v>45827</v>
      </c>
      <c r="B8" s="27" t="s">
        <v>7</v>
      </c>
      <c r="C8" s="24">
        <v>-130.1</v>
      </c>
    </row>
    <row r="9" spans="1:9" hidden="1" x14ac:dyDescent="0.3">
      <c r="A9" s="26">
        <v>45834</v>
      </c>
      <c r="B9" s="32" t="s">
        <v>21</v>
      </c>
      <c r="C9" s="24">
        <v>40.049999999999997</v>
      </c>
      <c r="I9" s="25"/>
    </row>
    <row r="10" spans="1:9" hidden="1" x14ac:dyDescent="0.3">
      <c r="A10" s="26">
        <v>45834</v>
      </c>
      <c r="B10" s="34" t="s">
        <v>21</v>
      </c>
      <c r="C10" s="24">
        <v>69.84</v>
      </c>
    </row>
    <row r="11" spans="1:9" hidden="1" x14ac:dyDescent="0.3">
      <c r="A11" s="26">
        <v>45841</v>
      </c>
      <c r="B11" s="27" t="s">
        <v>7</v>
      </c>
      <c r="C11" s="24">
        <v>-15.85</v>
      </c>
    </row>
    <row r="12" spans="1:9" hidden="1" x14ac:dyDescent="0.3">
      <c r="A12" s="26">
        <v>45841</v>
      </c>
      <c r="B12" s="27" t="s">
        <v>7</v>
      </c>
      <c r="C12" s="24">
        <v>-94.06</v>
      </c>
    </row>
    <row r="13" spans="1:9" hidden="1" x14ac:dyDescent="0.3">
      <c r="A13" s="26">
        <v>45841</v>
      </c>
      <c r="B13" s="32" t="s">
        <v>21</v>
      </c>
      <c r="C13" s="24">
        <v>55.9</v>
      </c>
    </row>
    <row r="14" spans="1:9" hidden="1" x14ac:dyDescent="0.3">
      <c r="A14" s="26">
        <v>45841</v>
      </c>
      <c r="B14" s="34" t="s">
        <v>21</v>
      </c>
      <c r="C14" s="24">
        <v>20</v>
      </c>
    </row>
    <row r="15" spans="1:9" hidden="1" x14ac:dyDescent="0.3">
      <c r="A15" s="26">
        <v>45848</v>
      </c>
      <c r="B15" s="27" t="s">
        <v>7</v>
      </c>
      <c r="C15" s="24">
        <v>-62.5</v>
      </c>
    </row>
    <row r="16" spans="1:9" hidden="1" x14ac:dyDescent="0.3">
      <c r="A16" s="26">
        <v>45870</v>
      </c>
      <c r="B16" s="32" t="s">
        <v>21</v>
      </c>
      <c r="C16" s="24">
        <v>7.5</v>
      </c>
    </row>
    <row r="17" spans="1:3" hidden="1" x14ac:dyDescent="0.3">
      <c r="A17" s="26">
        <v>45870</v>
      </c>
      <c r="B17" s="34" t="s">
        <v>21</v>
      </c>
      <c r="C17" s="24">
        <v>17.579999999999998</v>
      </c>
    </row>
    <row r="18" spans="1:3" hidden="1" x14ac:dyDescent="0.3">
      <c r="A18" s="26">
        <v>45877</v>
      </c>
      <c r="B18" s="32" t="s">
        <v>21</v>
      </c>
      <c r="C18" s="24">
        <v>31.7</v>
      </c>
    </row>
    <row r="19" spans="1:3" hidden="1" x14ac:dyDescent="0.3">
      <c r="A19" s="26">
        <v>45881</v>
      </c>
      <c r="B19" s="27" t="s">
        <v>7</v>
      </c>
      <c r="C19" s="24">
        <v>-38.700000000000003</v>
      </c>
    </row>
    <row r="20" spans="1:3" hidden="1" x14ac:dyDescent="0.3">
      <c r="A20" s="26">
        <v>45884</v>
      </c>
      <c r="B20" s="27" t="s">
        <v>7</v>
      </c>
      <c r="C20" s="24">
        <v>-16.12</v>
      </c>
    </row>
    <row r="21" spans="1:3" hidden="1" x14ac:dyDescent="0.3">
      <c r="A21" s="26">
        <v>45884</v>
      </c>
      <c r="B21" s="32" t="s">
        <v>21</v>
      </c>
      <c r="C21" s="24">
        <v>15.85</v>
      </c>
    </row>
    <row r="22" spans="1:3" hidden="1" x14ac:dyDescent="0.3">
      <c r="A22" s="26">
        <v>45899</v>
      </c>
      <c r="B22" s="27" t="s">
        <v>7</v>
      </c>
      <c r="C22" s="24">
        <v>-31.19</v>
      </c>
    </row>
    <row r="23" spans="1:3" hidden="1" x14ac:dyDescent="0.3">
      <c r="A23" s="26">
        <v>45899</v>
      </c>
      <c r="B23" s="32" t="s">
        <v>21</v>
      </c>
      <c r="C23" s="24">
        <v>15.85</v>
      </c>
    </row>
    <row r="24" spans="1:3" hidden="1" x14ac:dyDescent="0.3">
      <c r="A24" s="26">
        <v>45899</v>
      </c>
      <c r="B24" s="34" t="s">
        <v>21</v>
      </c>
      <c r="C24" s="24">
        <v>19.8</v>
      </c>
    </row>
    <row r="25" spans="1:3" hidden="1" x14ac:dyDescent="0.3">
      <c r="A25" s="26">
        <v>45909</v>
      </c>
      <c r="B25" s="27" t="s">
        <v>7</v>
      </c>
      <c r="C25" s="24">
        <v>-35.67</v>
      </c>
    </row>
    <row r="26" spans="1:3" hidden="1" x14ac:dyDescent="0.3">
      <c r="A26" s="26">
        <v>45909</v>
      </c>
      <c r="B26" s="32" t="s">
        <v>21</v>
      </c>
      <c r="C26" s="24">
        <v>31.7</v>
      </c>
    </row>
    <row r="27" spans="1:3" hidden="1" x14ac:dyDescent="0.3">
      <c r="A27" s="26">
        <v>45933</v>
      </c>
      <c r="B27" s="27" t="s">
        <v>1</v>
      </c>
      <c r="C27" s="24">
        <v>62.4</v>
      </c>
    </row>
    <row r="28" spans="1:3" hidden="1" x14ac:dyDescent="0.3">
      <c r="A28" s="26">
        <v>45933</v>
      </c>
      <c r="B28" s="32" t="s">
        <v>21</v>
      </c>
      <c r="C28" s="24">
        <v>47.55</v>
      </c>
    </row>
    <row r="29" spans="1:3" hidden="1" x14ac:dyDescent="0.3">
      <c r="A29" s="26">
        <v>45937</v>
      </c>
      <c r="B29" s="27" t="s">
        <v>7</v>
      </c>
      <c r="C29" s="24">
        <v>-31.7</v>
      </c>
    </row>
    <row r="30" spans="1:3" hidden="1" x14ac:dyDescent="0.3">
      <c r="A30" s="26">
        <v>45944</v>
      </c>
      <c r="B30" s="27" t="s">
        <v>7</v>
      </c>
      <c r="C30" s="24">
        <v>-109.61</v>
      </c>
    </row>
    <row r="31" spans="1:3" x14ac:dyDescent="0.3">
      <c r="A31" s="26">
        <v>45944</v>
      </c>
      <c r="B31" s="27" t="s">
        <v>1</v>
      </c>
      <c r="C31" s="24">
        <v>69</v>
      </c>
    </row>
    <row r="32" spans="1:3" x14ac:dyDescent="0.3">
      <c r="A32" s="26">
        <v>45944</v>
      </c>
      <c r="B32" s="32" t="s">
        <v>21</v>
      </c>
      <c r="C32" s="24">
        <v>32.76</v>
      </c>
    </row>
    <row r="33" spans="1:4" x14ac:dyDescent="0.3">
      <c r="A33" s="26">
        <v>45947</v>
      </c>
      <c r="B33" s="27" t="s">
        <v>1</v>
      </c>
      <c r="C33" s="24">
        <v>69</v>
      </c>
      <c r="D33" s="25">
        <v>3</v>
      </c>
    </row>
    <row r="34" spans="1:4" x14ac:dyDescent="0.3">
      <c r="A34" s="26">
        <v>45961</v>
      </c>
      <c r="B34" s="27" t="s">
        <v>7</v>
      </c>
      <c r="C34" s="24">
        <v>-129.62</v>
      </c>
    </row>
    <row r="35" spans="1:4" x14ac:dyDescent="0.3">
      <c r="A35" s="26">
        <v>45961</v>
      </c>
      <c r="B35" s="32" t="s">
        <v>21</v>
      </c>
      <c r="C35" s="24">
        <v>32.76</v>
      </c>
      <c r="D35" s="25">
        <v>-3</v>
      </c>
    </row>
    <row r="36" spans="1:4" x14ac:dyDescent="0.3">
      <c r="A36" s="26">
        <v>45961</v>
      </c>
      <c r="B36" s="34" t="s">
        <v>21</v>
      </c>
      <c r="C36" s="24">
        <v>40.020000000000003</v>
      </c>
    </row>
    <row r="37" spans="1:4" x14ac:dyDescent="0.3">
      <c r="A37" s="26">
        <v>45972</v>
      </c>
      <c r="B37" s="27" t="s">
        <v>7</v>
      </c>
      <c r="C37" s="24">
        <v>-53.57</v>
      </c>
    </row>
    <row r="38" spans="1:4" x14ac:dyDescent="0.3">
      <c r="A38" s="26">
        <v>45979</v>
      </c>
      <c r="B38" s="27" t="s">
        <v>7</v>
      </c>
      <c r="C38" s="24">
        <v>-43.21</v>
      </c>
    </row>
    <row r="39" spans="1:4" x14ac:dyDescent="0.3">
      <c r="A39" s="26">
        <v>45979</v>
      </c>
      <c r="B39" s="27" t="s">
        <v>1</v>
      </c>
      <c r="C39" s="24">
        <v>32.76</v>
      </c>
    </row>
    <row r="40" spans="1:4" x14ac:dyDescent="0.3">
      <c r="A40" s="26">
        <v>46008</v>
      </c>
      <c r="B40" s="27" t="s">
        <v>1</v>
      </c>
      <c r="C40" s="24">
        <v>58.16</v>
      </c>
    </row>
    <row r="41" spans="1:4" x14ac:dyDescent="0.3">
      <c r="A41" s="26">
        <v>46014</v>
      </c>
      <c r="B41" s="27" t="s">
        <v>4</v>
      </c>
      <c r="C41" s="24">
        <v>-58.16</v>
      </c>
    </row>
    <row r="42" spans="1:4" x14ac:dyDescent="0.3">
      <c r="A42" s="26">
        <v>46014</v>
      </c>
      <c r="B42" s="27" t="s">
        <v>1</v>
      </c>
      <c r="C42" s="24">
        <v>56.96</v>
      </c>
    </row>
    <row r="43" spans="1:4" x14ac:dyDescent="0.3">
      <c r="A43" s="26">
        <v>46020</v>
      </c>
      <c r="B43" s="27" t="s">
        <v>7</v>
      </c>
      <c r="C43" s="24">
        <v>-84</v>
      </c>
    </row>
    <row r="44" spans="1:4" x14ac:dyDescent="0.3">
      <c r="A44" s="26">
        <v>46021</v>
      </c>
      <c r="B44" s="27" t="s">
        <v>1</v>
      </c>
      <c r="C44" s="24">
        <v>66.5</v>
      </c>
    </row>
    <row r="45" spans="1:4" x14ac:dyDescent="0.3">
      <c r="A45" s="26">
        <v>46031</v>
      </c>
      <c r="B45" s="27" t="s">
        <v>1</v>
      </c>
      <c r="C45" s="24">
        <v>60.72</v>
      </c>
    </row>
    <row r="46" spans="1:4" x14ac:dyDescent="0.3">
      <c r="A46" s="26">
        <v>46036</v>
      </c>
      <c r="B46" s="27" t="s">
        <v>1</v>
      </c>
      <c r="C46" s="24">
        <v>90</v>
      </c>
    </row>
    <row r="47" spans="1:4" x14ac:dyDescent="0.3">
      <c r="A47" s="26">
        <v>46036</v>
      </c>
      <c r="B47" s="27" t="s">
        <v>503</v>
      </c>
      <c r="C47" s="24">
        <v>-7.2</v>
      </c>
    </row>
    <row r="48" spans="1:4" x14ac:dyDescent="0.3">
      <c r="A48" s="26">
        <v>46050</v>
      </c>
      <c r="B48" s="27" t="s">
        <v>4</v>
      </c>
      <c r="C48" s="24">
        <v>-66.5</v>
      </c>
    </row>
    <row r="49" spans="1:3" x14ac:dyDescent="0.3">
      <c r="A49" s="26">
        <v>46052</v>
      </c>
      <c r="B49" s="27" t="s">
        <v>1</v>
      </c>
      <c r="C49" s="24">
        <v>72.56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24778-1373-43B9-A1F3-5FA64C48C6B2}">
  <dimension ref="A1:I27"/>
  <sheetViews>
    <sheetView view="pageBreakPreview" zoomScale="80" zoomScaleNormal="100" zoomScaleSheetLayoutView="80" workbookViewId="0">
      <selection activeCell="C24" sqref="C5:C24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419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-1.9999999999967599E-2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45896</v>
      </c>
      <c r="B5" s="27" t="s">
        <v>1</v>
      </c>
      <c r="C5" s="24">
        <v>20.8</v>
      </c>
      <c r="D5" s="30"/>
      <c r="E5" s="30"/>
      <c r="F5" s="30"/>
      <c r="G5" s="22"/>
    </row>
    <row r="6" spans="1:9" x14ac:dyDescent="0.3">
      <c r="A6" s="21">
        <v>45896</v>
      </c>
      <c r="B6" s="34" t="s">
        <v>1</v>
      </c>
      <c r="C6" s="24">
        <v>59.24</v>
      </c>
    </row>
    <row r="7" spans="1:9" x14ac:dyDescent="0.3">
      <c r="A7" s="21">
        <v>45896</v>
      </c>
      <c r="B7" s="46" t="s">
        <v>1</v>
      </c>
      <c r="C7" s="24">
        <v>12.8</v>
      </c>
    </row>
    <row r="8" spans="1:9" x14ac:dyDescent="0.3">
      <c r="A8" s="26">
        <v>45903</v>
      </c>
      <c r="B8" s="27" t="s">
        <v>174</v>
      </c>
      <c r="C8" s="24">
        <v>-96.77</v>
      </c>
    </row>
    <row r="9" spans="1:9" x14ac:dyDescent="0.3">
      <c r="A9" s="26">
        <v>45903</v>
      </c>
      <c r="B9" s="27" t="s">
        <v>1</v>
      </c>
      <c r="C9" s="24">
        <v>41.6</v>
      </c>
      <c r="I9" s="25"/>
    </row>
    <row r="10" spans="1:9" x14ac:dyDescent="0.3">
      <c r="A10" s="26">
        <v>45903</v>
      </c>
      <c r="B10" s="32" t="s">
        <v>1</v>
      </c>
      <c r="C10" s="24">
        <v>21.94</v>
      </c>
    </row>
    <row r="11" spans="1:9" x14ac:dyDescent="0.3">
      <c r="A11" s="26">
        <v>45903</v>
      </c>
      <c r="B11" s="34" t="s">
        <v>1</v>
      </c>
      <c r="C11" s="24">
        <v>63.4</v>
      </c>
    </row>
    <row r="12" spans="1:9" x14ac:dyDescent="0.3">
      <c r="A12" s="26">
        <v>45903</v>
      </c>
      <c r="B12" s="46" t="s">
        <v>1</v>
      </c>
      <c r="C12" s="24">
        <v>29.1</v>
      </c>
    </row>
    <row r="13" spans="1:9" x14ac:dyDescent="0.3">
      <c r="A13" s="26">
        <v>45910</v>
      </c>
      <c r="B13" s="27" t="s">
        <v>7</v>
      </c>
      <c r="C13" s="24">
        <v>-152.12</v>
      </c>
    </row>
    <row r="14" spans="1:9" x14ac:dyDescent="0.3">
      <c r="A14" s="26">
        <v>45910</v>
      </c>
      <c r="B14" s="27" t="s">
        <v>1</v>
      </c>
      <c r="C14" s="24">
        <v>60.64</v>
      </c>
    </row>
    <row r="15" spans="1:9" x14ac:dyDescent="0.3">
      <c r="A15" s="26">
        <v>45910</v>
      </c>
      <c r="B15" s="32" t="s">
        <v>1</v>
      </c>
      <c r="C15" s="24">
        <v>43.33</v>
      </c>
    </row>
    <row r="16" spans="1:9" x14ac:dyDescent="0.3">
      <c r="A16" s="26">
        <v>45910</v>
      </c>
      <c r="B16" s="34" t="s">
        <v>1</v>
      </c>
      <c r="C16" s="24">
        <v>69.37</v>
      </c>
    </row>
    <row r="17" spans="1:3" x14ac:dyDescent="0.3">
      <c r="A17" s="26">
        <v>45917</v>
      </c>
      <c r="B17" s="27" t="s">
        <v>7</v>
      </c>
      <c r="C17" s="24">
        <v>-160.63999999999999</v>
      </c>
    </row>
    <row r="18" spans="1:3" x14ac:dyDescent="0.3">
      <c r="A18" s="26">
        <v>45917</v>
      </c>
      <c r="B18" s="27" t="s">
        <v>1</v>
      </c>
      <c r="C18" s="24">
        <v>44</v>
      </c>
    </row>
    <row r="19" spans="1:3" x14ac:dyDescent="0.3">
      <c r="A19" s="26">
        <v>45917</v>
      </c>
      <c r="B19" s="34" t="s">
        <v>1</v>
      </c>
      <c r="C19" s="24">
        <v>99.21</v>
      </c>
    </row>
    <row r="20" spans="1:3" x14ac:dyDescent="0.3">
      <c r="A20" s="26">
        <v>45917</v>
      </c>
      <c r="B20" s="46" t="s">
        <v>1</v>
      </c>
      <c r="C20" s="24">
        <v>40.6</v>
      </c>
    </row>
    <row r="21" spans="1:3" x14ac:dyDescent="0.3">
      <c r="A21" s="26">
        <v>45924</v>
      </c>
      <c r="B21" s="27" t="s">
        <v>1</v>
      </c>
      <c r="C21" s="24">
        <v>41.6</v>
      </c>
    </row>
    <row r="22" spans="1:3" x14ac:dyDescent="0.3">
      <c r="A22" s="26">
        <v>45924</v>
      </c>
      <c r="B22" s="32" t="s">
        <v>1</v>
      </c>
      <c r="C22" s="24">
        <v>15</v>
      </c>
    </row>
    <row r="23" spans="1:3" x14ac:dyDescent="0.3">
      <c r="A23" s="26">
        <v>45930</v>
      </c>
      <c r="B23" s="27" t="s">
        <v>4</v>
      </c>
      <c r="C23" s="24">
        <v>-155.01</v>
      </c>
    </row>
    <row r="24" spans="1:3" x14ac:dyDescent="0.3">
      <c r="A24" s="26">
        <v>45931</v>
      </c>
      <c r="B24" s="27" t="s">
        <v>7</v>
      </c>
      <c r="C24" s="24">
        <v>-117.5</v>
      </c>
    </row>
    <row r="25" spans="1:3" x14ac:dyDescent="0.3">
      <c r="A25" s="26">
        <v>45931</v>
      </c>
      <c r="B25" s="27" t="s">
        <v>1</v>
      </c>
      <c r="C25" s="24">
        <v>83.2</v>
      </c>
    </row>
    <row r="26" spans="1:3" x14ac:dyDescent="0.3">
      <c r="A26" s="26">
        <v>45931</v>
      </c>
      <c r="B26" s="32" t="s">
        <v>1</v>
      </c>
      <c r="C26" s="24">
        <v>9.84</v>
      </c>
    </row>
    <row r="27" spans="1:3" x14ac:dyDescent="0.3">
      <c r="A27" s="26">
        <v>45938</v>
      </c>
      <c r="B27" s="27" t="s">
        <v>7</v>
      </c>
      <c r="C27" s="24">
        <v>-73.650000000000006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2A29-B9D5-43B2-9DF2-25B30DC23A72}">
  <dimension ref="A1:I21"/>
  <sheetViews>
    <sheetView view="pageBreakPreview" zoomScale="80" zoomScaleNormal="100" zoomScaleSheetLayoutView="80" workbookViewId="0">
      <selection activeCell="C22" sqref="C2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391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 t="s">
        <v>412</v>
      </c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0.12999999999999545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45869</v>
      </c>
      <c r="B5" s="31" t="s">
        <v>4</v>
      </c>
      <c r="C5" s="24">
        <v>-15.85</v>
      </c>
      <c r="D5" s="30"/>
      <c r="E5" s="30"/>
      <c r="F5" s="30"/>
      <c r="G5" s="22"/>
    </row>
    <row r="6" spans="1:9" x14ac:dyDescent="0.3">
      <c r="A6" s="21">
        <v>45869</v>
      </c>
      <c r="B6" s="32" t="s">
        <v>21</v>
      </c>
      <c r="C6" s="24">
        <v>15.85</v>
      </c>
    </row>
    <row r="7" spans="1:9" x14ac:dyDescent="0.3">
      <c r="A7" s="26">
        <v>45884</v>
      </c>
      <c r="B7" s="27" t="s">
        <v>4</v>
      </c>
      <c r="C7" s="24">
        <v>-26.77</v>
      </c>
    </row>
    <row r="8" spans="1:9" x14ac:dyDescent="0.3">
      <c r="A8" s="26">
        <v>45883</v>
      </c>
      <c r="B8" s="34" t="s">
        <v>1</v>
      </c>
      <c r="C8" s="24">
        <v>26.9</v>
      </c>
    </row>
    <row r="9" spans="1:9" x14ac:dyDescent="0.3">
      <c r="A9" s="26">
        <v>45925</v>
      </c>
      <c r="B9" s="32" t="s">
        <v>1</v>
      </c>
      <c r="C9" s="24">
        <v>15.85</v>
      </c>
      <c r="I9" s="25"/>
    </row>
    <row r="10" spans="1:9" x14ac:dyDescent="0.3">
      <c r="A10" s="26">
        <v>45930</v>
      </c>
      <c r="B10" s="27" t="s">
        <v>4</v>
      </c>
      <c r="C10" s="24">
        <v>-15.85</v>
      </c>
    </row>
    <row r="11" spans="1:9" x14ac:dyDescent="0.3">
      <c r="A11" s="26">
        <v>45953</v>
      </c>
      <c r="B11" s="27" t="s">
        <v>4</v>
      </c>
      <c r="C11" s="24">
        <v>-23.33</v>
      </c>
    </row>
    <row r="12" spans="1:9" x14ac:dyDescent="0.3">
      <c r="A12" s="26">
        <v>45953</v>
      </c>
      <c r="B12" s="34" t="s">
        <v>1</v>
      </c>
      <c r="C12" s="24">
        <v>23.33</v>
      </c>
    </row>
    <row r="13" spans="1:9" x14ac:dyDescent="0.3">
      <c r="A13" s="26">
        <v>45974</v>
      </c>
      <c r="B13" s="27" t="s">
        <v>4</v>
      </c>
      <c r="C13" s="24">
        <v>-45</v>
      </c>
    </row>
    <row r="14" spans="1:9" x14ac:dyDescent="0.3">
      <c r="A14" s="26">
        <v>45974</v>
      </c>
      <c r="B14" s="27" t="s">
        <v>1</v>
      </c>
      <c r="C14" s="24">
        <v>57</v>
      </c>
    </row>
    <row r="15" spans="1:9" x14ac:dyDescent="0.3">
      <c r="A15" s="26">
        <v>45975</v>
      </c>
      <c r="B15" s="27" t="s">
        <v>4</v>
      </c>
      <c r="C15" s="24">
        <v>-12</v>
      </c>
    </row>
    <row r="16" spans="1:9" x14ac:dyDescent="0.3">
      <c r="A16" s="26">
        <v>45981</v>
      </c>
      <c r="B16" s="27" t="s">
        <v>4</v>
      </c>
      <c r="C16" s="24">
        <v>-33.89</v>
      </c>
    </row>
    <row r="17" spans="1:3" x14ac:dyDescent="0.3">
      <c r="A17" s="26">
        <v>45981</v>
      </c>
      <c r="B17" s="27" t="s">
        <v>1</v>
      </c>
      <c r="C17" s="24">
        <v>33.89</v>
      </c>
    </row>
    <row r="18" spans="1:3" x14ac:dyDescent="0.3">
      <c r="A18" s="26">
        <v>46002</v>
      </c>
      <c r="B18" s="27" t="s">
        <v>4</v>
      </c>
      <c r="C18" s="24">
        <v>-64.03</v>
      </c>
    </row>
    <row r="19" spans="1:3" x14ac:dyDescent="0.3">
      <c r="A19" s="26">
        <v>46002</v>
      </c>
      <c r="B19" s="27" t="s">
        <v>1</v>
      </c>
      <c r="C19" s="24">
        <v>64.03</v>
      </c>
    </row>
    <row r="20" spans="1:3" x14ac:dyDescent="0.3">
      <c r="A20" s="26">
        <v>46009</v>
      </c>
      <c r="B20" s="27" t="s">
        <v>1</v>
      </c>
      <c r="C20" s="24">
        <v>23.14</v>
      </c>
    </row>
    <row r="21" spans="1:3" x14ac:dyDescent="0.3">
      <c r="A21" s="26">
        <v>46010</v>
      </c>
      <c r="B21" s="27" t="s">
        <v>4</v>
      </c>
      <c r="C21" s="24">
        <v>-23.14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5E0FF-489B-4DE1-9CDF-20CF60296A0D}">
  <dimension ref="A1:L86"/>
  <sheetViews>
    <sheetView view="pageBreakPreview" zoomScale="80" zoomScaleNormal="100" zoomScaleSheetLayoutView="80" workbookViewId="0">
      <selection activeCell="C30" sqref="C3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12" x14ac:dyDescent="0.3">
      <c r="A1" s="16" t="s">
        <v>15</v>
      </c>
      <c r="B1" s="17" t="s">
        <v>343</v>
      </c>
      <c r="C1" s="17"/>
      <c r="D1" s="17"/>
      <c r="E1" s="17"/>
      <c r="F1" s="17"/>
      <c r="G1" s="18"/>
      <c r="H1" s="16"/>
    </row>
    <row r="2" spans="1:12" x14ac:dyDescent="0.3">
      <c r="A2" s="16" t="s">
        <v>91</v>
      </c>
      <c r="B2" s="17" t="s">
        <v>344</v>
      </c>
      <c r="C2" s="17"/>
      <c r="D2" s="17"/>
      <c r="E2" s="17"/>
      <c r="F2" s="17"/>
      <c r="G2" s="17"/>
    </row>
    <row r="3" spans="1:12" ht="14.4" thickBot="1" x14ac:dyDescent="0.35">
      <c r="A3" s="138" t="s">
        <v>16</v>
      </c>
      <c r="B3" s="139"/>
      <c r="C3" s="19">
        <f>SUM(C$4:C$1048576)</f>
        <v>61.11999999999999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12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12" hidden="1" x14ac:dyDescent="0.3">
      <c r="A5" s="21">
        <v>45848</v>
      </c>
      <c r="B5" s="27" t="s">
        <v>21</v>
      </c>
      <c r="C5" s="24">
        <v>12.8</v>
      </c>
      <c r="D5" s="30"/>
      <c r="E5" s="30"/>
      <c r="F5" s="30"/>
      <c r="G5" s="22"/>
    </row>
    <row r="6" spans="1:12" hidden="1" x14ac:dyDescent="0.3">
      <c r="A6" s="21">
        <v>45848</v>
      </c>
      <c r="B6" s="32" t="s">
        <v>21</v>
      </c>
      <c r="C6" s="24">
        <v>25.45</v>
      </c>
    </row>
    <row r="7" spans="1:12" hidden="1" x14ac:dyDescent="0.3">
      <c r="A7" s="21">
        <v>45861</v>
      </c>
      <c r="B7" s="27" t="s">
        <v>4</v>
      </c>
      <c r="C7" s="24">
        <v>-24.91</v>
      </c>
      <c r="L7" s="18">
        <v>273.05</v>
      </c>
    </row>
    <row r="8" spans="1:12" hidden="1" x14ac:dyDescent="0.3">
      <c r="A8" s="21">
        <v>45861</v>
      </c>
      <c r="B8" s="27" t="s">
        <v>174</v>
      </c>
      <c r="C8" s="24">
        <v>-13.34</v>
      </c>
      <c r="L8" s="18">
        <f>+L6+L7</f>
        <v>273.05</v>
      </c>
    </row>
    <row r="9" spans="1:12" hidden="1" x14ac:dyDescent="0.3">
      <c r="A9" s="26">
        <v>45870</v>
      </c>
      <c r="B9" s="32" t="s">
        <v>1</v>
      </c>
      <c r="C9" s="24">
        <v>15.85</v>
      </c>
      <c r="L9" s="18">
        <f>25.45-32.95</f>
        <v>-7.5000000000000036</v>
      </c>
    </row>
    <row r="10" spans="1:12" hidden="1" x14ac:dyDescent="0.3">
      <c r="A10" s="26">
        <v>45870</v>
      </c>
      <c r="B10" s="34" t="s">
        <v>1</v>
      </c>
      <c r="C10" s="24">
        <v>14.04</v>
      </c>
      <c r="L10" s="18">
        <f>+L8+L9</f>
        <v>265.55</v>
      </c>
    </row>
    <row r="11" spans="1:12" hidden="1" x14ac:dyDescent="0.3">
      <c r="A11" s="26">
        <v>45870</v>
      </c>
      <c r="B11" s="46" t="s">
        <v>1</v>
      </c>
      <c r="C11" s="24">
        <v>1.65</v>
      </c>
    </row>
    <row r="12" spans="1:12" hidden="1" x14ac:dyDescent="0.3">
      <c r="A12" s="26">
        <v>45884</v>
      </c>
      <c r="B12" s="27" t="s">
        <v>4</v>
      </c>
      <c r="C12" s="24">
        <v>-31.25</v>
      </c>
    </row>
    <row r="13" spans="1:12" hidden="1" x14ac:dyDescent="0.3">
      <c r="A13" s="26">
        <v>45884</v>
      </c>
      <c r="B13" s="34" t="s">
        <v>1</v>
      </c>
      <c r="C13" s="24">
        <v>15.02</v>
      </c>
    </row>
    <row r="14" spans="1:12" hidden="1" x14ac:dyDescent="0.3">
      <c r="A14" s="26">
        <v>45897</v>
      </c>
      <c r="B14" s="27" t="s">
        <v>4</v>
      </c>
      <c r="C14" s="24">
        <v>-15.31</v>
      </c>
    </row>
    <row r="15" spans="1:12" hidden="1" x14ac:dyDescent="0.3">
      <c r="A15" s="26">
        <v>45897</v>
      </c>
      <c r="B15" s="32" t="s">
        <v>1</v>
      </c>
      <c r="C15" s="24">
        <v>25.45</v>
      </c>
    </row>
    <row r="16" spans="1:12" hidden="1" x14ac:dyDescent="0.3">
      <c r="A16" s="26">
        <v>45905</v>
      </c>
      <c r="B16" s="27" t="s">
        <v>1</v>
      </c>
      <c r="C16" s="24">
        <v>17.7</v>
      </c>
    </row>
    <row r="17" spans="1:3" hidden="1" x14ac:dyDescent="0.3">
      <c r="A17" s="26">
        <v>45916</v>
      </c>
      <c r="B17" s="32" t="s">
        <v>1</v>
      </c>
      <c r="C17" s="24">
        <v>15.85</v>
      </c>
    </row>
    <row r="18" spans="1:3" hidden="1" x14ac:dyDescent="0.3">
      <c r="A18" s="26">
        <v>45917</v>
      </c>
      <c r="B18" s="27" t="s">
        <v>4</v>
      </c>
      <c r="C18" s="24">
        <v>-25.45</v>
      </c>
    </row>
    <row r="19" spans="1:3" hidden="1" x14ac:dyDescent="0.3">
      <c r="A19" s="26">
        <v>45917</v>
      </c>
      <c r="B19" s="27" t="s">
        <v>4</v>
      </c>
      <c r="C19" s="24">
        <v>-17.7</v>
      </c>
    </row>
    <row r="20" spans="1:3" hidden="1" x14ac:dyDescent="0.3">
      <c r="A20" s="26">
        <v>45938</v>
      </c>
      <c r="B20" s="27" t="s">
        <v>4</v>
      </c>
      <c r="C20" s="24">
        <v>-15.85</v>
      </c>
    </row>
    <row r="21" spans="1:3" hidden="1" x14ac:dyDescent="0.3">
      <c r="A21" s="26">
        <v>45938</v>
      </c>
      <c r="B21" s="32" t="s">
        <v>1</v>
      </c>
      <c r="C21" s="24">
        <v>9.6</v>
      </c>
    </row>
    <row r="22" spans="1:3" hidden="1" x14ac:dyDescent="0.3">
      <c r="A22" s="26">
        <v>45938</v>
      </c>
      <c r="B22" s="34" t="s">
        <v>1</v>
      </c>
      <c r="C22" s="24">
        <v>5.53</v>
      </c>
    </row>
    <row r="23" spans="1:3" hidden="1" x14ac:dyDescent="0.3">
      <c r="A23" s="26">
        <v>45958</v>
      </c>
      <c r="B23" s="27" t="s">
        <v>4</v>
      </c>
      <c r="C23" s="24">
        <v>-15.92</v>
      </c>
    </row>
    <row r="24" spans="1:3" x14ac:dyDescent="0.3">
      <c r="A24" s="26">
        <v>45958</v>
      </c>
      <c r="B24" s="32" t="s">
        <v>1</v>
      </c>
      <c r="C24" s="24">
        <v>26.38</v>
      </c>
    </row>
    <row r="25" spans="1:3" x14ac:dyDescent="0.3">
      <c r="A25" s="26">
        <v>45958</v>
      </c>
      <c r="B25" s="34" t="s">
        <v>1</v>
      </c>
      <c r="C25" s="24">
        <v>6.98</v>
      </c>
    </row>
    <row r="26" spans="1:3" x14ac:dyDescent="0.3">
      <c r="A26" s="26">
        <v>45986</v>
      </c>
      <c r="B26" s="27" t="s">
        <v>1</v>
      </c>
      <c r="C26" s="24">
        <v>18.920000000000002</v>
      </c>
    </row>
    <row r="27" spans="1:3" x14ac:dyDescent="0.3">
      <c r="A27" s="26">
        <v>45987</v>
      </c>
      <c r="B27" s="27" t="s">
        <v>4</v>
      </c>
      <c r="C27" s="24">
        <v>-32.57</v>
      </c>
    </row>
    <row r="28" spans="1:3" x14ac:dyDescent="0.3">
      <c r="A28" s="26">
        <v>46043</v>
      </c>
      <c r="B28" s="27" t="s">
        <v>4</v>
      </c>
      <c r="C28" s="24">
        <v>-18.920000000000002</v>
      </c>
    </row>
    <row r="29" spans="1:3" x14ac:dyDescent="0.3">
      <c r="A29" s="26">
        <v>46043</v>
      </c>
      <c r="B29" s="27" t="s">
        <v>1</v>
      </c>
      <c r="C29" s="24">
        <v>61.12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C1C0-6054-4A26-9D2C-119E158A22B1}">
  <sheetPr codeName="Hoja57"/>
  <dimension ref="A1:H33"/>
  <sheetViews>
    <sheetView view="pageBreakPreview" zoomScale="80" zoomScaleNormal="100" zoomScaleSheetLayoutView="80" workbookViewId="0">
      <selection activeCell="C34" sqref="C34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199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200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84.370000000000104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45820</v>
      </c>
      <c r="B5" s="27" t="s">
        <v>1</v>
      </c>
      <c r="C5" s="24">
        <v>20.8</v>
      </c>
      <c r="D5" s="30"/>
      <c r="E5" s="30"/>
      <c r="F5" s="30"/>
      <c r="G5" s="22"/>
    </row>
    <row r="6" spans="1:8" hidden="1" x14ac:dyDescent="0.3">
      <c r="A6" s="21">
        <v>45820</v>
      </c>
      <c r="B6" s="32" t="s">
        <v>21</v>
      </c>
      <c r="C6" s="24">
        <v>23.55</v>
      </c>
    </row>
    <row r="7" spans="1:8" hidden="1" x14ac:dyDescent="0.3">
      <c r="A7" s="26">
        <v>45827</v>
      </c>
      <c r="B7" s="27" t="s">
        <v>4</v>
      </c>
      <c r="C7" s="24">
        <v>-44.35</v>
      </c>
    </row>
    <row r="8" spans="1:8" hidden="1" x14ac:dyDescent="0.3">
      <c r="A8" s="26">
        <v>45827</v>
      </c>
      <c r="B8" s="27" t="s">
        <v>1</v>
      </c>
      <c r="C8" s="24">
        <v>62.4</v>
      </c>
    </row>
    <row r="9" spans="1:8" hidden="1" x14ac:dyDescent="0.3">
      <c r="A9" s="26">
        <v>45856</v>
      </c>
      <c r="B9" s="27" t="s">
        <v>4</v>
      </c>
      <c r="C9" s="24">
        <v>-46.5</v>
      </c>
    </row>
    <row r="10" spans="1:8" hidden="1" x14ac:dyDescent="0.3">
      <c r="A10" s="26">
        <v>45856</v>
      </c>
      <c r="B10" s="27" t="s">
        <v>4</v>
      </c>
      <c r="C10" s="24">
        <v>-15.9</v>
      </c>
    </row>
    <row r="11" spans="1:8" hidden="1" x14ac:dyDescent="0.3">
      <c r="A11" s="26">
        <v>45856</v>
      </c>
      <c r="B11" s="27" t="s">
        <v>1</v>
      </c>
      <c r="C11" s="24">
        <v>104</v>
      </c>
    </row>
    <row r="12" spans="1:8" hidden="1" x14ac:dyDescent="0.3">
      <c r="A12" s="26">
        <v>45856</v>
      </c>
      <c r="B12" s="32" t="s">
        <v>21</v>
      </c>
      <c r="C12" s="24">
        <v>60.85</v>
      </c>
    </row>
    <row r="13" spans="1:8" hidden="1" x14ac:dyDescent="0.3">
      <c r="A13" s="26">
        <v>45884</v>
      </c>
      <c r="B13" s="27" t="s">
        <v>4</v>
      </c>
      <c r="C13" s="24">
        <v>-102.48</v>
      </c>
    </row>
    <row r="14" spans="1:8" hidden="1" x14ac:dyDescent="0.3">
      <c r="A14" s="26">
        <v>45891</v>
      </c>
      <c r="B14" s="27" t="s">
        <v>4</v>
      </c>
      <c r="C14" s="24">
        <v>-62.37</v>
      </c>
    </row>
    <row r="15" spans="1:8" x14ac:dyDescent="0.3">
      <c r="A15" s="26">
        <v>45891</v>
      </c>
      <c r="B15" s="27" t="s">
        <v>4</v>
      </c>
      <c r="C15" s="24">
        <v>-163.51</v>
      </c>
    </row>
    <row r="16" spans="1:8" x14ac:dyDescent="0.3">
      <c r="A16" s="26">
        <v>45891</v>
      </c>
      <c r="B16" s="27" t="s">
        <v>1</v>
      </c>
      <c r="C16" s="24">
        <v>83.2</v>
      </c>
    </row>
    <row r="17" spans="1:3" x14ac:dyDescent="0.3">
      <c r="A17" s="26">
        <v>45891</v>
      </c>
      <c r="B17" s="32" t="s">
        <v>21</v>
      </c>
      <c r="C17" s="24">
        <v>15.85</v>
      </c>
    </row>
    <row r="18" spans="1:3" x14ac:dyDescent="0.3">
      <c r="A18" s="26">
        <v>45891</v>
      </c>
      <c r="B18" s="34" t="s">
        <v>21</v>
      </c>
      <c r="C18" s="24">
        <v>222.38</v>
      </c>
    </row>
    <row r="19" spans="1:3" x14ac:dyDescent="0.3">
      <c r="A19" s="26">
        <v>45919</v>
      </c>
      <c r="B19" s="27" t="s">
        <v>4</v>
      </c>
      <c r="C19" s="24">
        <v>-120.91</v>
      </c>
    </row>
    <row r="20" spans="1:3" x14ac:dyDescent="0.3">
      <c r="A20" s="26">
        <v>45919</v>
      </c>
      <c r="B20" s="27" t="s">
        <v>4</v>
      </c>
      <c r="C20" s="24">
        <v>-37.01</v>
      </c>
    </row>
    <row r="21" spans="1:3" x14ac:dyDescent="0.3">
      <c r="A21" s="26">
        <v>45919</v>
      </c>
      <c r="B21" s="27" t="s">
        <v>1</v>
      </c>
      <c r="C21" s="24">
        <v>83.2</v>
      </c>
    </row>
    <row r="22" spans="1:3" x14ac:dyDescent="0.3">
      <c r="A22" s="26">
        <v>45919</v>
      </c>
      <c r="B22" s="34" t="s">
        <v>21</v>
      </c>
      <c r="C22" s="24">
        <v>214.72</v>
      </c>
    </row>
    <row r="23" spans="1:3" x14ac:dyDescent="0.3">
      <c r="A23" s="26">
        <v>45919</v>
      </c>
      <c r="B23" s="46" t="s">
        <v>21</v>
      </c>
      <c r="C23" s="24">
        <v>26.28</v>
      </c>
    </row>
    <row r="24" spans="1:3" x14ac:dyDescent="0.3">
      <c r="A24" s="26">
        <v>45933</v>
      </c>
      <c r="B24" s="27" t="s">
        <v>4</v>
      </c>
      <c r="C24" s="24">
        <v>-32.76</v>
      </c>
    </row>
    <row r="25" spans="1:3" x14ac:dyDescent="0.3">
      <c r="A25" s="26">
        <v>45933</v>
      </c>
      <c r="B25" s="27" t="s">
        <v>4</v>
      </c>
      <c r="C25" s="24">
        <v>-21.84</v>
      </c>
    </row>
    <row r="26" spans="1:3" x14ac:dyDescent="0.3">
      <c r="A26" s="26">
        <v>45933</v>
      </c>
      <c r="B26" s="27" t="s">
        <v>4</v>
      </c>
      <c r="C26" s="24">
        <v>-109.21</v>
      </c>
    </row>
    <row r="27" spans="1:3" x14ac:dyDescent="0.3">
      <c r="A27" s="26">
        <v>45954</v>
      </c>
      <c r="B27" s="27" t="s">
        <v>1</v>
      </c>
      <c r="C27" s="24">
        <v>92</v>
      </c>
    </row>
    <row r="28" spans="1:3" x14ac:dyDescent="0.3">
      <c r="A28" s="26">
        <v>45954</v>
      </c>
      <c r="B28" s="32" t="s">
        <v>21</v>
      </c>
      <c r="C28" s="24">
        <v>16.38</v>
      </c>
    </row>
    <row r="29" spans="1:3" x14ac:dyDescent="0.3">
      <c r="A29" s="26">
        <v>45954</v>
      </c>
      <c r="B29" s="34" t="s">
        <v>21</v>
      </c>
      <c r="C29" s="24">
        <v>7.38</v>
      </c>
    </row>
    <row r="30" spans="1:3" x14ac:dyDescent="0.3">
      <c r="A30" s="26">
        <v>45957</v>
      </c>
      <c r="B30" s="27" t="s">
        <v>4</v>
      </c>
      <c r="C30" s="24">
        <v>-16.64</v>
      </c>
    </row>
    <row r="31" spans="1:3" x14ac:dyDescent="0.3">
      <c r="A31" s="26">
        <v>45957</v>
      </c>
      <c r="B31" s="27" t="s">
        <v>4</v>
      </c>
      <c r="C31" s="24">
        <v>-47.6</v>
      </c>
    </row>
    <row r="32" spans="1:3" x14ac:dyDescent="0.3">
      <c r="A32" s="26">
        <v>45957</v>
      </c>
      <c r="B32" s="27" t="s">
        <v>4</v>
      </c>
      <c r="C32" s="24">
        <v>-92.43</v>
      </c>
    </row>
    <row r="33" spans="1:3" x14ac:dyDescent="0.3">
      <c r="A33" s="26">
        <v>46038</v>
      </c>
      <c r="B33" s="27" t="s">
        <v>4</v>
      </c>
      <c r="C33" s="24">
        <v>-35.11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DCA7-979A-4063-98D1-65E6AE92452C}">
  <sheetPr codeName="Hoja58"/>
  <dimension ref="A1:H21"/>
  <sheetViews>
    <sheetView view="pageBreakPreview" zoomScale="80" zoomScaleNormal="100" zoomScaleSheetLayoutView="80" workbookViewId="0">
      <selection activeCell="C22" sqref="C2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118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-0.83000000000001251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45815</v>
      </c>
      <c r="B5" s="32" t="s">
        <v>21</v>
      </c>
      <c r="C5" s="24">
        <v>107.55</v>
      </c>
      <c r="D5" s="30"/>
      <c r="E5" s="30"/>
      <c r="F5" s="30"/>
      <c r="G5" s="22"/>
    </row>
    <row r="6" spans="1:8" x14ac:dyDescent="0.3">
      <c r="A6" s="21">
        <v>45815</v>
      </c>
      <c r="B6" s="34" t="s">
        <v>21</v>
      </c>
      <c r="C6" s="24">
        <v>99.36</v>
      </c>
    </row>
    <row r="7" spans="1:8" x14ac:dyDescent="0.3">
      <c r="A7" s="26">
        <v>45821</v>
      </c>
      <c r="B7" s="27" t="s">
        <v>4</v>
      </c>
      <c r="C7" s="24">
        <v>-206.91</v>
      </c>
    </row>
    <row r="8" spans="1:8" x14ac:dyDescent="0.3">
      <c r="A8" s="26">
        <v>45821</v>
      </c>
      <c r="B8" s="27" t="s">
        <v>1</v>
      </c>
      <c r="C8" s="24">
        <v>133.80000000000001</v>
      </c>
    </row>
    <row r="9" spans="1:8" x14ac:dyDescent="0.3">
      <c r="A9" s="26">
        <v>45828</v>
      </c>
      <c r="B9" s="27" t="s">
        <v>4</v>
      </c>
      <c r="C9" s="24">
        <v>-133.80000000000001</v>
      </c>
    </row>
    <row r="10" spans="1:8" x14ac:dyDescent="0.3">
      <c r="A10" s="26">
        <v>45835</v>
      </c>
      <c r="B10" s="32" t="s">
        <v>21</v>
      </c>
      <c r="C10" s="24">
        <v>148</v>
      </c>
    </row>
    <row r="11" spans="1:8" x14ac:dyDescent="0.3">
      <c r="A11" s="26">
        <v>45835</v>
      </c>
      <c r="B11" s="34" t="s">
        <v>21</v>
      </c>
      <c r="C11" s="24">
        <v>20</v>
      </c>
    </row>
    <row r="12" spans="1:8" x14ac:dyDescent="0.3">
      <c r="A12" s="26">
        <v>45859</v>
      </c>
      <c r="B12" s="31" t="s">
        <v>4</v>
      </c>
      <c r="C12" s="24">
        <v>-167.99</v>
      </c>
    </row>
    <row r="13" spans="1:8" x14ac:dyDescent="0.3">
      <c r="A13" s="26">
        <v>45891</v>
      </c>
      <c r="B13" s="32" t="s">
        <v>21</v>
      </c>
      <c r="C13" s="24">
        <v>256.64999999999998</v>
      </c>
    </row>
    <row r="14" spans="1:8" x14ac:dyDescent="0.3">
      <c r="A14" s="26">
        <v>45891</v>
      </c>
      <c r="B14" s="34" t="s">
        <v>21</v>
      </c>
      <c r="C14" s="24">
        <v>55.92</v>
      </c>
    </row>
    <row r="15" spans="1:8" x14ac:dyDescent="0.3">
      <c r="A15" s="26">
        <v>45906</v>
      </c>
      <c r="B15" s="27" t="s">
        <v>4</v>
      </c>
      <c r="C15" s="24">
        <v>-300.08</v>
      </c>
    </row>
    <row r="16" spans="1:8" x14ac:dyDescent="0.3">
      <c r="A16" s="26">
        <v>45905</v>
      </c>
      <c r="B16" s="34" t="s">
        <v>21</v>
      </c>
      <c r="C16" s="24">
        <v>43.44</v>
      </c>
    </row>
    <row r="17" spans="1:3" x14ac:dyDescent="0.3">
      <c r="A17" s="26">
        <v>45916</v>
      </c>
      <c r="B17" s="27" t="s">
        <v>4</v>
      </c>
      <c r="C17" s="24">
        <v>-55.94</v>
      </c>
    </row>
    <row r="18" spans="1:3" x14ac:dyDescent="0.3">
      <c r="A18" s="26">
        <v>45954</v>
      </c>
      <c r="B18" s="34" t="s">
        <v>21</v>
      </c>
      <c r="C18" s="24">
        <v>80.88</v>
      </c>
    </row>
    <row r="19" spans="1:3" x14ac:dyDescent="0.3">
      <c r="A19" s="26">
        <v>45959</v>
      </c>
      <c r="B19" s="27" t="s">
        <v>4</v>
      </c>
      <c r="C19" s="24">
        <v>-80.81</v>
      </c>
    </row>
    <row r="20" spans="1:3" x14ac:dyDescent="0.3">
      <c r="A20" s="26">
        <v>46003</v>
      </c>
      <c r="B20" s="27" t="s">
        <v>1</v>
      </c>
      <c r="C20" s="24">
        <v>234.1</v>
      </c>
    </row>
    <row r="21" spans="1:3" x14ac:dyDescent="0.3">
      <c r="A21" s="26">
        <v>46045</v>
      </c>
      <c r="B21" s="27" t="s">
        <v>4</v>
      </c>
      <c r="C21" s="24">
        <v>-235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04C52-F9B9-4A0D-B1CF-2A8E9AA0E735}">
  <dimension ref="A1:H19"/>
  <sheetViews>
    <sheetView view="pageBreakPreview" zoomScale="80" zoomScaleNormal="100" zoomScaleSheetLayoutView="80" workbookViewId="0">
      <selection activeCell="C20" sqref="C2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415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416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-3.0000000000029114E-2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45883</v>
      </c>
      <c r="B5" s="32" t="s">
        <v>21</v>
      </c>
      <c r="C5" s="24">
        <v>53.85</v>
      </c>
      <c r="D5" s="30"/>
      <c r="E5" s="30"/>
      <c r="F5" s="30"/>
      <c r="G5" s="22"/>
    </row>
    <row r="6" spans="1:8" x14ac:dyDescent="0.3">
      <c r="A6" s="21">
        <v>45883</v>
      </c>
      <c r="B6" s="34" t="s">
        <v>1</v>
      </c>
      <c r="C6" s="24">
        <v>35.159999999999997</v>
      </c>
    </row>
    <row r="7" spans="1:8" x14ac:dyDescent="0.3">
      <c r="A7" s="26">
        <v>45884</v>
      </c>
      <c r="B7" s="32" t="s">
        <v>21</v>
      </c>
      <c r="C7" s="24">
        <v>12.1</v>
      </c>
    </row>
    <row r="8" spans="1:8" x14ac:dyDescent="0.3">
      <c r="A8" s="26">
        <v>45890</v>
      </c>
      <c r="B8" s="27" t="s">
        <v>174</v>
      </c>
      <c r="C8" s="24">
        <v>-101.12</v>
      </c>
    </row>
    <row r="9" spans="1:8" x14ac:dyDescent="0.3">
      <c r="A9" s="26">
        <v>45890</v>
      </c>
      <c r="B9" s="32" t="s">
        <v>1</v>
      </c>
      <c r="C9" s="24">
        <v>53</v>
      </c>
    </row>
    <row r="10" spans="1:8" x14ac:dyDescent="0.3">
      <c r="A10" s="26">
        <v>45899</v>
      </c>
      <c r="B10" s="27" t="s">
        <v>7</v>
      </c>
      <c r="C10" s="24">
        <v>-53</v>
      </c>
    </row>
    <row r="11" spans="1:8" x14ac:dyDescent="0.3">
      <c r="A11" s="26">
        <v>45899</v>
      </c>
      <c r="B11" s="32" t="s">
        <v>1</v>
      </c>
      <c r="C11" s="24">
        <v>69.7</v>
      </c>
    </row>
    <row r="12" spans="1:8" x14ac:dyDescent="0.3">
      <c r="A12" s="26">
        <v>45899</v>
      </c>
      <c r="B12" s="34" t="s">
        <v>1</v>
      </c>
      <c r="C12" s="24">
        <v>125.04</v>
      </c>
    </row>
    <row r="13" spans="1:8" x14ac:dyDescent="0.3">
      <c r="A13" s="26">
        <v>45912</v>
      </c>
      <c r="B13" s="27" t="s">
        <v>7</v>
      </c>
      <c r="C13" s="24">
        <v>-194.74</v>
      </c>
    </row>
    <row r="14" spans="1:8" x14ac:dyDescent="0.3">
      <c r="A14" s="26">
        <v>45912</v>
      </c>
      <c r="B14" s="32" t="s">
        <v>1</v>
      </c>
      <c r="C14" s="24">
        <v>19.600000000000001</v>
      </c>
    </row>
    <row r="15" spans="1:8" x14ac:dyDescent="0.3">
      <c r="A15" s="26">
        <v>45912</v>
      </c>
      <c r="B15" s="34" t="s">
        <v>1</v>
      </c>
      <c r="C15" s="24">
        <v>35.159999999999997</v>
      </c>
    </row>
    <row r="16" spans="1:8" x14ac:dyDescent="0.3">
      <c r="A16" s="26">
        <v>45929</v>
      </c>
      <c r="B16" s="27" t="s">
        <v>7</v>
      </c>
      <c r="C16" s="24">
        <v>-54.77</v>
      </c>
    </row>
    <row r="17" spans="1:3" x14ac:dyDescent="0.3">
      <c r="A17" s="26">
        <v>45929</v>
      </c>
      <c r="B17" s="32" t="s">
        <v>1</v>
      </c>
      <c r="C17" s="24">
        <v>91</v>
      </c>
    </row>
    <row r="18" spans="1:3" x14ac:dyDescent="0.3">
      <c r="A18" s="26">
        <v>45961</v>
      </c>
      <c r="B18" s="27" t="s">
        <v>7</v>
      </c>
      <c r="C18" s="24">
        <v>-87.62</v>
      </c>
    </row>
    <row r="19" spans="1:3" x14ac:dyDescent="0.3">
      <c r="A19" s="26">
        <v>45996</v>
      </c>
      <c r="B19" s="27" t="s">
        <v>7</v>
      </c>
      <c r="C19" s="24">
        <v>-3.39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184A2-922A-4A43-A2DD-32167B244814}">
  <dimension ref="A1:H40"/>
  <sheetViews>
    <sheetView view="pageBreakPreview" zoomScale="80" zoomScaleNormal="100" zoomScaleSheetLayoutView="80" workbookViewId="0"/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448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45918</v>
      </c>
      <c r="B5" s="32" t="s">
        <v>21</v>
      </c>
      <c r="C5" s="24">
        <v>13.45</v>
      </c>
      <c r="D5" s="30"/>
      <c r="E5" s="30"/>
      <c r="F5" s="30"/>
      <c r="G5" s="22"/>
    </row>
    <row r="6" spans="1:8" x14ac:dyDescent="0.3">
      <c r="A6" s="21">
        <v>45926</v>
      </c>
      <c r="B6" s="27" t="s">
        <v>174</v>
      </c>
      <c r="C6" s="24">
        <v>-13.45</v>
      </c>
    </row>
    <row r="7" spans="1:8" x14ac:dyDescent="0.3">
      <c r="A7" s="21"/>
      <c r="B7" s="32"/>
    </row>
    <row r="9" spans="1:8" x14ac:dyDescent="0.3">
      <c r="B9" s="32"/>
    </row>
    <row r="10" spans="1:8" x14ac:dyDescent="0.3">
      <c r="B10" s="31"/>
    </row>
    <row r="11" spans="1:8" x14ac:dyDescent="0.3">
      <c r="B11" s="32"/>
    </row>
    <row r="12" spans="1:8" x14ac:dyDescent="0.3">
      <c r="B12" s="32"/>
    </row>
    <row r="15" spans="1:8" x14ac:dyDescent="0.3">
      <c r="B15" s="32"/>
    </row>
    <row r="17" spans="2:2" x14ac:dyDescent="0.3">
      <c r="B17" s="32"/>
    </row>
    <row r="18" spans="2:2" x14ac:dyDescent="0.3">
      <c r="B18" s="34"/>
    </row>
    <row r="19" spans="2:2" x14ac:dyDescent="0.3">
      <c r="B19" s="32"/>
    </row>
    <row r="20" spans="2:2" x14ac:dyDescent="0.3">
      <c r="B20" s="34"/>
    </row>
    <row r="22" spans="2:2" x14ac:dyDescent="0.3">
      <c r="B22" s="32"/>
    </row>
    <row r="23" spans="2:2" x14ac:dyDescent="0.3">
      <c r="B23" s="34"/>
    </row>
    <row r="25" spans="2:2" x14ac:dyDescent="0.3">
      <c r="B25" s="32"/>
    </row>
    <row r="26" spans="2:2" x14ac:dyDescent="0.3">
      <c r="B26" s="34"/>
    </row>
    <row r="29" spans="2:2" x14ac:dyDescent="0.3">
      <c r="B29" s="34"/>
    </row>
    <row r="32" spans="2:2" x14ac:dyDescent="0.3">
      <c r="B32" s="32"/>
    </row>
    <row r="33" spans="2:2" x14ac:dyDescent="0.3">
      <c r="B33" s="34"/>
    </row>
    <row r="35" spans="2:2" x14ac:dyDescent="0.3">
      <c r="B35" s="34"/>
    </row>
    <row r="37" spans="2:2" x14ac:dyDescent="0.3">
      <c r="B37" s="32"/>
    </row>
    <row r="38" spans="2:2" x14ac:dyDescent="0.3">
      <c r="B38" s="34"/>
    </row>
    <row r="40" spans="2:2" x14ac:dyDescent="0.3">
      <c r="B40" s="32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5A363-A6F6-4E64-835D-F7647AECC323}">
  <dimension ref="A1:H7"/>
  <sheetViews>
    <sheetView view="pageBreakPreview" zoomScale="80" zoomScaleNormal="100" zoomScaleSheetLayoutView="80" workbookViewId="0"/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525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46013</v>
      </c>
      <c r="B5" s="27" t="s">
        <v>21</v>
      </c>
      <c r="C5" s="24">
        <v>55.76</v>
      </c>
      <c r="D5" s="30"/>
      <c r="E5" s="30"/>
      <c r="F5" s="30"/>
      <c r="G5" s="22"/>
    </row>
    <row r="6" spans="1:8" x14ac:dyDescent="0.3">
      <c r="A6" s="21">
        <v>46013</v>
      </c>
      <c r="B6" s="27" t="s">
        <v>4</v>
      </c>
      <c r="C6" s="24">
        <v>-55.76</v>
      </c>
    </row>
    <row r="7" spans="1:8" x14ac:dyDescent="0.3">
      <c r="A7" s="2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31D2E-0A55-4676-A08E-61B1493BA2BF}">
  <dimension ref="A1:H22"/>
  <sheetViews>
    <sheetView view="pageBreakPreview" zoomScale="80" zoomScaleNormal="100" zoomScaleSheetLayoutView="80" workbookViewId="0">
      <selection activeCell="C7" sqref="C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549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s="25" customFormat="1" x14ac:dyDescent="0.3">
      <c r="A5" s="26">
        <v>46051</v>
      </c>
      <c r="B5" s="27" t="s">
        <v>21</v>
      </c>
      <c r="C5" s="24">
        <v>34.56</v>
      </c>
      <c r="G5" s="24"/>
      <c r="H5" s="17"/>
    </row>
    <row r="6" spans="1:8" s="25" customFormat="1" x14ac:dyDescent="0.3">
      <c r="A6" s="26">
        <v>46056</v>
      </c>
      <c r="B6" s="27" t="s">
        <v>4</v>
      </c>
      <c r="C6" s="24">
        <v>-34.56</v>
      </c>
      <c r="G6" s="24"/>
      <c r="H6" s="17"/>
    </row>
    <row r="7" spans="1:8" s="25" customFormat="1" x14ac:dyDescent="0.3">
      <c r="A7" s="26"/>
      <c r="B7" s="27"/>
      <c r="C7" s="24"/>
      <c r="G7" s="24"/>
      <c r="H7" s="17"/>
    </row>
    <row r="8" spans="1:8" s="25" customFormat="1" x14ac:dyDescent="0.3">
      <c r="A8" s="26"/>
      <c r="B8" s="27"/>
      <c r="C8" s="24"/>
      <c r="G8" s="24"/>
      <c r="H8" s="17"/>
    </row>
    <row r="9" spans="1:8" s="25" customFormat="1" x14ac:dyDescent="0.3">
      <c r="A9" s="26"/>
      <c r="B9" s="27"/>
      <c r="C9" s="24"/>
      <c r="G9" s="24"/>
      <c r="H9" s="17"/>
    </row>
    <row r="10" spans="1:8" s="25" customFormat="1" x14ac:dyDescent="0.3">
      <c r="A10" s="26"/>
      <c r="B10" s="27"/>
      <c r="C10" s="24"/>
      <c r="G10" s="24"/>
      <c r="H10" s="17"/>
    </row>
    <row r="11" spans="1:8" s="25" customFormat="1" x14ac:dyDescent="0.3">
      <c r="A11" s="26"/>
      <c r="B11" s="27"/>
      <c r="C11" s="24"/>
      <c r="G11" s="24"/>
      <c r="H11" s="17"/>
    </row>
    <row r="12" spans="1:8" s="25" customFormat="1" x14ac:dyDescent="0.3">
      <c r="A12" s="26"/>
      <c r="B12" s="27"/>
      <c r="C12" s="24"/>
      <c r="G12" s="24"/>
      <c r="H12" s="17"/>
    </row>
    <row r="13" spans="1:8" s="25" customFormat="1" x14ac:dyDescent="0.3">
      <c r="A13" s="26"/>
      <c r="B13" s="27"/>
      <c r="C13" s="24"/>
      <c r="G13" s="24"/>
      <c r="H13" s="17"/>
    </row>
    <row r="14" spans="1:8" s="25" customFormat="1" x14ac:dyDescent="0.3">
      <c r="A14" s="26"/>
      <c r="B14" s="27"/>
      <c r="C14" s="24"/>
      <c r="G14" s="24"/>
      <c r="H14" s="17"/>
    </row>
    <row r="15" spans="1:8" s="25" customFormat="1" x14ac:dyDescent="0.3">
      <c r="A15" s="26"/>
      <c r="B15" s="27"/>
      <c r="C15" s="24"/>
      <c r="G15" s="24"/>
      <c r="H15" s="17"/>
    </row>
    <row r="16" spans="1:8" s="25" customFormat="1" x14ac:dyDescent="0.3">
      <c r="A16" s="26"/>
      <c r="B16" s="27"/>
      <c r="C16" s="24"/>
      <c r="G16" s="24"/>
      <c r="H16" s="17"/>
    </row>
    <row r="17" spans="1:8" s="25" customFormat="1" x14ac:dyDescent="0.3">
      <c r="A17" s="26"/>
      <c r="B17" s="27"/>
      <c r="C17" s="24"/>
      <c r="G17" s="24"/>
      <c r="H17" s="17"/>
    </row>
    <row r="18" spans="1:8" s="25" customFormat="1" x14ac:dyDescent="0.3">
      <c r="A18" s="26"/>
      <c r="B18" s="27"/>
      <c r="C18" s="24"/>
      <c r="G18" s="24"/>
      <c r="H18" s="17"/>
    </row>
    <row r="19" spans="1:8" s="25" customFormat="1" x14ac:dyDescent="0.3">
      <c r="A19" s="26"/>
      <c r="B19" s="27"/>
      <c r="C19" s="24"/>
      <c r="G19" s="24"/>
      <c r="H19" s="17"/>
    </row>
    <row r="20" spans="1:8" s="25" customFormat="1" x14ac:dyDescent="0.3">
      <c r="A20" s="26"/>
      <c r="B20" s="27"/>
      <c r="C20" s="24"/>
      <c r="G20" s="24"/>
      <c r="H20" s="17"/>
    </row>
    <row r="21" spans="1:8" s="25" customFormat="1" x14ac:dyDescent="0.3">
      <c r="A21" s="26"/>
      <c r="B21" s="27"/>
      <c r="C21" s="24"/>
      <c r="G21" s="24"/>
      <c r="H21" s="17"/>
    </row>
    <row r="22" spans="1:8" s="25" customFormat="1" x14ac:dyDescent="0.3">
      <c r="A22" s="26"/>
      <c r="B22" s="27"/>
      <c r="C22" s="24"/>
      <c r="G22" s="24"/>
      <c r="H22" s="17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2D39C-8481-4EE3-A183-3A9CE432A0D0}">
  <sheetPr codeName="Hoja153"/>
  <dimension ref="A1:H95"/>
  <sheetViews>
    <sheetView view="pageBreakPreview" zoomScale="80" zoomScaleNormal="100" zoomScaleSheetLayoutView="80" workbookViewId="0">
      <selection activeCell="A96" sqref="A96:B9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245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42.22999999999999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45821</v>
      </c>
      <c r="B5" s="32" t="s">
        <v>21</v>
      </c>
      <c r="C5" s="24">
        <v>63.15</v>
      </c>
      <c r="D5" s="30"/>
      <c r="E5" s="30"/>
      <c r="F5" s="30"/>
      <c r="G5" s="22"/>
    </row>
    <row r="6" spans="1:8" hidden="1" x14ac:dyDescent="0.3">
      <c r="A6" s="21">
        <v>45825</v>
      </c>
      <c r="B6" s="27" t="s">
        <v>4</v>
      </c>
      <c r="C6" s="24">
        <v>-63.14</v>
      </c>
    </row>
    <row r="7" spans="1:8" hidden="1" x14ac:dyDescent="0.3">
      <c r="A7" s="21">
        <v>45832</v>
      </c>
      <c r="B7" s="32" t="s">
        <v>21</v>
      </c>
      <c r="C7" s="24">
        <v>55.35</v>
      </c>
    </row>
    <row r="8" spans="1:8" hidden="1" x14ac:dyDescent="0.3">
      <c r="A8" s="26">
        <v>45833</v>
      </c>
      <c r="B8" s="27" t="s">
        <v>4</v>
      </c>
      <c r="C8" s="24">
        <v>-55.34</v>
      </c>
    </row>
    <row r="9" spans="1:8" hidden="1" x14ac:dyDescent="0.3">
      <c r="A9" s="26">
        <v>45835</v>
      </c>
      <c r="B9" s="32" t="s">
        <v>21</v>
      </c>
      <c r="C9" s="24">
        <v>31.45</v>
      </c>
    </row>
    <row r="10" spans="1:8" hidden="1" x14ac:dyDescent="0.3">
      <c r="A10" s="26">
        <v>45842</v>
      </c>
      <c r="B10" s="31" t="s">
        <v>4</v>
      </c>
      <c r="C10" s="24">
        <v>-31.47</v>
      </c>
    </row>
    <row r="11" spans="1:8" hidden="1" x14ac:dyDescent="0.3">
      <c r="A11" s="26">
        <v>45842</v>
      </c>
      <c r="B11" s="32" t="s">
        <v>21</v>
      </c>
      <c r="C11" s="24">
        <v>49.8</v>
      </c>
    </row>
    <row r="12" spans="1:8" hidden="1" x14ac:dyDescent="0.3">
      <c r="A12" s="26">
        <v>45849</v>
      </c>
      <c r="B12" s="32" t="s">
        <v>21</v>
      </c>
      <c r="C12" s="24">
        <v>47.3</v>
      </c>
    </row>
    <row r="13" spans="1:8" hidden="1" x14ac:dyDescent="0.3">
      <c r="A13" s="26">
        <v>45853</v>
      </c>
      <c r="B13" s="27" t="s">
        <v>4</v>
      </c>
      <c r="C13" s="24">
        <v>-47.3</v>
      </c>
    </row>
    <row r="14" spans="1:8" hidden="1" x14ac:dyDescent="0.3">
      <c r="A14" s="26">
        <v>45859</v>
      </c>
      <c r="B14" s="27" t="s">
        <v>4</v>
      </c>
      <c r="C14" s="24">
        <v>-49.8</v>
      </c>
    </row>
    <row r="15" spans="1:8" hidden="1" x14ac:dyDescent="0.3">
      <c r="A15" s="26">
        <v>45856</v>
      </c>
      <c r="B15" s="32" t="s">
        <v>21</v>
      </c>
      <c r="C15" s="24">
        <v>63.15</v>
      </c>
    </row>
    <row r="16" spans="1:8" hidden="1" x14ac:dyDescent="0.3">
      <c r="A16" s="26">
        <v>45862</v>
      </c>
      <c r="B16" s="27" t="s">
        <v>4</v>
      </c>
      <c r="C16" s="24">
        <v>-63.15</v>
      </c>
    </row>
    <row r="17" spans="1:3" hidden="1" x14ac:dyDescent="0.3">
      <c r="A17" s="26">
        <v>45863</v>
      </c>
      <c r="B17" s="32" t="s">
        <v>21</v>
      </c>
      <c r="C17" s="24">
        <v>15.6</v>
      </c>
    </row>
    <row r="18" spans="1:3" hidden="1" x14ac:dyDescent="0.3">
      <c r="A18" s="26">
        <v>45863</v>
      </c>
      <c r="B18" s="34" t="s">
        <v>21</v>
      </c>
      <c r="C18" s="24">
        <v>90.9</v>
      </c>
    </row>
    <row r="19" spans="1:3" hidden="1" x14ac:dyDescent="0.3">
      <c r="A19" s="26">
        <v>45870</v>
      </c>
      <c r="B19" s="32" t="s">
        <v>21</v>
      </c>
      <c r="C19" s="24">
        <v>39.5</v>
      </c>
    </row>
    <row r="20" spans="1:3" hidden="1" x14ac:dyDescent="0.3">
      <c r="A20" s="26">
        <v>45870</v>
      </c>
      <c r="B20" s="34" t="s">
        <v>21</v>
      </c>
      <c r="C20" s="24">
        <v>59.4</v>
      </c>
    </row>
    <row r="21" spans="1:3" hidden="1" x14ac:dyDescent="0.3">
      <c r="A21" s="26">
        <v>45877</v>
      </c>
      <c r="B21" s="27" t="s">
        <v>4</v>
      </c>
      <c r="C21" s="24">
        <v>-105.78</v>
      </c>
    </row>
    <row r="22" spans="1:3" hidden="1" x14ac:dyDescent="0.3">
      <c r="A22" s="26">
        <v>45877</v>
      </c>
      <c r="B22" s="32" t="s">
        <v>21</v>
      </c>
      <c r="C22" s="24">
        <v>55.35</v>
      </c>
    </row>
    <row r="23" spans="1:3" hidden="1" x14ac:dyDescent="0.3">
      <c r="A23" s="26">
        <v>45877</v>
      </c>
      <c r="B23" s="34" t="s">
        <v>21</v>
      </c>
      <c r="C23" s="24">
        <v>7.16</v>
      </c>
    </row>
    <row r="24" spans="1:3" hidden="1" x14ac:dyDescent="0.3">
      <c r="A24" s="26">
        <v>45880</v>
      </c>
      <c r="B24" s="27" t="s">
        <v>4</v>
      </c>
      <c r="C24" s="24">
        <v>-98.9</v>
      </c>
    </row>
    <row r="25" spans="1:3" hidden="1" x14ac:dyDescent="0.3">
      <c r="A25" s="26">
        <v>45884</v>
      </c>
      <c r="B25" s="32" t="s">
        <v>21</v>
      </c>
      <c r="C25" s="24">
        <v>31.45</v>
      </c>
    </row>
    <row r="26" spans="1:3" hidden="1" x14ac:dyDescent="0.3">
      <c r="A26" s="26">
        <v>45884</v>
      </c>
      <c r="B26" s="34" t="s">
        <v>21</v>
      </c>
      <c r="C26" s="24">
        <v>75.87</v>
      </c>
    </row>
    <row r="27" spans="1:3" hidden="1" x14ac:dyDescent="0.3">
      <c r="A27" s="26">
        <v>45887</v>
      </c>
      <c r="B27" s="27" t="s">
        <v>4</v>
      </c>
      <c r="C27" s="24">
        <v>-62.65</v>
      </c>
    </row>
    <row r="28" spans="1:3" hidden="1" x14ac:dyDescent="0.3">
      <c r="A28" s="26">
        <v>45888</v>
      </c>
      <c r="B28" s="27" t="s">
        <v>4</v>
      </c>
      <c r="C28" s="24">
        <v>-96.43</v>
      </c>
    </row>
    <row r="29" spans="1:3" hidden="1" x14ac:dyDescent="0.3">
      <c r="A29" s="26">
        <v>45888</v>
      </c>
      <c r="B29" s="34" t="s">
        <v>21</v>
      </c>
      <c r="C29" s="24">
        <v>25.38</v>
      </c>
    </row>
    <row r="30" spans="1:3" hidden="1" x14ac:dyDescent="0.3">
      <c r="A30" s="26">
        <v>45898</v>
      </c>
      <c r="B30" s="27" t="s">
        <v>4</v>
      </c>
      <c r="C30" s="24">
        <v>-25.38</v>
      </c>
    </row>
    <row r="31" spans="1:3" hidden="1" x14ac:dyDescent="0.3">
      <c r="A31" s="26">
        <v>45898</v>
      </c>
      <c r="B31" s="27" t="s">
        <v>174</v>
      </c>
      <c r="C31" s="24">
        <v>-10.64</v>
      </c>
    </row>
    <row r="32" spans="1:3" hidden="1" x14ac:dyDescent="0.3">
      <c r="A32" s="26">
        <v>45898</v>
      </c>
      <c r="B32" s="32" t="s">
        <v>21</v>
      </c>
      <c r="C32" s="24">
        <v>55.1</v>
      </c>
    </row>
    <row r="33" spans="1:3" hidden="1" x14ac:dyDescent="0.3">
      <c r="A33" s="26">
        <v>45898</v>
      </c>
      <c r="B33" s="34" t="s">
        <v>21</v>
      </c>
      <c r="C33" s="24">
        <v>30.54</v>
      </c>
    </row>
    <row r="34" spans="1:3" hidden="1" x14ac:dyDescent="0.3">
      <c r="A34" s="26">
        <v>45901</v>
      </c>
      <c r="B34" s="27" t="s">
        <v>4</v>
      </c>
      <c r="C34" s="24">
        <v>-100.28</v>
      </c>
    </row>
    <row r="35" spans="1:3" hidden="1" x14ac:dyDescent="0.3">
      <c r="A35" s="26">
        <v>45902</v>
      </c>
      <c r="B35" s="34" t="s">
        <v>21</v>
      </c>
      <c r="C35" s="24">
        <v>50.76</v>
      </c>
    </row>
    <row r="36" spans="1:3" hidden="1" x14ac:dyDescent="0.3">
      <c r="A36" s="26">
        <v>45905</v>
      </c>
      <c r="B36" s="27" t="s">
        <v>4</v>
      </c>
      <c r="C36" s="24">
        <v>-36.950000000000003</v>
      </c>
    </row>
    <row r="37" spans="1:3" hidden="1" x14ac:dyDescent="0.3">
      <c r="A37" s="26">
        <v>45905</v>
      </c>
      <c r="B37" s="32" t="s">
        <v>21</v>
      </c>
      <c r="C37" s="24">
        <v>70.95</v>
      </c>
    </row>
    <row r="38" spans="1:3" hidden="1" x14ac:dyDescent="0.3">
      <c r="A38" s="26">
        <v>45905</v>
      </c>
      <c r="B38" s="34" t="s">
        <v>21</v>
      </c>
      <c r="C38" s="24">
        <v>25.38</v>
      </c>
    </row>
    <row r="39" spans="1:3" hidden="1" x14ac:dyDescent="0.3">
      <c r="A39" s="26">
        <v>45910</v>
      </c>
      <c r="B39" s="27" t="s">
        <v>4</v>
      </c>
      <c r="C39" s="24">
        <v>-96.33</v>
      </c>
    </row>
    <row r="40" spans="1:3" hidden="1" x14ac:dyDescent="0.3">
      <c r="A40" s="26">
        <v>45912</v>
      </c>
      <c r="B40" s="32" t="s">
        <v>21</v>
      </c>
      <c r="C40" s="24">
        <v>31.45</v>
      </c>
    </row>
    <row r="41" spans="1:3" hidden="1" x14ac:dyDescent="0.3">
      <c r="A41" s="26">
        <v>45919</v>
      </c>
      <c r="B41" s="32" t="s">
        <v>21</v>
      </c>
      <c r="C41" s="24">
        <v>47.3</v>
      </c>
    </row>
    <row r="42" spans="1:3" hidden="1" x14ac:dyDescent="0.3">
      <c r="A42" s="26">
        <v>45923</v>
      </c>
      <c r="B42" s="27" t="s">
        <v>4</v>
      </c>
      <c r="C42" s="24">
        <v>-31.45</v>
      </c>
    </row>
    <row r="43" spans="1:3" hidden="1" x14ac:dyDescent="0.3">
      <c r="A43" s="26">
        <v>45926</v>
      </c>
      <c r="B43" s="27" t="s">
        <v>4</v>
      </c>
      <c r="C43" s="24">
        <v>-4.75</v>
      </c>
    </row>
    <row r="44" spans="1:3" hidden="1" x14ac:dyDescent="0.3">
      <c r="A44" s="26">
        <v>45926</v>
      </c>
      <c r="B44" s="32" t="s">
        <v>21</v>
      </c>
      <c r="C44" s="24">
        <v>39.5</v>
      </c>
    </row>
    <row r="45" spans="1:3" hidden="1" x14ac:dyDescent="0.3">
      <c r="A45" s="26">
        <v>45926</v>
      </c>
      <c r="B45" s="34" t="s">
        <v>21</v>
      </c>
      <c r="C45" s="24">
        <v>69.3</v>
      </c>
    </row>
    <row r="46" spans="1:3" hidden="1" x14ac:dyDescent="0.3">
      <c r="A46" s="26">
        <v>45933</v>
      </c>
      <c r="B46" s="27" t="s">
        <v>4</v>
      </c>
      <c r="C46" s="24">
        <v>-78.2</v>
      </c>
    </row>
    <row r="47" spans="1:3" hidden="1" x14ac:dyDescent="0.3">
      <c r="A47" s="26">
        <v>45933</v>
      </c>
      <c r="B47" s="32" t="s">
        <v>21</v>
      </c>
      <c r="C47" s="24">
        <v>39.5</v>
      </c>
    </row>
    <row r="48" spans="1:3" hidden="1" x14ac:dyDescent="0.3">
      <c r="A48" s="26">
        <v>45933</v>
      </c>
      <c r="B48" s="34" t="s">
        <v>21</v>
      </c>
      <c r="C48" s="24">
        <v>34.35</v>
      </c>
    </row>
    <row r="49" spans="1:3" hidden="1" x14ac:dyDescent="0.3">
      <c r="A49" s="26">
        <v>45940</v>
      </c>
      <c r="B49" s="27" t="s">
        <v>4</v>
      </c>
      <c r="C49" s="24">
        <v>-30.6</v>
      </c>
    </row>
    <row r="50" spans="1:3" hidden="1" x14ac:dyDescent="0.3">
      <c r="A50" s="26">
        <v>45940</v>
      </c>
      <c r="B50" s="27" t="s">
        <v>4</v>
      </c>
      <c r="C50" s="24">
        <v>-39.5</v>
      </c>
    </row>
    <row r="51" spans="1:3" hidden="1" x14ac:dyDescent="0.3">
      <c r="A51" s="26">
        <v>45940</v>
      </c>
      <c r="B51" s="27" t="s">
        <v>4</v>
      </c>
      <c r="C51" s="24">
        <v>-34.35</v>
      </c>
    </row>
    <row r="52" spans="1:3" hidden="1" x14ac:dyDescent="0.3">
      <c r="A52" s="26">
        <v>45940</v>
      </c>
      <c r="B52" s="32" t="s">
        <v>21</v>
      </c>
      <c r="C52" s="24">
        <v>32.76</v>
      </c>
    </row>
    <row r="53" spans="1:3" hidden="1" x14ac:dyDescent="0.3">
      <c r="A53" s="26">
        <v>45940</v>
      </c>
      <c r="B53" s="34" t="s">
        <v>21</v>
      </c>
      <c r="C53" s="24">
        <v>36.770000000000003</v>
      </c>
    </row>
    <row r="54" spans="1:3" hidden="1" x14ac:dyDescent="0.3">
      <c r="A54" s="26">
        <v>45947</v>
      </c>
      <c r="B54" s="27" t="s">
        <v>4</v>
      </c>
      <c r="C54" s="24">
        <v>-73.650000000000006</v>
      </c>
    </row>
    <row r="55" spans="1:3" hidden="1" x14ac:dyDescent="0.3">
      <c r="A55" s="26">
        <v>45947</v>
      </c>
      <c r="B55" s="32" t="s">
        <v>21</v>
      </c>
      <c r="C55" s="24">
        <v>31.98</v>
      </c>
    </row>
    <row r="56" spans="1:3" hidden="1" x14ac:dyDescent="0.3">
      <c r="A56" s="26">
        <v>45947</v>
      </c>
      <c r="B56" s="34" t="s">
        <v>21</v>
      </c>
      <c r="C56" s="24">
        <v>13.1</v>
      </c>
    </row>
    <row r="57" spans="1:3" hidden="1" x14ac:dyDescent="0.3">
      <c r="A57" s="26">
        <v>45954</v>
      </c>
      <c r="B57" s="27" t="s">
        <v>4</v>
      </c>
      <c r="C57" s="24">
        <v>-19.350000000000001</v>
      </c>
    </row>
    <row r="58" spans="1:3" hidden="1" x14ac:dyDescent="0.3">
      <c r="A58" s="26">
        <v>45954</v>
      </c>
      <c r="B58" s="27" t="s">
        <v>4</v>
      </c>
      <c r="C58" s="24">
        <v>-60</v>
      </c>
    </row>
    <row r="59" spans="1:3" hidden="1" x14ac:dyDescent="0.3">
      <c r="A59" s="26">
        <v>45955</v>
      </c>
      <c r="B59" s="32" t="s">
        <v>21</v>
      </c>
      <c r="C59" s="24">
        <v>31.98</v>
      </c>
    </row>
    <row r="60" spans="1:3" hidden="1" x14ac:dyDescent="0.3">
      <c r="A60" s="26">
        <v>45961</v>
      </c>
      <c r="B60" s="27" t="s">
        <v>4</v>
      </c>
      <c r="C60" s="24">
        <v>-36.14</v>
      </c>
    </row>
    <row r="61" spans="1:3" hidden="1" x14ac:dyDescent="0.3">
      <c r="A61" s="26">
        <v>45961</v>
      </c>
      <c r="B61" s="32" t="s">
        <v>21</v>
      </c>
      <c r="C61" s="24">
        <v>40.56</v>
      </c>
    </row>
    <row r="62" spans="1:3" hidden="1" x14ac:dyDescent="0.3">
      <c r="A62" s="26">
        <v>45961</v>
      </c>
      <c r="B62" s="34" t="s">
        <v>21</v>
      </c>
      <c r="C62" s="24">
        <v>40.479999999999997</v>
      </c>
    </row>
    <row r="63" spans="1:3" hidden="1" x14ac:dyDescent="0.3">
      <c r="A63" s="26">
        <v>45966</v>
      </c>
      <c r="B63" s="27" t="s">
        <v>4</v>
      </c>
      <c r="C63" s="24">
        <v>-66.7</v>
      </c>
    </row>
    <row r="64" spans="1:3" hidden="1" x14ac:dyDescent="0.3">
      <c r="A64" s="26">
        <v>45968</v>
      </c>
      <c r="B64" s="27" t="s">
        <v>4</v>
      </c>
      <c r="C64" s="24">
        <v>-14.34</v>
      </c>
    </row>
    <row r="65" spans="1:3" hidden="1" x14ac:dyDescent="0.3">
      <c r="A65" s="26">
        <v>45968</v>
      </c>
      <c r="B65" s="32" t="s">
        <v>21</v>
      </c>
      <c r="C65" s="24">
        <v>40.56</v>
      </c>
    </row>
    <row r="66" spans="1:3" hidden="1" x14ac:dyDescent="0.3">
      <c r="A66" s="26">
        <v>45968</v>
      </c>
      <c r="B66" s="34" t="s">
        <v>21</v>
      </c>
      <c r="C66" s="24">
        <v>75.930000000000007</v>
      </c>
    </row>
    <row r="67" spans="1:3" hidden="1" x14ac:dyDescent="0.3">
      <c r="A67" s="26">
        <v>45975</v>
      </c>
      <c r="B67" s="27" t="s">
        <v>4</v>
      </c>
      <c r="C67" s="24">
        <v>-66.7</v>
      </c>
    </row>
    <row r="68" spans="1:3" hidden="1" x14ac:dyDescent="0.3">
      <c r="A68" s="26">
        <v>45975</v>
      </c>
      <c r="B68" s="27" t="s">
        <v>1</v>
      </c>
      <c r="C68" s="24">
        <v>117.48</v>
      </c>
    </row>
    <row r="69" spans="1:3" hidden="1" x14ac:dyDescent="0.3">
      <c r="A69" s="26">
        <v>45978</v>
      </c>
      <c r="B69" s="27" t="s">
        <v>4</v>
      </c>
      <c r="C69" s="24">
        <v>-49.46</v>
      </c>
    </row>
    <row r="70" spans="1:3" hidden="1" x14ac:dyDescent="0.3">
      <c r="A70" s="26">
        <v>45982</v>
      </c>
      <c r="B70" s="27" t="s">
        <v>4</v>
      </c>
      <c r="C70" s="24">
        <v>-50.73</v>
      </c>
    </row>
    <row r="71" spans="1:3" hidden="1" x14ac:dyDescent="0.3">
      <c r="A71" s="26">
        <v>45982</v>
      </c>
      <c r="B71" s="27" t="s">
        <v>1</v>
      </c>
      <c r="C71" s="24">
        <v>52.99</v>
      </c>
    </row>
    <row r="72" spans="1:3" hidden="1" x14ac:dyDescent="0.3">
      <c r="A72" s="26">
        <v>45987</v>
      </c>
      <c r="B72" s="27" t="s">
        <v>4</v>
      </c>
      <c r="C72" s="24">
        <v>-66.77</v>
      </c>
    </row>
    <row r="73" spans="1:3" hidden="1" x14ac:dyDescent="0.3">
      <c r="A73" s="26">
        <v>45989</v>
      </c>
      <c r="B73" s="27" t="s">
        <v>4</v>
      </c>
      <c r="C73" s="24">
        <v>-32.29</v>
      </c>
    </row>
    <row r="74" spans="1:3" hidden="1" x14ac:dyDescent="0.3">
      <c r="A74" s="26">
        <v>45989</v>
      </c>
      <c r="B74" s="27" t="s">
        <v>4</v>
      </c>
      <c r="C74" s="24">
        <v>-21.01</v>
      </c>
    </row>
    <row r="75" spans="1:3" x14ac:dyDescent="0.3">
      <c r="A75" s="26">
        <v>45989</v>
      </c>
      <c r="B75" s="27" t="s">
        <v>1</v>
      </c>
      <c r="C75" s="24">
        <v>76.459999999999994</v>
      </c>
    </row>
    <row r="76" spans="1:3" x14ac:dyDescent="0.3">
      <c r="A76" s="26">
        <v>45996</v>
      </c>
      <c r="B76" s="27" t="s">
        <v>4</v>
      </c>
      <c r="C76" s="24">
        <v>-26.14</v>
      </c>
    </row>
    <row r="77" spans="1:3" x14ac:dyDescent="0.3">
      <c r="A77" s="26">
        <v>45996</v>
      </c>
      <c r="B77" s="27" t="s">
        <v>1</v>
      </c>
      <c r="C77" s="24">
        <v>93.15</v>
      </c>
    </row>
    <row r="78" spans="1:3" x14ac:dyDescent="0.3">
      <c r="A78" s="26">
        <v>46003</v>
      </c>
      <c r="B78" s="27" t="s">
        <v>4</v>
      </c>
      <c r="C78" s="24">
        <v>-51.21</v>
      </c>
    </row>
    <row r="79" spans="1:3" x14ac:dyDescent="0.3">
      <c r="A79" s="26">
        <v>46003</v>
      </c>
      <c r="B79" s="27" t="s">
        <v>4</v>
      </c>
      <c r="C79" s="24">
        <v>-92.26</v>
      </c>
    </row>
    <row r="80" spans="1:3" x14ac:dyDescent="0.3">
      <c r="A80" s="26">
        <v>46003</v>
      </c>
      <c r="B80" s="27" t="s">
        <v>1</v>
      </c>
      <c r="C80" s="24">
        <v>102.47</v>
      </c>
    </row>
    <row r="81" spans="1:3" x14ac:dyDescent="0.3">
      <c r="A81" s="26">
        <v>46006</v>
      </c>
      <c r="B81" s="27" t="s">
        <v>4</v>
      </c>
      <c r="C81" s="24">
        <v>-41.94</v>
      </c>
    </row>
    <row r="82" spans="1:3" x14ac:dyDescent="0.3">
      <c r="A82" s="26">
        <v>46010</v>
      </c>
      <c r="B82" s="27" t="s">
        <v>4</v>
      </c>
      <c r="C82" s="24">
        <v>-60.53</v>
      </c>
    </row>
    <row r="83" spans="1:3" x14ac:dyDescent="0.3">
      <c r="A83" s="26">
        <v>46010</v>
      </c>
      <c r="B83" s="27" t="s">
        <v>1</v>
      </c>
      <c r="C83" s="24">
        <v>84.99</v>
      </c>
    </row>
    <row r="84" spans="1:3" x14ac:dyDescent="0.3">
      <c r="A84" s="26">
        <v>46031</v>
      </c>
      <c r="B84" s="27" t="s">
        <v>4</v>
      </c>
      <c r="C84" s="24">
        <v>-64.739999999999995</v>
      </c>
    </row>
    <row r="85" spans="1:3" x14ac:dyDescent="0.3">
      <c r="A85" s="26">
        <v>46031</v>
      </c>
      <c r="B85" s="27" t="s">
        <v>4</v>
      </c>
      <c r="C85" s="24">
        <v>-20.65</v>
      </c>
    </row>
    <row r="86" spans="1:3" x14ac:dyDescent="0.3">
      <c r="A86" s="26">
        <v>46031</v>
      </c>
      <c r="B86" s="27" t="s">
        <v>1</v>
      </c>
      <c r="C86" s="24">
        <v>160.68</v>
      </c>
    </row>
    <row r="87" spans="1:3" x14ac:dyDescent="0.3">
      <c r="A87" s="26">
        <v>46034</v>
      </c>
      <c r="B87" s="27" t="s">
        <v>4</v>
      </c>
      <c r="C87" s="24">
        <v>-151.22</v>
      </c>
    </row>
    <row r="88" spans="1:3" x14ac:dyDescent="0.3">
      <c r="A88" s="26">
        <v>46038</v>
      </c>
      <c r="B88" s="27" t="s">
        <v>7</v>
      </c>
      <c r="C88" s="24">
        <v>-9.08</v>
      </c>
    </row>
    <row r="89" spans="1:3" x14ac:dyDescent="0.3">
      <c r="A89" s="26">
        <v>46038</v>
      </c>
      <c r="B89" s="27" t="s">
        <v>1</v>
      </c>
      <c r="C89" s="24">
        <v>92.4</v>
      </c>
    </row>
    <row r="90" spans="1:3" x14ac:dyDescent="0.3">
      <c r="A90" s="26">
        <v>46044</v>
      </c>
      <c r="B90" s="27" t="s">
        <v>4</v>
      </c>
      <c r="C90" s="24">
        <v>-63.48</v>
      </c>
    </row>
    <row r="91" spans="1:3" x14ac:dyDescent="0.3">
      <c r="A91" s="26">
        <v>46045</v>
      </c>
      <c r="B91" s="27" t="s">
        <v>4</v>
      </c>
      <c r="C91" s="24">
        <v>-28.92</v>
      </c>
    </row>
    <row r="92" spans="1:3" x14ac:dyDescent="0.3">
      <c r="A92" s="26">
        <v>46045</v>
      </c>
      <c r="B92" s="27" t="s">
        <v>1</v>
      </c>
      <c r="C92" s="24">
        <v>61.8</v>
      </c>
    </row>
    <row r="93" spans="1:3" x14ac:dyDescent="0.3">
      <c r="A93" s="26">
        <v>46052</v>
      </c>
      <c r="B93" s="27" t="s">
        <v>1</v>
      </c>
      <c r="C93" s="24">
        <v>207.84</v>
      </c>
    </row>
    <row r="94" spans="1:3" x14ac:dyDescent="0.3">
      <c r="A94" s="26">
        <v>46055</v>
      </c>
      <c r="B94" s="27" t="s">
        <v>4</v>
      </c>
      <c r="C94" s="24">
        <v>-61.31</v>
      </c>
    </row>
    <row r="95" spans="1:3" x14ac:dyDescent="0.3">
      <c r="A95" s="26">
        <v>46055</v>
      </c>
      <c r="B95" s="27" t="s">
        <v>4</v>
      </c>
      <c r="C95" s="24">
        <v>-166.08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C300-0CA5-42F3-BF71-51EE3E222020}">
  <dimension ref="A1:H18"/>
  <sheetViews>
    <sheetView view="pageBreakPreview" zoomScale="80" zoomScaleNormal="100" zoomScaleSheetLayoutView="8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387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-0.78000000000000114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45867</v>
      </c>
      <c r="B5" s="32" t="s">
        <v>21</v>
      </c>
      <c r="C5" s="24">
        <v>23.64</v>
      </c>
      <c r="D5" s="30"/>
      <c r="E5" s="30"/>
      <c r="F5" s="30"/>
      <c r="G5" s="22"/>
    </row>
    <row r="6" spans="1:8" x14ac:dyDescent="0.3">
      <c r="A6" s="26">
        <v>45869</v>
      </c>
      <c r="B6" s="27" t="s">
        <v>174</v>
      </c>
      <c r="C6" s="24">
        <v>-24.42</v>
      </c>
    </row>
    <row r="7" spans="1:8" x14ac:dyDescent="0.3">
      <c r="A7" s="21"/>
      <c r="B7" s="32"/>
    </row>
    <row r="9" spans="1:8" x14ac:dyDescent="0.3">
      <c r="B9" s="32"/>
    </row>
    <row r="10" spans="1:8" x14ac:dyDescent="0.3">
      <c r="B10" s="31"/>
    </row>
    <row r="11" spans="1:8" x14ac:dyDescent="0.3">
      <c r="B11" s="32"/>
    </row>
    <row r="12" spans="1:8" x14ac:dyDescent="0.3">
      <c r="B12" s="32"/>
    </row>
    <row r="15" spans="1:8" x14ac:dyDescent="0.3">
      <c r="B15" s="32"/>
    </row>
    <row r="17" spans="2:2" x14ac:dyDescent="0.3">
      <c r="B17" s="32"/>
    </row>
    <row r="18" spans="2:2" x14ac:dyDescent="0.3">
      <c r="B18" s="34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9C483-A2B0-42AD-A775-FDC4C04AE26D}">
  <sheetPr codeName="Hoja154"/>
  <dimension ref="A1:H86"/>
  <sheetViews>
    <sheetView view="pageBreakPreview" zoomScale="80" zoomScaleNormal="100" zoomScaleSheetLayoutView="8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298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45834</v>
      </c>
      <c r="B5" s="27" t="s">
        <v>4</v>
      </c>
      <c r="C5" s="24">
        <v>-15.85</v>
      </c>
      <c r="D5" s="30"/>
      <c r="E5" s="30"/>
      <c r="F5" s="30"/>
      <c r="G5" s="22"/>
    </row>
    <row r="6" spans="1:8" x14ac:dyDescent="0.3">
      <c r="A6" s="21">
        <v>45833</v>
      </c>
      <c r="B6" s="35" t="s">
        <v>21</v>
      </c>
      <c r="C6" s="24">
        <v>15.85</v>
      </c>
    </row>
    <row r="7" spans="1:8" x14ac:dyDescent="0.3">
      <c r="A7" s="21"/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05E49-D743-42D1-B4A2-D86F6F02216D}">
  <sheetPr codeName="Hoja155"/>
  <dimension ref="A1:I133"/>
  <sheetViews>
    <sheetView view="pageBreakPreview" topLeftCell="A118" zoomScaleNormal="100" zoomScaleSheetLayoutView="100" workbookViewId="0">
      <selection activeCell="C134" sqref="C134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295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296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449.97</v>
      </c>
      <c r="D3" s="20">
        <f>SUM(D$4:D$1048576)</f>
        <v>3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45826</v>
      </c>
      <c r="B5" s="32" t="s">
        <v>21</v>
      </c>
      <c r="C5" s="24">
        <v>15.85</v>
      </c>
      <c r="D5" s="30"/>
      <c r="E5" s="30"/>
      <c r="F5" s="30"/>
      <c r="G5" s="22"/>
    </row>
    <row r="6" spans="1:8" x14ac:dyDescent="0.3">
      <c r="A6" s="21">
        <v>45826</v>
      </c>
      <c r="B6" s="27" t="s">
        <v>1</v>
      </c>
      <c r="C6" s="24">
        <v>41.6</v>
      </c>
    </row>
    <row r="7" spans="1:8" x14ac:dyDescent="0.3">
      <c r="A7" s="26">
        <v>45833</v>
      </c>
      <c r="B7" s="27" t="s">
        <v>4</v>
      </c>
      <c r="C7" s="24">
        <v>-8.5299999999999994</v>
      </c>
    </row>
    <row r="8" spans="1:8" x14ac:dyDescent="0.3">
      <c r="A8" s="26">
        <v>45833</v>
      </c>
      <c r="B8" s="27" t="s">
        <v>4</v>
      </c>
      <c r="C8" s="24">
        <v>-48.92</v>
      </c>
    </row>
    <row r="9" spans="1:8" x14ac:dyDescent="0.3">
      <c r="A9" s="26">
        <v>45833</v>
      </c>
      <c r="B9" s="27" t="s">
        <v>1</v>
      </c>
      <c r="C9" s="24">
        <v>41.6</v>
      </c>
    </row>
    <row r="10" spans="1:8" x14ac:dyDescent="0.3">
      <c r="A10" s="26">
        <v>45833</v>
      </c>
      <c r="B10" s="32" t="s">
        <v>21</v>
      </c>
      <c r="C10" s="24">
        <v>15.85</v>
      </c>
    </row>
    <row r="11" spans="1:8" x14ac:dyDescent="0.3">
      <c r="A11" s="26">
        <v>45840</v>
      </c>
      <c r="B11" s="27" t="s">
        <v>4</v>
      </c>
      <c r="C11" s="24">
        <v>-57.45</v>
      </c>
    </row>
    <row r="12" spans="1:8" x14ac:dyDescent="0.3">
      <c r="A12" s="26">
        <v>45840</v>
      </c>
      <c r="B12" s="32" t="s">
        <v>21</v>
      </c>
      <c r="C12" s="24">
        <v>15.85</v>
      </c>
    </row>
    <row r="13" spans="1:8" x14ac:dyDescent="0.3">
      <c r="A13" s="26">
        <v>45840</v>
      </c>
      <c r="B13" s="34" t="s">
        <v>21</v>
      </c>
      <c r="C13" s="24">
        <v>69.319999999999993</v>
      </c>
    </row>
    <row r="14" spans="1:8" x14ac:dyDescent="0.3">
      <c r="A14" s="26">
        <v>45840</v>
      </c>
      <c r="B14" s="27" t="s">
        <v>1</v>
      </c>
      <c r="C14" s="24">
        <v>41.6</v>
      </c>
    </row>
    <row r="15" spans="1:8" x14ac:dyDescent="0.3">
      <c r="A15" s="26">
        <v>45847</v>
      </c>
      <c r="B15" s="27" t="s">
        <v>4</v>
      </c>
      <c r="C15" s="24">
        <v>-118.76</v>
      </c>
    </row>
    <row r="16" spans="1:8" x14ac:dyDescent="0.3">
      <c r="A16" s="26">
        <v>45847</v>
      </c>
      <c r="B16" s="27" t="s">
        <v>4</v>
      </c>
      <c r="C16" s="24">
        <v>-8.1</v>
      </c>
    </row>
    <row r="17" spans="1:3" x14ac:dyDescent="0.3">
      <c r="A17" s="26">
        <v>45847</v>
      </c>
      <c r="B17" s="34" t="s">
        <v>21</v>
      </c>
      <c r="C17" s="24">
        <v>152.96</v>
      </c>
    </row>
    <row r="18" spans="1:3" x14ac:dyDescent="0.3">
      <c r="A18" s="26">
        <v>45847</v>
      </c>
      <c r="B18" s="27" t="s">
        <v>1</v>
      </c>
      <c r="C18" s="24">
        <v>41.6</v>
      </c>
    </row>
    <row r="19" spans="1:3" x14ac:dyDescent="0.3">
      <c r="A19" s="26">
        <v>45854</v>
      </c>
      <c r="B19" s="27" t="s">
        <v>4</v>
      </c>
      <c r="C19" s="24">
        <v>-136.96</v>
      </c>
    </row>
    <row r="20" spans="1:3" x14ac:dyDescent="0.3">
      <c r="A20" s="26">
        <v>45854</v>
      </c>
      <c r="B20" s="32" t="s">
        <v>21</v>
      </c>
      <c r="C20" s="24">
        <v>25.69</v>
      </c>
    </row>
    <row r="21" spans="1:3" x14ac:dyDescent="0.3">
      <c r="A21" s="26">
        <v>45854</v>
      </c>
      <c r="B21" s="34" t="s">
        <v>21</v>
      </c>
      <c r="C21" s="24">
        <v>71.400000000000006</v>
      </c>
    </row>
    <row r="22" spans="1:3" x14ac:dyDescent="0.3">
      <c r="A22" s="26">
        <v>45854</v>
      </c>
      <c r="B22" s="46" t="s">
        <v>21</v>
      </c>
      <c r="C22" s="24">
        <v>45.64</v>
      </c>
    </row>
    <row r="23" spans="1:3" x14ac:dyDescent="0.3">
      <c r="A23" s="26">
        <v>45861</v>
      </c>
      <c r="B23" s="27" t="s">
        <v>4</v>
      </c>
      <c r="C23" s="24">
        <v>-41.97</v>
      </c>
    </row>
    <row r="24" spans="1:3" x14ac:dyDescent="0.3">
      <c r="A24" s="26">
        <v>45861</v>
      </c>
      <c r="B24" s="27" t="s">
        <v>4</v>
      </c>
      <c r="C24" s="24">
        <v>-142.72999999999999</v>
      </c>
    </row>
    <row r="25" spans="1:3" x14ac:dyDescent="0.3">
      <c r="A25" s="26">
        <v>45861</v>
      </c>
      <c r="B25" s="32" t="s">
        <v>21</v>
      </c>
      <c r="C25" s="24">
        <v>38.35</v>
      </c>
    </row>
    <row r="26" spans="1:3" x14ac:dyDescent="0.3">
      <c r="A26" s="26">
        <v>45861</v>
      </c>
      <c r="B26" s="34" t="s">
        <v>21</v>
      </c>
      <c r="C26" s="24">
        <v>31.64</v>
      </c>
    </row>
    <row r="27" spans="1:3" x14ac:dyDescent="0.3">
      <c r="A27" s="26">
        <v>45861</v>
      </c>
      <c r="B27" s="46" t="s">
        <v>21</v>
      </c>
      <c r="C27" s="24">
        <v>49.95</v>
      </c>
    </row>
    <row r="28" spans="1:3" x14ac:dyDescent="0.3">
      <c r="A28" s="26">
        <v>45866</v>
      </c>
      <c r="B28" s="27" t="s">
        <v>4</v>
      </c>
      <c r="C28" s="24">
        <v>-16</v>
      </c>
    </row>
    <row r="29" spans="1:3" x14ac:dyDescent="0.3">
      <c r="A29" s="26">
        <v>45868</v>
      </c>
      <c r="B29" s="27" t="s">
        <v>4</v>
      </c>
      <c r="C29" s="24">
        <v>-119.93</v>
      </c>
    </row>
    <row r="30" spans="1:3" x14ac:dyDescent="0.3">
      <c r="A30" s="26">
        <v>45868</v>
      </c>
      <c r="B30" s="32" t="s">
        <v>21</v>
      </c>
      <c r="C30" s="24">
        <v>18.84</v>
      </c>
    </row>
    <row r="31" spans="1:3" x14ac:dyDescent="0.3">
      <c r="A31" s="26">
        <v>45868</v>
      </c>
      <c r="B31" s="34" t="s">
        <v>21</v>
      </c>
      <c r="C31" s="24">
        <v>116.18</v>
      </c>
    </row>
    <row r="32" spans="1:3" x14ac:dyDescent="0.3">
      <c r="A32" s="26">
        <v>45868</v>
      </c>
      <c r="B32" s="46" t="s">
        <v>21</v>
      </c>
      <c r="C32" s="24">
        <v>27.92</v>
      </c>
    </row>
    <row r="33" spans="1:9" x14ac:dyDescent="0.3">
      <c r="A33" s="26">
        <v>45875</v>
      </c>
      <c r="B33" s="27" t="s">
        <v>4</v>
      </c>
      <c r="C33" s="24">
        <v>-162.94</v>
      </c>
    </row>
    <row r="34" spans="1:9" x14ac:dyDescent="0.3">
      <c r="A34" s="26">
        <v>45875</v>
      </c>
      <c r="B34" s="32" t="s">
        <v>21</v>
      </c>
      <c r="C34" s="24">
        <v>30.19</v>
      </c>
    </row>
    <row r="35" spans="1:9" x14ac:dyDescent="0.3">
      <c r="A35" s="26">
        <v>45875</v>
      </c>
      <c r="B35" s="34" t="s">
        <v>21</v>
      </c>
      <c r="C35" s="24">
        <v>155.56</v>
      </c>
    </row>
    <row r="36" spans="1:9" x14ac:dyDescent="0.3">
      <c r="A36" s="26">
        <v>45875</v>
      </c>
      <c r="B36" s="46" t="s">
        <v>21</v>
      </c>
      <c r="C36" s="24">
        <v>35.1</v>
      </c>
    </row>
    <row r="37" spans="1:9" x14ac:dyDescent="0.3">
      <c r="A37" s="26">
        <v>45883</v>
      </c>
      <c r="B37" s="27" t="s">
        <v>4</v>
      </c>
      <c r="C37" s="24">
        <v>-33.46</v>
      </c>
    </row>
    <row r="38" spans="1:9" x14ac:dyDescent="0.3">
      <c r="A38" s="26">
        <v>45882</v>
      </c>
      <c r="B38" s="27" t="s">
        <v>174</v>
      </c>
      <c r="C38" s="24">
        <v>-182.58</v>
      </c>
    </row>
    <row r="39" spans="1:9" x14ac:dyDescent="0.3">
      <c r="A39" s="26">
        <v>45882</v>
      </c>
      <c r="B39" s="32" t="s">
        <v>21</v>
      </c>
      <c r="C39" s="24">
        <v>55.9</v>
      </c>
    </row>
    <row r="40" spans="1:9" x14ac:dyDescent="0.3">
      <c r="A40" s="26">
        <v>45882</v>
      </c>
      <c r="B40" s="34" t="s">
        <v>21</v>
      </c>
      <c r="C40" s="24">
        <v>49.36</v>
      </c>
    </row>
    <row r="41" spans="1:9" x14ac:dyDescent="0.3">
      <c r="A41" s="26">
        <v>45889</v>
      </c>
      <c r="B41" s="27" t="s">
        <v>4</v>
      </c>
      <c r="C41" s="24">
        <v>-109.57</v>
      </c>
    </row>
    <row r="42" spans="1:9" x14ac:dyDescent="0.3">
      <c r="A42" s="26">
        <v>45889</v>
      </c>
      <c r="B42" s="32" t="s">
        <v>21</v>
      </c>
      <c r="C42" s="24">
        <v>116.75</v>
      </c>
      <c r="I42" s="18" t="s">
        <v>527</v>
      </c>
    </row>
    <row r="43" spans="1:9" x14ac:dyDescent="0.3">
      <c r="A43" s="26">
        <v>45889</v>
      </c>
      <c r="B43" s="34" t="s">
        <v>21</v>
      </c>
      <c r="C43" s="24">
        <v>131.41</v>
      </c>
    </row>
    <row r="44" spans="1:9" x14ac:dyDescent="0.3">
      <c r="A44" s="26">
        <v>45889</v>
      </c>
      <c r="B44" s="46" t="s">
        <v>21</v>
      </c>
      <c r="C44" s="24">
        <v>37.65</v>
      </c>
    </row>
    <row r="45" spans="1:9" x14ac:dyDescent="0.3">
      <c r="A45" s="26">
        <v>45889</v>
      </c>
      <c r="B45" s="27" t="s">
        <v>1</v>
      </c>
      <c r="C45" s="24">
        <v>41.6</v>
      </c>
    </row>
    <row r="46" spans="1:9" x14ac:dyDescent="0.3">
      <c r="A46" s="26">
        <v>45896</v>
      </c>
      <c r="B46" s="27" t="s">
        <v>4</v>
      </c>
      <c r="C46" s="24">
        <v>-85.89</v>
      </c>
    </row>
    <row r="47" spans="1:9" x14ac:dyDescent="0.3">
      <c r="A47" s="26">
        <v>45896</v>
      </c>
      <c r="B47" s="27" t="s">
        <v>4</v>
      </c>
      <c r="C47" s="24">
        <v>-150.03</v>
      </c>
    </row>
    <row r="48" spans="1:9" x14ac:dyDescent="0.3">
      <c r="A48" s="26">
        <v>45896</v>
      </c>
      <c r="B48" s="32" t="s">
        <v>21</v>
      </c>
      <c r="C48" s="24">
        <v>24.85</v>
      </c>
    </row>
    <row r="49" spans="1:3" x14ac:dyDescent="0.3">
      <c r="A49" s="26">
        <v>45896</v>
      </c>
      <c r="B49" s="34" t="s">
        <v>21</v>
      </c>
      <c r="C49" s="24">
        <v>47.31</v>
      </c>
    </row>
    <row r="50" spans="1:3" x14ac:dyDescent="0.3">
      <c r="A50" s="26">
        <v>45896</v>
      </c>
      <c r="B50" s="46" t="s">
        <v>21</v>
      </c>
      <c r="C50" s="24">
        <v>46.27</v>
      </c>
    </row>
    <row r="51" spans="1:3" x14ac:dyDescent="0.3">
      <c r="A51" s="26">
        <v>45896</v>
      </c>
      <c r="B51" s="27" t="s">
        <v>1</v>
      </c>
      <c r="C51" s="24">
        <v>41.6</v>
      </c>
    </row>
    <row r="52" spans="1:3" x14ac:dyDescent="0.3">
      <c r="A52" s="26">
        <v>45903</v>
      </c>
      <c r="B52" s="32" t="s">
        <v>21</v>
      </c>
      <c r="C52" s="24">
        <v>53.29</v>
      </c>
    </row>
    <row r="53" spans="1:3" x14ac:dyDescent="0.3">
      <c r="A53" s="26">
        <v>45903</v>
      </c>
      <c r="B53" s="34" t="s">
        <v>21</v>
      </c>
      <c r="C53" s="24">
        <v>136.15</v>
      </c>
    </row>
    <row r="54" spans="1:3" x14ac:dyDescent="0.3">
      <c r="A54" s="26">
        <v>45903</v>
      </c>
      <c r="B54" s="46" t="s">
        <v>21</v>
      </c>
      <c r="C54" s="24">
        <v>10.35</v>
      </c>
    </row>
    <row r="55" spans="1:3" x14ac:dyDescent="0.3">
      <c r="A55" s="26">
        <v>45904</v>
      </c>
      <c r="B55" s="27" t="s">
        <v>4</v>
      </c>
      <c r="C55" s="24">
        <v>-138.37</v>
      </c>
    </row>
    <row r="56" spans="1:3" x14ac:dyDescent="0.3">
      <c r="A56" s="26">
        <v>45904</v>
      </c>
      <c r="B56" s="27" t="s">
        <v>4</v>
      </c>
      <c r="C56" s="24">
        <v>-111.6</v>
      </c>
    </row>
    <row r="57" spans="1:3" x14ac:dyDescent="0.3">
      <c r="A57" s="26">
        <v>45909</v>
      </c>
      <c r="B57" s="27" t="s">
        <v>4</v>
      </c>
      <c r="C57" s="24">
        <v>-149.05000000000001</v>
      </c>
    </row>
    <row r="58" spans="1:3" x14ac:dyDescent="0.3">
      <c r="A58" s="26">
        <v>45910</v>
      </c>
      <c r="B58" s="32" t="s">
        <v>21</v>
      </c>
      <c r="C58" s="24">
        <v>38.5</v>
      </c>
    </row>
    <row r="59" spans="1:3" x14ac:dyDescent="0.3">
      <c r="A59" s="26">
        <v>45910</v>
      </c>
      <c r="B59" s="34" t="s">
        <v>21</v>
      </c>
      <c r="C59" s="24">
        <v>102.88</v>
      </c>
    </row>
    <row r="60" spans="1:3" x14ac:dyDescent="0.3">
      <c r="A60" s="26">
        <v>45910</v>
      </c>
      <c r="B60" s="27" t="s">
        <v>1</v>
      </c>
      <c r="C60" s="24">
        <v>20.8</v>
      </c>
    </row>
    <row r="61" spans="1:3" x14ac:dyDescent="0.3">
      <c r="A61" s="26">
        <v>45911</v>
      </c>
      <c r="B61" s="27" t="s">
        <v>4</v>
      </c>
      <c r="C61" s="24">
        <v>-52.34</v>
      </c>
    </row>
    <row r="62" spans="1:3" x14ac:dyDescent="0.3">
      <c r="A62" s="26">
        <v>45917</v>
      </c>
      <c r="B62" s="32" t="s">
        <v>21</v>
      </c>
      <c r="C62" s="24">
        <v>27.85</v>
      </c>
    </row>
    <row r="63" spans="1:3" x14ac:dyDescent="0.3">
      <c r="A63" s="26">
        <v>45917</v>
      </c>
      <c r="B63" s="34" t="s">
        <v>21</v>
      </c>
      <c r="C63" s="24">
        <v>111.14</v>
      </c>
    </row>
    <row r="64" spans="1:3" x14ac:dyDescent="0.3">
      <c r="A64" s="26">
        <v>45917</v>
      </c>
      <c r="B64" s="46" t="s">
        <v>21</v>
      </c>
      <c r="C64" s="24">
        <v>55.3</v>
      </c>
    </row>
    <row r="65" spans="1:3" x14ac:dyDescent="0.3">
      <c r="A65" s="26">
        <v>45918</v>
      </c>
      <c r="B65" s="27" t="s">
        <v>4</v>
      </c>
      <c r="C65" s="24">
        <v>-164.99</v>
      </c>
    </row>
    <row r="66" spans="1:3" x14ac:dyDescent="0.3">
      <c r="A66" s="26">
        <v>45919</v>
      </c>
      <c r="B66" s="32" t="s">
        <v>21</v>
      </c>
      <c r="C66" s="24">
        <v>9</v>
      </c>
    </row>
    <row r="67" spans="1:3" x14ac:dyDescent="0.3">
      <c r="A67" s="26">
        <v>45924</v>
      </c>
      <c r="B67" s="27" t="s">
        <v>4</v>
      </c>
      <c r="C67" s="24">
        <v>-60.01</v>
      </c>
    </row>
    <row r="68" spans="1:3" x14ac:dyDescent="0.3">
      <c r="A68" s="26">
        <v>45924</v>
      </c>
      <c r="B68" s="32" t="s">
        <v>21</v>
      </c>
      <c r="C68" s="24">
        <v>33.85</v>
      </c>
    </row>
    <row r="69" spans="1:3" x14ac:dyDescent="0.3">
      <c r="A69" s="26">
        <v>45924</v>
      </c>
      <c r="B69" s="34" t="s">
        <v>21</v>
      </c>
      <c r="C69" s="24">
        <v>98.81</v>
      </c>
    </row>
    <row r="70" spans="1:3" x14ac:dyDescent="0.3">
      <c r="A70" s="26">
        <v>45930</v>
      </c>
      <c r="B70" s="27" t="s">
        <v>4</v>
      </c>
      <c r="C70" s="24">
        <v>-143.24</v>
      </c>
    </row>
    <row r="71" spans="1:3" x14ac:dyDescent="0.3">
      <c r="A71" s="26">
        <v>45931</v>
      </c>
      <c r="B71" s="32" t="s">
        <v>21</v>
      </c>
      <c r="C71" s="24">
        <v>59.49</v>
      </c>
    </row>
    <row r="72" spans="1:3" x14ac:dyDescent="0.3">
      <c r="A72" s="26">
        <v>45931</v>
      </c>
      <c r="B72" s="34" t="s">
        <v>21</v>
      </c>
      <c r="C72" s="24">
        <v>121.84</v>
      </c>
    </row>
    <row r="73" spans="1:3" x14ac:dyDescent="0.3">
      <c r="A73" s="26">
        <v>45931</v>
      </c>
      <c r="B73" s="27" t="s">
        <v>1</v>
      </c>
      <c r="C73" s="24">
        <v>20.8</v>
      </c>
    </row>
    <row r="74" spans="1:3" x14ac:dyDescent="0.3">
      <c r="A74" s="26">
        <v>45936</v>
      </c>
      <c r="B74" s="27" t="s">
        <v>4</v>
      </c>
      <c r="C74" s="24">
        <v>-91.69</v>
      </c>
    </row>
    <row r="75" spans="1:3" x14ac:dyDescent="0.3">
      <c r="A75" s="26">
        <v>45936</v>
      </c>
      <c r="B75" s="27" t="s">
        <v>4</v>
      </c>
      <c r="C75" s="24">
        <v>-44.23</v>
      </c>
    </row>
    <row r="76" spans="1:3" x14ac:dyDescent="0.3">
      <c r="A76" s="26">
        <v>45938</v>
      </c>
      <c r="B76" s="32" t="s">
        <v>21</v>
      </c>
      <c r="C76" s="24">
        <v>87.02</v>
      </c>
    </row>
    <row r="77" spans="1:3" x14ac:dyDescent="0.3">
      <c r="A77" s="26">
        <v>45938</v>
      </c>
      <c r="B77" s="34" t="s">
        <v>21</v>
      </c>
      <c r="C77" s="24">
        <v>118.29</v>
      </c>
    </row>
    <row r="78" spans="1:3" x14ac:dyDescent="0.3">
      <c r="A78" s="26">
        <v>45938</v>
      </c>
      <c r="B78" s="27" t="s">
        <v>1</v>
      </c>
      <c r="C78" s="24">
        <v>23</v>
      </c>
    </row>
    <row r="79" spans="1:3" x14ac:dyDescent="0.3">
      <c r="A79" s="26">
        <v>45940</v>
      </c>
      <c r="B79" s="27" t="s">
        <v>4</v>
      </c>
      <c r="C79" s="24">
        <v>-103.47</v>
      </c>
    </row>
    <row r="80" spans="1:3" x14ac:dyDescent="0.3">
      <c r="A80" s="26">
        <v>45944</v>
      </c>
      <c r="B80" s="27" t="s">
        <v>4</v>
      </c>
      <c r="C80" s="24">
        <v>-30.42</v>
      </c>
    </row>
    <row r="81" spans="1:3" x14ac:dyDescent="0.3">
      <c r="A81" s="26">
        <v>45945</v>
      </c>
      <c r="B81" s="34" t="s">
        <v>21</v>
      </c>
      <c r="C81" s="24">
        <v>62.28</v>
      </c>
    </row>
    <row r="82" spans="1:3" x14ac:dyDescent="0.3">
      <c r="A82" s="26">
        <v>45945</v>
      </c>
      <c r="B82" s="27" t="s">
        <v>1</v>
      </c>
      <c r="C82" s="24">
        <v>23</v>
      </c>
    </row>
    <row r="83" spans="1:3" x14ac:dyDescent="0.3">
      <c r="A83" s="26">
        <v>45950</v>
      </c>
      <c r="B83" s="27" t="s">
        <v>4</v>
      </c>
      <c r="C83" s="24">
        <v>-97.24</v>
      </c>
    </row>
    <row r="84" spans="1:3" x14ac:dyDescent="0.3">
      <c r="A84" s="26">
        <v>45952</v>
      </c>
      <c r="B84" s="27" t="s">
        <v>4</v>
      </c>
      <c r="C84" s="24">
        <v>-99.87</v>
      </c>
    </row>
    <row r="85" spans="1:3" x14ac:dyDescent="0.3">
      <c r="A85" s="26">
        <v>45952</v>
      </c>
      <c r="B85" s="27" t="s">
        <v>4</v>
      </c>
      <c r="C85" s="24">
        <v>-71.7</v>
      </c>
    </row>
    <row r="86" spans="1:3" x14ac:dyDescent="0.3">
      <c r="A86" s="26">
        <v>45952</v>
      </c>
      <c r="B86" s="32" t="s">
        <v>21</v>
      </c>
      <c r="C86" s="24">
        <v>84.08</v>
      </c>
    </row>
    <row r="87" spans="1:3" x14ac:dyDescent="0.3">
      <c r="A87" s="26">
        <v>45952</v>
      </c>
      <c r="B87" s="34" t="s">
        <v>21</v>
      </c>
      <c r="C87" s="24">
        <v>185.53</v>
      </c>
    </row>
    <row r="88" spans="1:3" x14ac:dyDescent="0.3">
      <c r="A88" s="26">
        <v>45952</v>
      </c>
      <c r="B88" s="46" t="s">
        <v>21</v>
      </c>
      <c r="C88" s="24">
        <v>5.84</v>
      </c>
    </row>
    <row r="89" spans="1:3" x14ac:dyDescent="0.3">
      <c r="A89" s="26">
        <v>45952</v>
      </c>
      <c r="B89" s="27" t="s">
        <v>1</v>
      </c>
      <c r="C89" s="24">
        <v>23</v>
      </c>
    </row>
    <row r="90" spans="1:3" x14ac:dyDescent="0.3">
      <c r="A90" s="26">
        <v>45959</v>
      </c>
      <c r="B90" s="27" t="s">
        <v>4</v>
      </c>
      <c r="C90" s="24">
        <v>-18.190000000000001</v>
      </c>
    </row>
    <row r="91" spans="1:3" x14ac:dyDescent="0.3">
      <c r="A91" s="26">
        <v>45959</v>
      </c>
      <c r="B91" s="27" t="s">
        <v>4</v>
      </c>
      <c r="C91" s="24">
        <v>-92.43</v>
      </c>
    </row>
    <row r="92" spans="1:3" x14ac:dyDescent="0.3">
      <c r="A92" s="26">
        <v>45959</v>
      </c>
      <c r="B92" s="32" t="s">
        <v>21</v>
      </c>
      <c r="C92" s="24">
        <v>32.880000000000003</v>
      </c>
    </row>
    <row r="93" spans="1:3" x14ac:dyDescent="0.3">
      <c r="A93" s="26">
        <v>45959</v>
      </c>
      <c r="B93" s="34" t="s">
        <v>21</v>
      </c>
      <c r="C93" s="24">
        <v>108.43</v>
      </c>
    </row>
    <row r="94" spans="1:3" x14ac:dyDescent="0.3">
      <c r="A94" s="26">
        <v>45959</v>
      </c>
      <c r="B94" s="46" t="s">
        <v>21</v>
      </c>
      <c r="C94" s="24">
        <v>18.809999999999999</v>
      </c>
    </row>
    <row r="95" spans="1:3" x14ac:dyDescent="0.3">
      <c r="A95" s="26">
        <v>45959</v>
      </c>
      <c r="B95" s="27" t="s">
        <v>1</v>
      </c>
      <c r="C95" s="24">
        <v>23</v>
      </c>
    </row>
    <row r="96" spans="1:3" x14ac:dyDescent="0.3">
      <c r="A96" s="26">
        <v>45966</v>
      </c>
      <c r="B96" s="32" t="s">
        <v>21</v>
      </c>
      <c r="C96" s="24">
        <v>67</v>
      </c>
    </row>
    <row r="97" spans="1:3" x14ac:dyDescent="0.3">
      <c r="A97" s="26">
        <v>45966</v>
      </c>
      <c r="B97" s="34" t="s">
        <v>21</v>
      </c>
      <c r="C97" s="24">
        <v>97.55</v>
      </c>
    </row>
    <row r="98" spans="1:3" x14ac:dyDescent="0.3">
      <c r="A98" s="26">
        <v>45968</v>
      </c>
      <c r="B98" s="27" t="s">
        <v>4</v>
      </c>
      <c r="C98" s="24">
        <v>-131.30000000000001</v>
      </c>
    </row>
    <row r="99" spans="1:3" x14ac:dyDescent="0.3">
      <c r="A99" s="26">
        <v>45972</v>
      </c>
      <c r="B99" s="27" t="s">
        <v>4</v>
      </c>
      <c r="C99" s="24">
        <v>-216.36</v>
      </c>
    </row>
    <row r="100" spans="1:3" x14ac:dyDescent="0.3">
      <c r="A100" s="26">
        <v>45973</v>
      </c>
      <c r="B100" s="27" t="s">
        <v>4</v>
      </c>
      <c r="C100" s="24">
        <v>-128.72999999999999</v>
      </c>
    </row>
    <row r="101" spans="1:3" x14ac:dyDescent="0.3">
      <c r="A101" s="26">
        <v>45973</v>
      </c>
      <c r="B101" s="27" t="s">
        <v>1</v>
      </c>
      <c r="C101" s="24">
        <v>174.36</v>
      </c>
    </row>
    <row r="102" spans="1:3" x14ac:dyDescent="0.3">
      <c r="A102" s="26">
        <v>45976</v>
      </c>
      <c r="B102" s="27" t="s">
        <v>4</v>
      </c>
      <c r="C102" s="24">
        <v>-173.39</v>
      </c>
    </row>
    <row r="103" spans="1:3" x14ac:dyDescent="0.3">
      <c r="A103" s="26">
        <v>45980</v>
      </c>
      <c r="B103" s="27" t="s">
        <v>4</v>
      </c>
      <c r="C103" s="24">
        <v>154.91</v>
      </c>
    </row>
    <row r="104" spans="1:3" x14ac:dyDescent="0.3">
      <c r="A104" s="26">
        <v>45987</v>
      </c>
      <c r="B104" s="27" t="s">
        <v>7</v>
      </c>
      <c r="C104" s="24">
        <v>-157.13999999999999</v>
      </c>
    </row>
    <row r="105" spans="1:3" x14ac:dyDescent="0.3">
      <c r="A105" s="26">
        <v>45987</v>
      </c>
      <c r="B105" s="27" t="s">
        <v>1</v>
      </c>
      <c r="C105" s="24">
        <v>189.03</v>
      </c>
    </row>
    <row r="106" spans="1:3" x14ac:dyDescent="0.3">
      <c r="A106" s="26">
        <v>45993</v>
      </c>
      <c r="B106" s="27" t="s">
        <v>4</v>
      </c>
      <c r="C106" s="24">
        <v>-141.47</v>
      </c>
    </row>
    <row r="107" spans="1:3" x14ac:dyDescent="0.3">
      <c r="A107" s="26">
        <v>45993</v>
      </c>
      <c r="B107" s="27" t="s">
        <v>4</v>
      </c>
      <c r="C107" s="24">
        <v>-60.63</v>
      </c>
    </row>
    <row r="108" spans="1:3" x14ac:dyDescent="0.3">
      <c r="A108" s="26">
        <v>45994</v>
      </c>
      <c r="B108" s="27" t="s">
        <v>1</v>
      </c>
      <c r="C108" s="24">
        <v>127.94</v>
      </c>
    </row>
    <row r="109" spans="1:3" x14ac:dyDescent="0.3">
      <c r="A109" s="26">
        <v>45999</v>
      </c>
      <c r="B109" s="27" t="s">
        <v>4</v>
      </c>
      <c r="C109" s="24">
        <v>-116.31</v>
      </c>
    </row>
    <row r="110" spans="1:3" x14ac:dyDescent="0.3">
      <c r="A110" s="26">
        <v>46001</v>
      </c>
      <c r="B110" s="27" t="s">
        <v>7</v>
      </c>
      <c r="C110" s="24">
        <v>-53.57</v>
      </c>
    </row>
    <row r="111" spans="1:3" x14ac:dyDescent="0.3">
      <c r="A111" s="26">
        <v>46001</v>
      </c>
      <c r="B111" s="27" t="s">
        <v>1</v>
      </c>
      <c r="C111" s="24">
        <v>250.68</v>
      </c>
    </row>
    <row r="112" spans="1:3" x14ac:dyDescent="0.3">
      <c r="A112" s="26">
        <v>46008</v>
      </c>
      <c r="B112" s="27" t="s">
        <v>4</v>
      </c>
      <c r="C112" s="24">
        <v>-43.39</v>
      </c>
    </row>
    <row r="113" spans="1:4" x14ac:dyDescent="0.3">
      <c r="A113" s="26">
        <v>46010</v>
      </c>
      <c r="B113" s="27" t="s">
        <v>4</v>
      </c>
      <c r="C113" s="24">
        <v>-106.19</v>
      </c>
    </row>
    <row r="114" spans="1:4" x14ac:dyDescent="0.3">
      <c r="A114" s="26">
        <v>46014</v>
      </c>
      <c r="B114" s="27" t="s">
        <v>4</v>
      </c>
      <c r="C114" s="24">
        <v>-29.47</v>
      </c>
    </row>
    <row r="115" spans="1:4" x14ac:dyDescent="0.3">
      <c r="A115" s="26">
        <v>46017</v>
      </c>
      <c r="B115" s="27" t="s">
        <v>4</v>
      </c>
      <c r="C115" s="24">
        <v>-51.48</v>
      </c>
    </row>
    <row r="116" spans="1:4" x14ac:dyDescent="0.3">
      <c r="A116" s="26">
        <v>46017</v>
      </c>
      <c r="B116" s="27" t="s">
        <v>4</v>
      </c>
      <c r="C116" s="24">
        <v>-51.48</v>
      </c>
    </row>
    <row r="117" spans="1:4" x14ac:dyDescent="0.3">
      <c r="A117" s="26">
        <v>46017</v>
      </c>
      <c r="B117" s="27" t="s">
        <v>4</v>
      </c>
      <c r="C117" s="24">
        <v>-24.03</v>
      </c>
    </row>
    <row r="118" spans="1:4" x14ac:dyDescent="0.3">
      <c r="A118" s="26">
        <v>46017</v>
      </c>
      <c r="B118" s="27" t="s">
        <v>4</v>
      </c>
      <c r="C118" s="24">
        <v>-19.91</v>
      </c>
    </row>
    <row r="119" spans="1:4" x14ac:dyDescent="0.3">
      <c r="A119" s="26">
        <v>46017</v>
      </c>
      <c r="B119" s="27" t="s">
        <v>1</v>
      </c>
      <c r="C119" s="24">
        <v>238.23</v>
      </c>
      <c r="D119" s="25">
        <v>2</v>
      </c>
    </row>
    <row r="120" spans="1:4" x14ac:dyDescent="0.3">
      <c r="A120" s="26">
        <v>46024</v>
      </c>
      <c r="B120" s="27" t="s">
        <v>4</v>
      </c>
      <c r="C120" s="24">
        <v>-99.55</v>
      </c>
    </row>
    <row r="121" spans="1:4" x14ac:dyDescent="0.3">
      <c r="A121" s="26">
        <v>46024</v>
      </c>
      <c r="B121" s="27" t="s">
        <v>4</v>
      </c>
      <c r="C121" s="24">
        <v>-39.82</v>
      </c>
    </row>
    <row r="122" spans="1:4" x14ac:dyDescent="0.3">
      <c r="A122" s="26">
        <v>46024</v>
      </c>
      <c r="B122" s="27" t="s">
        <v>4</v>
      </c>
      <c r="C122" s="24">
        <v>-41.78</v>
      </c>
    </row>
    <row r="123" spans="1:4" x14ac:dyDescent="0.3">
      <c r="A123" s="26">
        <v>46027</v>
      </c>
      <c r="B123" s="27" t="s">
        <v>4</v>
      </c>
      <c r="C123" s="24">
        <v>-98.46</v>
      </c>
    </row>
    <row r="124" spans="1:4" x14ac:dyDescent="0.3">
      <c r="A124" s="26">
        <v>46029</v>
      </c>
      <c r="B124" s="27" t="s">
        <v>1</v>
      </c>
      <c r="C124" s="24">
        <v>287.47000000000003</v>
      </c>
    </row>
    <row r="125" spans="1:4" x14ac:dyDescent="0.3">
      <c r="A125" s="26">
        <v>46036</v>
      </c>
      <c r="B125" s="27" t="s">
        <v>4</v>
      </c>
      <c r="C125" s="24">
        <v>-40.119999999999997</v>
      </c>
    </row>
    <row r="126" spans="1:4" x14ac:dyDescent="0.3">
      <c r="A126" s="26">
        <v>46036</v>
      </c>
      <c r="B126" s="27" t="s">
        <v>4</v>
      </c>
      <c r="C126" s="24">
        <v>-104.02</v>
      </c>
    </row>
    <row r="127" spans="1:4" x14ac:dyDescent="0.3">
      <c r="A127" s="26">
        <v>46036</v>
      </c>
      <c r="B127" s="27" t="s">
        <v>1</v>
      </c>
      <c r="C127" s="24">
        <v>187.91</v>
      </c>
      <c r="D127" s="25">
        <v>1</v>
      </c>
    </row>
    <row r="128" spans="1:4" x14ac:dyDescent="0.3">
      <c r="A128" s="26">
        <v>46042</v>
      </c>
      <c r="B128" s="27" t="s">
        <v>4</v>
      </c>
      <c r="C128" s="24">
        <v>-117.05</v>
      </c>
    </row>
    <row r="129" spans="1:3" x14ac:dyDescent="0.3">
      <c r="A129" s="26">
        <v>46043</v>
      </c>
      <c r="B129" s="27" t="s">
        <v>4</v>
      </c>
      <c r="C129" s="24">
        <v>-37.44</v>
      </c>
    </row>
    <row r="130" spans="1:3" x14ac:dyDescent="0.3">
      <c r="A130" s="26">
        <v>46043</v>
      </c>
      <c r="B130" s="27" t="s">
        <v>1</v>
      </c>
      <c r="C130" s="24">
        <v>176.14</v>
      </c>
    </row>
    <row r="131" spans="1:3" x14ac:dyDescent="0.3">
      <c r="A131" s="26">
        <v>46049</v>
      </c>
      <c r="B131" s="27" t="s">
        <v>4</v>
      </c>
      <c r="C131" s="24">
        <v>-139.30000000000001</v>
      </c>
    </row>
    <row r="132" spans="1:3" x14ac:dyDescent="0.3">
      <c r="A132" s="26">
        <v>46050</v>
      </c>
      <c r="B132" s="27" t="s">
        <v>4</v>
      </c>
      <c r="C132" s="24">
        <v>-69.16</v>
      </c>
    </row>
    <row r="133" spans="1:3" x14ac:dyDescent="0.3">
      <c r="A133" s="26">
        <v>46050</v>
      </c>
      <c r="B133" s="27" t="s">
        <v>1</v>
      </c>
      <c r="C133" s="24">
        <v>312.36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9C392-C969-4BBA-A2C8-0C16E81696E5}">
  <dimension ref="A1:H106"/>
  <sheetViews>
    <sheetView view="pageBreakPreview" topLeftCell="A75" zoomScale="80" zoomScaleNormal="100" zoomScaleSheetLayoutView="80" workbookViewId="0">
      <selection activeCell="C107" sqref="C10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308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309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-9.9999999998914291E-3</v>
      </c>
      <c r="D3" s="20">
        <f>SUM(D$4:D$1048576)</f>
        <v>1</v>
      </c>
      <c r="E3" s="20">
        <f>SUM(E$5:E$1048576)</f>
        <v>-1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45834</v>
      </c>
      <c r="B5" s="27" t="s">
        <v>4</v>
      </c>
      <c r="C5" s="24">
        <v>-67.849999999999994</v>
      </c>
      <c r="D5" s="30"/>
      <c r="E5" s="30"/>
      <c r="F5" s="30"/>
      <c r="G5" s="22"/>
    </row>
    <row r="6" spans="1:8" hidden="1" x14ac:dyDescent="0.3">
      <c r="A6" s="21">
        <v>45834</v>
      </c>
      <c r="B6" s="32" t="s">
        <v>21</v>
      </c>
      <c r="C6" s="24">
        <v>42.48</v>
      </c>
    </row>
    <row r="7" spans="1:8" hidden="1" x14ac:dyDescent="0.3">
      <c r="A7" s="21">
        <v>45834</v>
      </c>
      <c r="B7" s="34" t="s">
        <v>1</v>
      </c>
      <c r="C7" s="24">
        <v>25.38</v>
      </c>
    </row>
    <row r="8" spans="1:8" hidden="1" x14ac:dyDescent="0.3">
      <c r="A8" s="26">
        <v>45840</v>
      </c>
      <c r="B8" s="32" t="s">
        <v>21</v>
      </c>
      <c r="C8" s="24">
        <v>15.85</v>
      </c>
    </row>
    <row r="9" spans="1:8" hidden="1" x14ac:dyDescent="0.3">
      <c r="A9" s="26">
        <v>45840</v>
      </c>
      <c r="B9" s="34" t="s">
        <v>1</v>
      </c>
      <c r="C9" s="24">
        <v>68.98</v>
      </c>
    </row>
    <row r="10" spans="1:8" hidden="1" x14ac:dyDescent="0.3">
      <c r="A10" s="26">
        <v>45842</v>
      </c>
      <c r="B10" s="27" t="s">
        <v>4</v>
      </c>
      <c r="C10" s="24">
        <v>-84.83</v>
      </c>
    </row>
    <row r="11" spans="1:8" hidden="1" x14ac:dyDescent="0.3">
      <c r="A11" s="26">
        <v>45848</v>
      </c>
      <c r="B11" s="32" t="s">
        <v>1</v>
      </c>
      <c r="C11" s="24">
        <v>15.85</v>
      </c>
    </row>
    <row r="12" spans="1:8" hidden="1" x14ac:dyDescent="0.3">
      <c r="A12" s="26">
        <v>45848</v>
      </c>
      <c r="B12" s="34" t="s">
        <v>1</v>
      </c>
      <c r="C12" s="24">
        <v>73.13</v>
      </c>
    </row>
    <row r="13" spans="1:8" hidden="1" x14ac:dyDescent="0.3">
      <c r="A13" s="26">
        <v>45848</v>
      </c>
      <c r="B13" s="46" t="s">
        <v>1</v>
      </c>
      <c r="C13" s="24">
        <v>16.32</v>
      </c>
    </row>
    <row r="14" spans="1:8" hidden="1" x14ac:dyDescent="0.3">
      <c r="A14" s="26">
        <v>45849</v>
      </c>
      <c r="B14" s="27" t="s">
        <v>4</v>
      </c>
      <c r="C14" s="24">
        <v>-105.3</v>
      </c>
    </row>
    <row r="15" spans="1:8" hidden="1" x14ac:dyDescent="0.3">
      <c r="A15" s="26">
        <v>45855</v>
      </c>
      <c r="B15" s="27" t="s">
        <v>4</v>
      </c>
      <c r="C15" s="24">
        <v>-93.12</v>
      </c>
    </row>
    <row r="16" spans="1:8" hidden="1" x14ac:dyDescent="0.3">
      <c r="A16" s="26">
        <v>45855</v>
      </c>
      <c r="B16" s="32" t="s">
        <v>1</v>
      </c>
      <c r="C16" s="24">
        <v>36.700000000000003</v>
      </c>
      <c r="E16" s="25">
        <v>1</v>
      </c>
    </row>
    <row r="17" spans="1:5" hidden="1" x14ac:dyDescent="0.3">
      <c r="A17" s="26">
        <v>45855</v>
      </c>
      <c r="B17" s="34" t="s">
        <v>1</v>
      </c>
      <c r="C17" s="24">
        <v>56.42</v>
      </c>
    </row>
    <row r="18" spans="1:5" hidden="1" x14ac:dyDescent="0.3">
      <c r="A18" s="26">
        <v>45862</v>
      </c>
      <c r="B18" s="27" t="s">
        <v>22</v>
      </c>
      <c r="E18" s="25">
        <v>-1</v>
      </c>
    </row>
    <row r="19" spans="1:5" x14ac:dyDescent="0.3">
      <c r="A19" s="26">
        <v>45869</v>
      </c>
      <c r="B19" s="32" t="s">
        <v>1</v>
      </c>
      <c r="C19" s="24">
        <v>51.39</v>
      </c>
    </row>
    <row r="20" spans="1:5" x14ac:dyDescent="0.3">
      <c r="A20" s="26">
        <v>45869</v>
      </c>
      <c r="B20" s="34" t="s">
        <v>1</v>
      </c>
      <c r="C20" s="24">
        <v>103.89</v>
      </c>
    </row>
    <row r="21" spans="1:5" x14ac:dyDescent="0.3">
      <c r="A21" s="26">
        <v>45869</v>
      </c>
      <c r="B21" s="46" t="s">
        <v>1</v>
      </c>
      <c r="C21" s="24">
        <v>45.39</v>
      </c>
    </row>
    <row r="22" spans="1:5" x14ac:dyDescent="0.3">
      <c r="A22" s="26">
        <v>45876</v>
      </c>
      <c r="B22" s="27" t="s">
        <v>174</v>
      </c>
      <c r="C22" s="24">
        <v>-140.63999999999999</v>
      </c>
    </row>
    <row r="23" spans="1:5" x14ac:dyDescent="0.3">
      <c r="A23" s="26">
        <v>45876</v>
      </c>
      <c r="B23" s="32" t="s">
        <v>1</v>
      </c>
      <c r="C23" s="24">
        <v>7.5</v>
      </c>
    </row>
    <row r="24" spans="1:5" x14ac:dyDescent="0.3">
      <c r="A24" s="26">
        <v>45876</v>
      </c>
      <c r="B24" s="34" t="s">
        <v>1</v>
      </c>
      <c r="C24" s="24">
        <v>57.32</v>
      </c>
    </row>
    <row r="25" spans="1:5" x14ac:dyDescent="0.3">
      <c r="A25" s="26">
        <v>45876</v>
      </c>
      <c r="B25" s="46" t="s">
        <v>1</v>
      </c>
      <c r="C25" s="24">
        <v>19.260000000000002</v>
      </c>
    </row>
    <row r="26" spans="1:5" x14ac:dyDescent="0.3">
      <c r="A26" s="26">
        <v>45883</v>
      </c>
      <c r="B26" s="27" t="s">
        <v>7</v>
      </c>
      <c r="C26" s="24">
        <v>-86.78</v>
      </c>
    </row>
    <row r="27" spans="1:5" x14ac:dyDescent="0.3">
      <c r="A27" s="26">
        <v>45883</v>
      </c>
      <c r="B27" s="32" t="s">
        <v>1</v>
      </c>
      <c r="C27" s="24">
        <v>34.450000000000003</v>
      </c>
    </row>
    <row r="28" spans="1:5" x14ac:dyDescent="0.3">
      <c r="A28" s="26">
        <v>45883</v>
      </c>
      <c r="B28" s="34" t="s">
        <v>1</v>
      </c>
      <c r="C28" s="24">
        <v>56.76</v>
      </c>
    </row>
    <row r="29" spans="1:5" x14ac:dyDescent="0.3">
      <c r="A29" s="26">
        <v>45883</v>
      </c>
      <c r="B29" s="46" t="s">
        <v>1</v>
      </c>
      <c r="C29" s="24">
        <v>16.32</v>
      </c>
    </row>
    <row r="30" spans="1:5" x14ac:dyDescent="0.3">
      <c r="A30" s="26">
        <v>45887</v>
      </c>
      <c r="B30" s="27" t="s">
        <v>4</v>
      </c>
      <c r="C30" s="24">
        <v>-107.53</v>
      </c>
    </row>
    <row r="31" spans="1:5" x14ac:dyDescent="0.3">
      <c r="A31" s="26">
        <v>45897</v>
      </c>
      <c r="B31" s="27" t="s">
        <v>7</v>
      </c>
      <c r="C31" s="24">
        <v>-12.9</v>
      </c>
    </row>
    <row r="32" spans="1:5" x14ac:dyDescent="0.3">
      <c r="A32" s="26">
        <v>45897</v>
      </c>
      <c r="B32" s="32" t="s">
        <v>1</v>
      </c>
      <c r="C32" s="24">
        <v>24.85</v>
      </c>
    </row>
    <row r="33" spans="1:5" x14ac:dyDescent="0.3">
      <c r="A33" s="26">
        <v>45897</v>
      </c>
      <c r="B33" s="34" t="s">
        <v>1</v>
      </c>
      <c r="C33" s="24">
        <v>26.94</v>
      </c>
    </row>
    <row r="34" spans="1:5" x14ac:dyDescent="0.3">
      <c r="A34" s="26">
        <v>45897</v>
      </c>
      <c r="B34" s="46" t="s">
        <v>1</v>
      </c>
      <c r="C34" s="24">
        <v>10.62</v>
      </c>
    </row>
    <row r="35" spans="1:5" x14ac:dyDescent="0.3">
      <c r="A35" s="26">
        <v>45898</v>
      </c>
      <c r="B35" s="27" t="s">
        <v>4</v>
      </c>
      <c r="C35" s="24">
        <v>-73.150000000000006</v>
      </c>
    </row>
    <row r="36" spans="1:5" x14ac:dyDescent="0.3">
      <c r="A36" s="26">
        <v>45904</v>
      </c>
      <c r="B36" s="32" t="s">
        <v>1</v>
      </c>
      <c r="C36" s="24">
        <v>23.94</v>
      </c>
    </row>
    <row r="37" spans="1:5" x14ac:dyDescent="0.3">
      <c r="A37" s="26">
        <v>45904</v>
      </c>
      <c r="B37" s="34" t="s">
        <v>1</v>
      </c>
      <c r="C37" s="24">
        <v>28.56</v>
      </c>
    </row>
    <row r="38" spans="1:5" x14ac:dyDescent="0.3">
      <c r="A38" s="26">
        <v>45904</v>
      </c>
      <c r="B38" s="46" t="s">
        <v>1</v>
      </c>
      <c r="C38" s="24">
        <v>20.76</v>
      </c>
    </row>
    <row r="39" spans="1:5" x14ac:dyDescent="0.3">
      <c r="A39" s="26">
        <v>45908</v>
      </c>
      <c r="B39" s="27" t="s">
        <v>4</v>
      </c>
      <c r="C39" s="24">
        <v>-73.62</v>
      </c>
    </row>
    <row r="40" spans="1:5" x14ac:dyDescent="0.3">
      <c r="A40" s="26">
        <v>45912</v>
      </c>
      <c r="B40" s="32" t="s">
        <v>1</v>
      </c>
      <c r="C40" s="24">
        <v>12.3</v>
      </c>
    </row>
    <row r="41" spans="1:5" x14ac:dyDescent="0.3">
      <c r="A41" s="26">
        <v>45912</v>
      </c>
      <c r="B41" s="34" t="s">
        <v>1</v>
      </c>
      <c r="C41" s="24">
        <v>139.65</v>
      </c>
    </row>
    <row r="42" spans="1:5" x14ac:dyDescent="0.3">
      <c r="A42" s="26">
        <v>45917</v>
      </c>
      <c r="B42" s="27" t="s">
        <v>4</v>
      </c>
      <c r="C42" s="24">
        <v>-152.06</v>
      </c>
    </row>
    <row r="43" spans="1:5" x14ac:dyDescent="0.3">
      <c r="A43" s="26">
        <v>45919</v>
      </c>
      <c r="B43" s="32" t="s">
        <v>1</v>
      </c>
      <c r="C43" s="24">
        <v>45.4</v>
      </c>
      <c r="D43" s="25">
        <v>1</v>
      </c>
      <c r="E43" s="25">
        <v>-1</v>
      </c>
    </row>
    <row r="44" spans="1:5" x14ac:dyDescent="0.3">
      <c r="A44" s="26">
        <v>45919</v>
      </c>
      <c r="B44" s="34" t="s">
        <v>1</v>
      </c>
      <c r="C44" s="24">
        <v>104.64</v>
      </c>
    </row>
    <row r="45" spans="1:5" x14ac:dyDescent="0.3">
      <c r="A45" s="26">
        <v>45924</v>
      </c>
      <c r="B45" s="27" t="s">
        <v>4</v>
      </c>
      <c r="C45" s="24">
        <v>-133.04</v>
      </c>
    </row>
    <row r="46" spans="1:5" x14ac:dyDescent="0.3">
      <c r="A46" s="26">
        <v>45924</v>
      </c>
      <c r="B46" s="27" t="s">
        <v>4</v>
      </c>
      <c r="C46" s="24">
        <v>-17.22</v>
      </c>
    </row>
    <row r="47" spans="1:5" x14ac:dyDescent="0.3">
      <c r="A47" s="26">
        <v>45926</v>
      </c>
      <c r="B47" s="27" t="s">
        <v>4</v>
      </c>
      <c r="C47" s="24">
        <v>-60</v>
      </c>
    </row>
    <row r="48" spans="1:5" x14ac:dyDescent="0.3">
      <c r="A48" s="26">
        <v>45926</v>
      </c>
      <c r="B48" s="32" t="s">
        <v>1</v>
      </c>
      <c r="C48" s="24">
        <v>16.5</v>
      </c>
      <c r="D48" s="25">
        <v>-1</v>
      </c>
    </row>
    <row r="49" spans="1:4" x14ac:dyDescent="0.3">
      <c r="A49" s="26">
        <v>45926</v>
      </c>
      <c r="B49" s="34" t="s">
        <v>1</v>
      </c>
      <c r="C49" s="24">
        <v>143.36000000000001</v>
      </c>
    </row>
    <row r="50" spans="1:4" x14ac:dyDescent="0.3">
      <c r="A50" s="26">
        <v>45932</v>
      </c>
      <c r="B50" s="27" t="s">
        <v>4</v>
      </c>
      <c r="C50" s="24">
        <v>-102.34</v>
      </c>
    </row>
    <row r="51" spans="1:4" x14ac:dyDescent="0.3">
      <c r="A51" s="26">
        <v>45933</v>
      </c>
      <c r="B51" s="27" t="s">
        <v>4</v>
      </c>
      <c r="C51" s="24">
        <v>-100</v>
      </c>
    </row>
    <row r="52" spans="1:4" x14ac:dyDescent="0.3">
      <c r="A52" s="26">
        <v>45933</v>
      </c>
      <c r="B52" s="34" t="s">
        <v>1</v>
      </c>
      <c r="C52" s="24">
        <v>220.44</v>
      </c>
    </row>
    <row r="53" spans="1:4" x14ac:dyDescent="0.3">
      <c r="A53" s="26">
        <v>45933</v>
      </c>
      <c r="B53" s="46" t="s">
        <v>1</v>
      </c>
      <c r="C53" s="24">
        <v>38.28</v>
      </c>
    </row>
    <row r="54" spans="1:4" x14ac:dyDescent="0.3">
      <c r="A54" s="26">
        <v>45933</v>
      </c>
      <c r="B54" s="27" t="s">
        <v>1</v>
      </c>
      <c r="C54" s="24">
        <v>41.6</v>
      </c>
    </row>
    <row r="55" spans="1:4" x14ac:dyDescent="0.3">
      <c r="A55" s="26">
        <v>45936</v>
      </c>
      <c r="B55" s="27" t="s">
        <v>4</v>
      </c>
      <c r="C55" s="24">
        <v>-129.99</v>
      </c>
    </row>
    <row r="56" spans="1:4" x14ac:dyDescent="0.3">
      <c r="A56" s="26">
        <v>45938</v>
      </c>
      <c r="B56" s="27" t="s">
        <v>4</v>
      </c>
      <c r="C56" s="24">
        <v>-70.319999999999993</v>
      </c>
    </row>
    <row r="57" spans="1:4" x14ac:dyDescent="0.3">
      <c r="A57" s="26">
        <v>45940</v>
      </c>
      <c r="B57" s="32" t="s">
        <v>1</v>
      </c>
      <c r="C57" s="24">
        <v>37.36</v>
      </c>
      <c r="D57" s="25">
        <v>1</v>
      </c>
    </row>
    <row r="58" spans="1:4" x14ac:dyDescent="0.3">
      <c r="A58" s="26">
        <v>45940</v>
      </c>
      <c r="B58" s="34" t="s">
        <v>1</v>
      </c>
      <c r="C58" s="24">
        <v>95.28</v>
      </c>
    </row>
    <row r="59" spans="1:4" x14ac:dyDescent="0.3">
      <c r="A59" s="26">
        <v>45940</v>
      </c>
      <c r="B59" s="46" t="s">
        <v>1</v>
      </c>
      <c r="C59" s="24">
        <v>25.05</v>
      </c>
    </row>
    <row r="60" spans="1:4" x14ac:dyDescent="0.3">
      <c r="A60" s="26">
        <v>45945</v>
      </c>
      <c r="B60" s="27" t="s">
        <v>4</v>
      </c>
      <c r="C60" s="24">
        <v>-80</v>
      </c>
    </row>
    <row r="61" spans="1:4" x14ac:dyDescent="0.3">
      <c r="A61" s="26">
        <v>45947</v>
      </c>
      <c r="B61" s="27" t="s">
        <v>4</v>
      </c>
      <c r="C61" s="24">
        <v>-14.72</v>
      </c>
    </row>
    <row r="62" spans="1:4" x14ac:dyDescent="0.3">
      <c r="A62" s="26">
        <v>45947</v>
      </c>
      <c r="B62" s="27" t="s">
        <v>4</v>
      </c>
      <c r="C62" s="24">
        <v>-67.47</v>
      </c>
    </row>
    <row r="63" spans="1:4" x14ac:dyDescent="0.3">
      <c r="A63" s="26">
        <v>45947</v>
      </c>
      <c r="B63" s="34" t="s">
        <v>1</v>
      </c>
      <c r="C63" s="24">
        <v>90.24</v>
      </c>
    </row>
    <row r="64" spans="1:4" x14ac:dyDescent="0.3">
      <c r="A64" s="26">
        <v>45947</v>
      </c>
      <c r="B64" s="46" t="s">
        <v>1</v>
      </c>
      <c r="C64" s="24">
        <v>29.57</v>
      </c>
    </row>
    <row r="65" spans="1:3" x14ac:dyDescent="0.3">
      <c r="A65" s="26">
        <v>45950</v>
      </c>
      <c r="B65" s="27" t="s">
        <v>4</v>
      </c>
      <c r="C65" s="24">
        <v>-124.31</v>
      </c>
    </row>
    <row r="66" spans="1:3" x14ac:dyDescent="0.3">
      <c r="A66" s="26">
        <v>45954</v>
      </c>
      <c r="B66" s="32" t="s">
        <v>1</v>
      </c>
      <c r="C66" s="24">
        <v>38.94</v>
      </c>
    </row>
    <row r="67" spans="1:3" x14ac:dyDescent="0.3">
      <c r="A67" s="26">
        <v>45954</v>
      </c>
      <c r="B67" s="34" t="s">
        <v>1</v>
      </c>
      <c r="C67" s="24">
        <v>50.4</v>
      </c>
    </row>
    <row r="68" spans="1:3" x14ac:dyDescent="0.3">
      <c r="A68" s="26">
        <v>45954</v>
      </c>
      <c r="B68" s="27" t="s">
        <v>1</v>
      </c>
      <c r="C68" s="24">
        <v>46</v>
      </c>
    </row>
    <row r="69" spans="1:3" x14ac:dyDescent="0.3">
      <c r="A69" s="26">
        <v>45960</v>
      </c>
      <c r="B69" s="27" t="s">
        <v>4</v>
      </c>
      <c r="C69" s="24">
        <v>-42.91</v>
      </c>
    </row>
    <row r="70" spans="1:3" x14ac:dyDescent="0.3">
      <c r="A70" s="26">
        <v>45961</v>
      </c>
      <c r="B70" s="27" t="s">
        <v>4</v>
      </c>
      <c r="C70" s="24">
        <v>-92.43</v>
      </c>
    </row>
    <row r="71" spans="1:3" x14ac:dyDescent="0.3">
      <c r="A71" s="26">
        <v>45961</v>
      </c>
      <c r="B71" s="27" t="s">
        <v>4</v>
      </c>
      <c r="C71" s="24">
        <v>-89.43</v>
      </c>
    </row>
    <row r="72" spans="1:3" x14ac:dyDescent="0.3">
      <c r="A72" s="26">
        <v>45961</v>
      </c>
      <c r="B72" s="34" t="s">
        <v>1</v>
      </c>
      <c r="C72" s="24">
        <v>121.08</v>
      </c>
    </row>
    <row r="73" spans="1:3" x14ac:dyDescent="0.3">
      <c r="A73" s="26">
        <v>45967</v>
      </c>
      <c r="B73" s="27" t="s">
        <v>4</v>
      </c>
      <c r="C73" s="24">
        <v>-31.66</v>
      </c>
    </row>
    <row r="74" spans="1:3" x14ac:dyDescent="0.3">
      <c r="A74" s="26">
        <v>45968</v>
      </c>
      <c r="B74" s="32" t="s">
        <v>1</v>
      </c>
      <c r="C74" s="24">
        <v>36.28</v>
      </c>
    </row>
    <row r="75" spans="1:3" x14ac:dyDescent="0.3">
      <c r="A75" s="26">
        <v>45968</v>
      </c>
      <c r="B75" s="34" t="s">
        <v>1</v>
      </c>
      <c r="C75" s="24">
        <v>141.58000000000001</v>
      </c>
    </row>
    <row r="76" spans="1:3" x14ac:dyDescent="0.3">
      <c r="A76" s="26">
        <v>45968</v>
      </c>
      <c r="B76" s="46" t="s">
        <v>1</v>
      </c>
      <c r="C76" s="24">
        <v>30.84</v>
      </c>
    </row>
    <row r="77" spans="1:3" x14ac:dyDescent="0.3">
      <c r="A77" s="26">
        <v>45974</v>
      </c>
      <c r="B77" s="27" t="s">
        <v>4</v>
      </c>
      <c r="C77" s="24">
        <v>-208.69</v>
      </c>
    </row>
    <row r="78" spans="1:3" x14ac:dyDescent="0.3">
      <c r="A78" s="26">
        <v>45975</v>
      </c>
      <c r="B78" s="27" t="s">
        <v>1</v>
      </c>
      <c r="C78" s="24">
        <v>168.66</v>
      </c>
    </row>
    <row r="79" spans="1:3" x14ac:dyDescent="0.3">
      <c r="A79" s="26">
        <v>45979</v>
      </c>
      <c r="B79" s="27" t="s">
        <v>4</v>
      </c>
      <c r="C79" s="24">
        <v>-168.65</v>
      </c>
    </row>
    <row r="80" spans="1:3" x14ac:dyDescent="0.3">
      <c r="A80" s="26">
        <v>45982</v>
      </c>
      <c r="B80" s="27" t="s">
        <v>1</v>
      </c>
      <c r="C80" s="24">
        <v>130.69999999999999</v>
      </c>
    </row>
    <row r="81" spans="1:3" x14ac:dyDescent="0.3">
      <c r="A81" s="26">
        <v>45988</v>
      </c>
      <c r="B81" s="27" t="s">
        <v>4</v>
      </c>
      <c r="C81" s="24">
        <v>-130.69999999999999</v>
      </c>
    </row>
    <row r="82" spans="1:3" x14ac:dyDescent="0.3">
      <c r="A82" s="26">
        <v>45989</v>
      </c>
      <c r="B82" s="27" t="s">
        <v>1</v>
      </c>
      <c r="C82" s="24">
        <v>97.18</v>
      </c>
    </row>
    <row r="83" spans="1:3" x14ac:dyDescent="0.3">
      <c r="A83" s="26">
        <v>45995</v>
      </c>
      <c r="B83" s="27" t="s">
        <v>4</v>
      </c>
      <c r="C83" s="24">
        <v>-97.18</v>
      </c>
    </row>
    <row r="84" spans="1:3" x14ac:dyDescent="0.3">
      <c r="A84" s="26">
        <v>45995</v>
      </c>
      <c r="B84" s="27" t="s">
        <v>7</v>
      </c>
      <c r="C84" s="24">
        <v>-21.55</v>
      </c>
    </row>
    <row r="85" spans="1:3" x14ac:dyDescent="0.3">
      <c r="A85" s="26">
        <v>45996</v>
      </c>
      <c r="B85" s="27" t="s">
        <v>1</v>
      </c>
      <c r="C85" s="24">
        <v>154.69999999999999</v>
      </c>
    </row>
    <row r="86" spans="1:3" x14ac:dyDescent="0.3">
      <c r="A86" s="26">
        <v>46002</v>
      </c>
      <c r="B86" s="31" t="s">
        <v>4</v>
      </c>
      <c r="C86" s="24">
        <v>-50</v>
      </c>
    </row>
    <row r="87" spans="1:3" x14ac:dyDescent="0.3">
      <c r="A87" s="26">
        <v>46003</v>
      </c>
      <c r="B87" s="27" t="s">
        <v>4</v>
      </c>
      <c r="C87" s="24">
        <v>-60</v>
      </c>
    </row>
    <row r="88" spans="1:3" x14ac:dyDescent="0.3">
      <c r="A88" s="26">
        <v>46003</v>
      </c>
      <c r="B88" s="27" t="s">
        <v>4</v>
      </c>
      <c r="C88" s="24">
        <v>-44.7</v>
      </c>
    </row>
    <row r="89" spans="1:3" x14ac:dyDescent="0.3">
      <c r="A89" s="26">
        <v>46003</v>
      </c>
      <c r="B89" s="27" t="s">
        <v>1</v>
      </c>
      <c r="C89" s="24">
        <v>136.58000000000001</v>
      </c>
    </row>
    <row r="90" spans="1:3" x14ac:dyDescent="0.3">
      <c r="A90" s="26">
        <v>46009</v>
      </c>
      <c r="B90" s="27" t="s">
        <v>4</v>
      </c>
      <c r="C90" s="24">
        <v>-40</v>
      </c>
    </row>
    <row r="91" spans="1:3" x14ac:dyDescent="0.3">
      <c r="A91" s="26">
        <v>46009</v>
      </c>
      <c r="B91" s="27" t="s">
        <v>4</v>
      </c>
      <c r="C91" s="24">
        <v>-96.58</v>
      </c>
    </row>
    <row r="92" spans="1:3" x14ac:dyDescent="0.3">
      <c r="A92" s="26">
        <v>46010</v>
      </c>
      <c r="B92" s="27" t="s">
        <v>1</v>
      </c>
      <c r="C92" s="24">
        <v>142.87</v>
      </c>
    </row>
    <row r="93" spans="1:3" x14ac:dyDescent="0.3">
      <c r="A93" s="26">
        <v>46021</v>
      </c>
      <c r="B93" s="27" t="s">
        <v>4</v>
      </c>
      <c r="C93" s="24">
        <v>-142.87</v>
      </c>
    </row>
    <row r="94" spans="1:3" x14ac:dyDescent="0.3">
      <c r="A94" s="26">
        <v>46021</v>
      </c>
      <c r="B94" s="27" t="s">
        <v>1</v>
      </c>
      <c r="C94" s="24">
        <v>156.66</v>
      </c>
    </row>
    <row r="95" spans="1:3" x14ac:dyDescent="0.3">
      <c r="A95" s="26">
        <v>46030</v>
      </c>
      <c r="B95" s="27" t="s">
        <v>4</v>
      </c>
      <c r="C95" s="24">
        <v>-145</v>
      </c>
    </row>
    <row r="96" spans="1:3" x14ac:dyDescent="0.3">
      <c r="A96" s="26">
        <v>46031</v>
      </c>
      <c r="B96" s="27" t="s">
        <v>4</v>
      </c>
      <c r="C96" s="24">
        <v>-11.66</v>
      </c>
    </row>
    <row r="97" spans="1:3" x14ac:dyDescent="0.3">
      <c r="A97" s="26">
        <v>46031</v>
      </c>
      <c r="B97" s="27" t="s">
        <v>1</v>
      </c>
      <c r="C97" s="24">
        <v>150.78</v>
      </c>
    </row>
    <row r="98" spans="1:3" x14ac:dyDescent="0.3">
      <c r="A98" s="26">
        <v>46031</v>
      </c>
      <c r="B98" s="27" t="s">
        <v>503</v>
      </c>
      <c r="C98" s="24">
        <v>-7.2</v>
      </c>
    </row>
    <row r="99" spans="1:3" x14ac:dyDescent="0.3">
      <c r="A99" s="26">
        <v>46038</v>
      </c>
      <c r="B99" s="27" t="s">
        <v>4</v>
      </c>
      <c r="C99" s="24">
        <v>-120.58</v>
      </c>
    </row>
    <row r="100" spans="1:3" x14ac:dyDescent="0.3">
      <c r="A100" s="26">
        <v>46038</v>
      </c>
      <c r="B100" s="27" t="s">
        <v>1</v>
      </c>
      <c r="C100" s="24">
        <v>137</v>
      </c>
    </row>
    <row r="101" spans="1:3" x14ac:dyDescent="0.3">
      <c r="A101" s="26">
        <v>46043</v>
      </c>
      <c r="B101" s="27" t="s">
        <v>4</v>
      </c>
      <c r="C101" s="24">
        <v>-22.82</v>
      </c>
    </row>
    <row r="102" spans="1:3" x14ac:dyDescent="0.3">
      <c r="A102" s="26">
        <v>46043</v>
      </c>
      <c r="B102" s="27" t="s">
        <v>4</v>
      </c>
      <c r="C102" s="24">
        <v>-64.48</v>
      </c>
    </row>
    <row r="103" spans="1:3" x14ac:dyDescent="0.3">
      <c r="A103" s="26">
        <v>46043</v>
      </c>
      <c r="B103" s="27" t="s">
        <v>4</v>
      </c>
      <c r="C103" s="24">
        <v>-0.7</v>
      </c>
    </row>
    <row r="104" spans="1:3" x14ac:dyDescent="0.3">
      <c r="A104" s="26">
        <v>46045</v>
      </c>
      <c r="B104" s="27" t="s">
        <v>4</v>
      </c>
      <c r="C104" s="24">
        <v>-0.7</v>
      </c>
    </row>
    <row r="105" spans="1:3" x14ac:dyDescent="0.3">
      <c r="A105" s="26">
        <v>46045</v>
      </c>
      <c r="B105" s="27" t="s">
        <v>4</v>
      </c>
      <c r="C105" s="24">
        <v>-41.31</v>
      </c>
    </row>
    <row r="106" spans="1:3" x14ac:dyDescent="0.3">
      <c r="A106" s="26">
        <v>46050</v>
      </c>
      <c r="B106" s="27" t="s">
        <v>4</v>
      </c>
      <c r="C106" s="24">
        <v>-30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F607-7936-45F8-A1BD-F62B1C5BA126}">
  <sheetPr codeName="Hoja59"/>
  <dimension ref="A1:I26"/>
  <sheetViews>
    <sheetView view="pageBreakPreview" zoomScale="80" zoomScaleNormal="100" zoomScaleSheetLayoutView="80" workbookViewId="0">
      <selection activeCell="C27" sqref="C2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59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0.77999999999998693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45813</v>
      </c>
      <c r="B5" s="32" t="s">
        <v>21</v>
      </c>
      <c r="C5" s="24">
        <v>25.69</v>
      </c>
      <c r="D5" s="30"/>
      <c r="E5" s="30"/>
      <c r="F5" s="30"/>
      <c r="G5" s="22"/>
    </row>
    <row r="6" spans="1:9" hidden="1" x14ac:dyDescent="0.3">
      <c r="A6" s="21">
        <v>45813</v>
      </c>
      <c r="B6" s="34" t="s">
        <v>21</v>
      </c>
      <c r="C6" s="24">
        <v>19</v>
      </c>
    </row>
    <row r="7" spans="1:9" hidden="1" x14ac:dyDescent="0.3">
      <c r="A7" s="26">
        <v>45826</v>
      </c>
      <c r="B7" s="27" t="s">
        <v>4</v>
      </c>
      <c r="C7" s="24">
        <v>-44.69</v>
      </c>
    </row>
    <row r="8" spans="1:9" hidden="1" x14ac:dyDescent="0.3">
      <c r="A8" s="26">
        <v>45846</v>
      </c>
      <c r="B8" s="32" t="s">
        <v>21</v>
      </c>
      <c r="C8" s="24">
        <v>25.69</v>
      </c>
    </row>
    <row r="9" spans="1:9" hidden="1" x14ac:dyDescent="0.3">
      <c r="A9" s="26">
        <v>45846</v>
      </c>
      <c r="B9" s="34" t="s">
        <v>21</v>
      </c>
      <c r="C9" s="24">
        <v>36.72</v>
      </c>
      <c r="I9" s="25"/>
    </row>
    <row r="10" spans="1:9" hidden="1" x14ac:dyDescent="0.3">
      <c r="A10" s="26">
        <v>45859</v>
      </c>
      <c r="B10" s="31" t="s">
        <v>4</v>
      </c>
      <c r="C10" s="24">
        <v>-61.96</v>
      </c>
    </row>
    <row r="11" spans="1:9" hidden="1" x14ac:dyDescent="0.3">
      <c r="A11" s="26">
        <v>45867</v>
      </c>
      <c r="B11" s="32" t="s">
        <v>21</v>
      </c>
      <c r="C11" s="24">
        <v>17.34</v>
      </c>
    </row>
    <row r="12" spans="1:9" hidden="1" x14ac:dyDescent="0.3">
      <c r="A12" s="26">
        <v>45867</v>
      </c>
      <c r="B12" s="34" t="s">
        <v>21</v>
      </c>
      <c r="C12" s="24">
        <v>61.44</v>
      </c>
    </row>
    <row r="13" spans="1:9" hidden="1" x14ac:dyDescent="0.3">
      <c r="A13" s="26">
        <v>45888</v>
      </c>
      <c r="B13" s="27" t="s">
        <v>174</v>
      </c>
      <c r="C13" s="24">
        <v>-78.78</v>
      </c>
    </row>
    <row r="14" spans="1:9" hidden="1" x14ac:dyDescent="0.3">
      <c r="A14" s="26">
        <v>45888</v>
      </c>
      <c r="B14" s="32" t="s">
        <v>21</v>
      </c>
      <c r="C14" s="24">
        <v>15</v>
      </c>
    </row>
    <row r="15" spans="1:9" hidden="1" x14ac:dyDescent="0.3">
      <c r="A15" s="26">
        <v>45888</v>
      </c>
      <c r="B15" s="34" t="s">
        <v>21</v>
      </c>
      <c r="C15" s="24">
        <v>77.760000000000005</v>
      </c>
    </row>
    <row r="16" spans="1:9" hidden="1" x14ac:dyDescent="0.3">
      <c r="A16" s="26">
        <v>45902</v>
      </c>
      <c r="B16" s="27" t="s">
        <v>7</v>
      </c>
      <c r="C16" s="24">
        <v>-92.75</v>
      </c>
    </row>
    <row r="17" spans="1:3" hidden="1" x14ac:dyDescent="0.3">
      <c r="A17" s="26">
        <v>45902</v>
      </c>
      <c r="B17" s="34" t="s">
        <v>21</v>
      </c>
      <c r="C17" s="24">
        <v>117.9</v>
      </c>
    </row>
    <row r="18" spans="1:3" hidden="1" x14ac:dyDescent="0.3">
      <c r="A18" s="26">
        <v>45923</v>
      </c>
      <c r="B18" s="27" t="s">
        <v>7</v>
      </c>
      <c r="C18" s="24">
        <v>-118.36</v>
      </c>
    </row>
    <row r="19" spans="1:3" x14ac:dyDescent="0.3">
      <c r="A19" s="26">
        <v>45923</v>
      </c>
      <c r="B19" s="32" t="s">
        <v>21</v>
      </c>
      <c r="C19" s="24">
        <v>40.69</v>
      </c>
    </row>
    <row r="20" spans="1:3" x14ac:dyDescent="0.3">
      <c r="A20" s="26">
        <v>45923</v>
      </c>
      <c r="B20" s="34" t="s">
        <v>21</v>
      </c>
      <c r="C20" s="24">
        <v>86.7</v>
      </c>
    </row>
    <row r="21" spans="1:3" x14ac:dyDescent="0.3">
      <c r="A21" s="26">
        <v>45944</v>
      </c>
      <c r="B21" s="32" t="s">
        <v>21</v>
      </c>
      <c r="C21" s="24">
        <v>24.84</v>
      </c>
    </row>
    <row r="22" spans="1:3" x14ac:dyDescent="0.3">
      <c r="A22" s="26">
        <v>45944</v>
      </c>
      <c r="B22" s="34" t="s">
        <v>21</v>
      </c>
      <c r="C22" s="24">
        <v>246.6</v>
      </c>
    </row>
    <row r="23" spans="1:3" x14ac:dyDescent="0.3">
      <c r="A23" s="26">
        <v>45945</v>
      </c>
      <c r="B23" s="27" t="s">
        <v>7</v>
      </c>
      <c r="C23" s="24">
        <v>-127.38</v>
      </c>
    </row>
    <row r="24" spans="1:3" x14ac:dyDescent="0.3">
      <c r="A24" s="26">
        <v>46013</v>
      </c>
      <c r="B24" s="27" t="s">
        <v>1</v>
      </c>
      <c r="C24" s="24">
        <v>78.14</v>
      </c>
    </row>
    <row r="25" spans="1:3" x14ac:dyDescent="0.3">
      <c r="A25" s="26">
        <v>46013</v>
      </c>
      <c r="B25" s="27" t="s">
        <v>4</v>
      </c>
      <c r="C25" s="24">
        <v>-271.45</v>
      </c>
    </row>
    <row r="26" spans="1:3" x14ac:dyDescent="0.3">
      <c r="A26" s="26">
        <v>46052</v>
      </c>
      <c r="B26" s="27" t="s">
        <v>4</v>
      </c>
      <c r="C26" s="24">
        <v>-77.36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C05E-ED7E-4168-9ABD-89936D2D6501}">
  <dimension ref="A1:I29"/>
  <sheetViews>
    <sheetView view="pageBreakPreview" zoomScale="80" zoomScaleNormal="100" zoomScaleSheetLayoutView="80" workbookViewId="0">
      <selection activeCell="C30" sqref="C3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430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1.0000000000019327E-2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45910</v>
      </c>
      <c r="B5" s="34" t="s">
        <v>21</v>
      </c>
      <c r="C5" s="24">
        <v>150.05000000000001</v>
      </c>
      <c r="D5" s="30"/>
      <c r="E5" s="30"/>
      <c r="F5" s="30"/>
      <c r="G5" s="22"/>
    </row>
    <row r="6" spans="1:9" hidden="1" x14ac:dyDescent="0.3">
      <c r="A6" s="21">
        <v>45915</v>
      </c>
      <c r="B6" s="27" t="s">
        <v>4</v>
      </c>
      <c r="C6" s="24">
        <v>-150.04</v>
      </c>
    </row>
    <row r="7" spans="1:9" hidden="1" x14ac:dyDescent="0.3">
      <c r="A7" s="26">
        <v>45924</v>
      </c>
      <c r="B7" s="32" t="s">
        <v>21</v>
      </c>
      <c r="C7" s="24">
        <v>15</v>
      </c>
    </row>
    <row r="8" spans="1:9" hidden="1" x14ac:dyDescent="0.3">
      <c r="A8" s="26">
        <v>45924</v>
      </c>
      <c r="B8" s="34" t="s">
        <v>21</v>
      </c>
      <c r="C8" s="24">
        <v>51</v>
      </c>
    </row>
    <row r="9" spans="1:9" hidden="1" x14ac:dyDescent="0.3">
      <c r="A9" s="26">
        <v>45930</v>
      </c>
      <c r="B9" s="27" t="s">
        <v>4</v>
      </c>
      <c r="C9" s="24">
        <v>-66</v>
      </c>
      <c r="I9" s="25"/>
    </row>
    <row r="10" spans="1:9" hidden="1" x14ac:dyDescent="0.3">
      <c r="A10" s="26">
        <v>45938</v>
      </c>
      <c r="B10" s="32" t="s">
        <v>21</v>
      </c>
      <c r="C10" s="24">
        <v>49.5</v>
      </c>
    </row>
    <row r="11" spans="1:9" hidden="1" x14ac:dyDescent="0.3">
      <c r="A11" s="26">
        <v>45938</v>
      </c>
      <c r="B11" s="34" t="s">
        <v>21</v>
      </c>
      <c r="C11" s="24">
        <v>73.489999999999995</v>
      </c>
    </row>
    <row r="12" spans="1:9" hidden="1" x14ac:dyDescent="0.3">
      <c r="A12" s="26">
        <v>45944</v>
      </c>
      <c r="B12" s="27" t="s">
        <v>4</v>
      </c>
      <c r="C12" s="24">
        <v>-122.98</v>
      </c>
    </row>
    <row r="13" spans="1:9" hidden="1" x14ac:dyDescent="0.3">
      <c r="A13" s="26">
        <v>45944</v>
      </c>
      <c r="B13" s="34" t="s">
        <v>21</v>
      </c>
      <c r="C13" s="24">
        <v>23.4</v>
      </c>
    </row>
    <row r="14" spans="1:9" hidden="1" x14ac:dyDescent="0.3">
      <c r="A14" s="26">
        <v>45950</v>
      </c>
      <c r="B14" s="27" t="s">
        <v>4</v>
      </c>
      <c r="C14" s="24">
        <v>-23.4</v>
      </c>
    </row>
    <row r="15" spans="1:9" hidden="1" x14ac:dyDescent="0.3">
      <c r="A15" s="26">
        <v>45953</v>
      </c>
      <c r="B15" s="34" t="s">
        <v>21</v>
      </c>
      <c r="C15" s="24">
        <v>70.040000000000006</v>
      </c>
    </row>
    <row r="16" spans="1:9" hidden="1" x14ac:dyDescent="0.3">
      <c r="A16" s="26">
        <v>45965</v>
      </c>
      <c r="B16" s="32" t="s">
        <v>21</v>
      </c>
      <c r="C16" s="24">
        <v>7.5</v>
      </c>
    </row>
    <row r="17" spans="1:3" hidden="1" x14ac:dyDescent="0.3">
      <c r="A17" s="26">
        <v>45965</v>
      </c>
      <c r="B17" s="34" t="s">
        <v>21</v>
      </c>
      <c r="C17" s="24">
        <v>110.78</v>
      </c>
    </row>
    <row r="18" spans="1:3" hidden="1" x14ac:dyDescent="0.3">
      <c r="A18" s="26">
        <v>45967</v>
      </c>
      <c r="B18" s="27" t="s">
        <v>4</v>
      </c>
      <c r="C18" s="24">
        <v>-70.040000000000006</v>
      </c>
    </row>
    <row r="19" spans="1:3" hidden="1" x14ac:dyDescent="0.3">
      <c r="A19" s="26">
        <v>45980</v>
      </c>
      <c r="B19" s="27" t="s">
        <v>4</v>
      </c>
      <c r="C19" s="24">
        <v>-118.28</v>
      </c>
    </row>
    <row r="20" spans="1:3" x14ac:dyDescent="0.3">
      <c r="A20" s="26">
        <v>45988</v>
      </c>
      <c r="B20" s="27" t="s">
        <v>1</v>
      </c>
      <c r="C20" s="24">
        <v>128.06</v>
      </c>
    </row>
    <row r="21" spans="1:3" x14ac:dyDescent="0.3">
      <c r="A21" s="26">
        <v>45994</v>
      </c>
      <c r="B21" s="27" t="s">
        <v>4</v>
      </c>
      <c r="C21" s="24">
        <v>-128.06</v>
      </c>
    </row>
    <row r="22" spans="1:3" x14ac:dyDescent="0.3">
      <c r="A22" s="26">
        <v>46000</v>
      </c>
      <c r="B22" s="27" t="s">
        <v>1</v>
      </c>
      <c r="C22" s="24">
        <v>89.08</v>
      </c>
    </row>
    <row r="23" spans="1:3" x14ac:dyDescent="0.3">
      <c r="A23" s="26">
        <v>46008</v>
      </c>
      <c r="B23" s="27" t="s">
        <v>4</v>
      </c>
      <c r="C23" s="24">
        <v>-89.09</v>
      </c>
    </row>
    <row r="24" spans="1:3" x14ac:dyDescent="0.3">
      <c r="A24" s="26">
        <v>46010</v>
      </c>
      <c r="B24" s="27" t="s">
        <v>1</v>
      </c>
      <c r="C24" s="24">
        <v>51.66</v>
      </c>
    </row>
    <row r="25" spans="1:3" x14ac:dyDescent="0.3">
      <c r="A25" s="26">
        <v>46020</v>
      </c>
      <c r="B25" s="27" t="s">
        <v>4</v>
      </c>
      <c r="C25" s="24">
        <v>-51.66</v>
      </c>
    </row>
    <row r="26" spans="1:3" x14ac:dyDescent="0.3">
      <c r="A26" s="26">
        <v>46028</v>
      </c>
      <c r="B26" s="27" t="s">
        <v>1</v>
      </c>
      <c r="C26" s="24">
        <v>145.84</v>
      </c>
    </row>
    <row r="27" spans="1:3" x14ac:dyDescent="0.3">
      <c r="A27" s="26">
        <v>46042</v>
      </c>
      <c r="B27" s="27" t="s">
        <v>4</v>
      </c>
      <c r="C27" s="24">
        <v>-145.84</v>
      </c>
    </row>
    <row r="28" spans="1:3" x14ac:dyDescent="0.3">
      <c r="A28" s="26">
        <v>46050</v>
      </c>
      <c r="B28" s="27" t="s">
        <v>1</v>
      </c>
      <c r="C28" s="24">
        <v>74.44</v>
      </c>
    </row>
    <row r="29" spans="1:3" x14ac:dyDescent="0.3">
      <c r="A29" s="26">
        <v>46051</v>
      </c>
      <c r="B29" s="27" t="s">
        <v>4</v>
      </c>
      <c r="C29" s="24">
        <v>-74.44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42D7E-B8E2-45D9-B0CC-C62688FF1ACB}">
  <sheetPr codeName="Hoja60"/>
  <dimension ref="A1:I106"/>
  <sheetViews>
    <sheetView view="pageBreakPreview" topLeftCell="A79" zoomScale="85" zoomScaleNormal="100" zoomScaleSheetLayoutView="85" workbookViewId="0">
      <selection activeCell="C107" sqref="C10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55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239.20999999999992</v>
      </c>
      <c r="D3" s="20">
        <f>SUM(D$4:D$1048576)</f>
        <v>-1</v>
      </c>
      <c r="E3" s="20">
        <f>SUM(E$5:E$1048576)</f>
        <v>0</v>
      </c>
      <c r="F3" s="20">
        <f>SUM(F$5:F$1048576)</f>
        <v>-1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45813</v>
      </c>
      <c r="B5" s="32" t="s">
        <v>21</v>
      </c>
      <c r="C5" s="24">
        <v>15.85</v>
      </c>
      <c r="D5" s="30"/>
      <c r="E5" s="30"/>
      <c r="F5" s="30"/>
      <c r="G5" s="22"/>
    </row>
    <row r="6" spans="1:9" hidden="1" x14ac:dyDescent="0.3">
      <c r="A6" s="21">
        <v>45813</v>
      </c>
      <c r="B6" s="34" t="s">
        <v>21</v>
      </c>
      <c r="C6" s="24">
        <v>10.68</v>
      </c>
    </row>
    <row r="7" spans="1:9" hidden="1" x14ac:dyDescent="0.3">
      <c r="A7" s="26">
        <v>45819</v>
      </c>
      <c r="B7" s="34" t="s">
        <v>21</v>
      </c>
      <c r="C7" s="24">
        <v>26.16</v>
      </c>
    </row>
    <row r="8" spans="1:9" hidden="1" x14ac:dyDescent="0.3">
      <c r="A8" s="26">
        <v>45825</v>
      </c>
      <c r="B8" s="27" t="s">
        <v>4</v>
      </c>
      <c r="C8" s="24">
        <v>-26.53</v>
      </c>
    </row>
    <row r="9" spans="1:9" hidden="1" x14ac:dyDescent="0.3">
      <c r="A9" s="26">
        <v>45825</v>
      </c>
      <c r="B9" s="27" t="s">
        <v>4</v>
      </c>
      <c r="C9" s="24">
        <v>-26.16</v>
      </c>
      <c r="I9" s="25"/>
    </row>
    <row r="10" spans="1:9" hidden="1" x14ac:dyDescent="0.3">
      <c r="A10" s="26">
        <v>45832</v>
      </c>
      <c r="B10" s="32" t="s">
        <v>21</v>
      </c>
      <c r="C10" s="24">
        <v>15.85</v>
      </c>
    </row>
    <row r="11" spans="1:9" hidden="1" x14ac:dyDescent="0.3">
      <c r="A11" s="26">
        <v>45832</v>
      </c>
      <c r="B11" s="34" t="s">
        <v>21</v>
      </c>
      <c r="C11" s="24">
        <v>5.04</v>
      </c>
    </row>
    <row r="12" spans="1:9" hidden="1" x14ac:dyDescent="0.3">
      <c r="A12" s="26">
        <v>45839</v>
      </c>
      <c r="B12" s="32" t="s">
        <v>21</v>
      </c>
      <c r="C12" s="24">
        <v>9.84</v>
      </c>
    </row>
    <row r="13" spans="1:9" hidden="1" x14ac:dyDescent="0.3">
      <c r="A13" s="26">
        <v>45839</v>
      </c>
      <c r="B13" s="34" t="s">
        <v>21</v>
      </c>
      <c r="C13" s="24">
        <v>8.6</v>
      </c>
    </row>
    <row r="14" spans="1:9" hidden="1" x14ac:dyDescent="0.3">
      <c r="A14" s="26">
        <v>45846</v>
      </c>
      <c r="B14" s="27" t="s">
        <v>4</v>
      </c>
      <c r="C14" s="24">
        <v>-39.33</v>
      </c>
    </row>
    <row r="15" spans="1:9" hidden="1" x14ac:dyDescent="0.3">
      <c r="A15" s="26">
        <v>45846</v>
      </c>
      <c r="B15" s="32" t="s">
        <v>21</v>
      </c>
      <c r="C15" s="24">
        <v>33.19</v>
      </c>
    </row>
    <row r="16" spans="1:9" hidden="1" x14ac:dyDescent="0.3">
      <c r="A16" s="26">
        <v>45846</v>
      </c>
      <c r="B16" s="34" t="s">
        <v>21</v>
      </c>
      <c r="C16" s="24">
        <v>32.909999999999997</v>
      </c>
    </row>
    <row r="17" spans="1:3" hidden="1" x14ac:dyDescent="0.3">
      <c r="A17" s="26">
        <v>45846</v>
      </c>
      <c r="B17" s="46" t="s">
        <v>21</v>
      </c>
      <c r="C17" s="24">
        <v>12.98</v>
      </c>
    </row>
    <row r="18" spans="1:3" hidden="1" x14ac:dyDescent="0.3">
      <c r="A18" s="26">
        <v>45860</v>
      </c>
      <c r="B18" s="27" t="s">
        <v>4</v>
      </c>
      <c r="C18" s="24">
        <v>-79.08</v>
      </c>
    </row>
    <row r="19" spans="1:3" hidden="1" x14ac:dyDescent="0.3">
      <c r="A19" s="26">
        <v>45860</v>
      </c>
      <c r="B19" s="32" t="s">
        <v>21</v>
      </c>
      <c r="C19" s="24">
        <v>25.69</v>
      </c>
    </row>
    <row r="20" spans="1:3" hidden="1" x14ac:dyDescent="0.3">
      <c r="A20" s="26">
        <v>45860</v>
      </c>
      <c r="B20" s="34" t="s">
        <v>21</v>
      </c>
      <c r="C20" s="24">
        <v>14.86</v>
      </c>
    </row>
    <row r="21" spans="1:3" hidden="1" x14ac:dyDescent="0.3">
      <c r="A21" s="26">
        <v>45867</v>
      </c>
      <c r="B21" s="27" t="s">
        <v>4</v>
      </c>
      <c r="C21" s="24">
        <v>-40.549999999999997</v>
      </c>
    </row>
    <row r="22" spans="1:3" hidden="1" x14ac:dyDescent="0.3">
      <c r="A22" s="26">
        <v>45867</v>
      </c>
      <c r="B22" s="32" t="s">
        <v>21</v>
      </c>
      <c r="C22" s="24">
        <v>34.68</v>
      </c>
    </row>
    <row r="23" spans="1:3" hidden="1" x14ac:dyDescent="0.3">
      <c r="A23" s="26">
        <v>45867</v>
      </c>
      <c r="B23" s="34" t="s">
        <v>21</v>
      </c>
      <c r="C23" s="24">
        <v>40.36</v>
      </c>
    </row>
    <row r="24" spans="1:3" hidden="1" x14ac:dyDescent="0.3">
      <c r="A24" s="26">
        <v>45874</v>
      </c>
      <c r="B24" s="27" t="s">
        <v>4</v>
      </c>
      <c r="C24" s="24">
        <v>-75.040000000000006</v>
      </c>
    </row>
    <row r="25" spans="1:3" hidden="1" x14ac:dyDescent="0.3">
      <c r="A25" s="26">
        <v>45874</v>
      </c>
      <c r="B25" s="32" t="s">
        <v>21</v>
      </c>
      <c r="C25" s="24">
        <v>63.99</v>
      </c>
    </row>
    <row r="26" spans="1:3" hidden="1" x14ac:dyDescent="0.3">
      <c r="A26" s="26">
        <v>45874</v>
      </c>
      <c r="B26" s="34" t="s">
        <v>21</v>
      </c>
      <c r="C26" s="24">
        <v>122.89</v>
      </c>
    </row>
    <row r="27" spans="1:3" hidden="1" x14ac:dyDescent="0.3">
      <c r="A27" s="26">
        <v>45881</v>
      </c>
      <c r="B27" s="27" t="s">
        <v>4</v>
      </c>
      <c r="C27" s="24">
        <v>-186.88</v>
      </c>
    </row>
    <row r="28" spans="1:3" hidden="1" x14ac:dyDescent="0.3">
      <c r="A28" s="26">
        <v>45881</v>
      </c>
      <c r="B28" s="32" t="s">
        <v>21</v>
      </c>
      <c r="C28" s="24">
        <v>9.84</v>
      </c>
    </row>
    <row r="29" spans="1:3" hidden="1" x14ac:dyDescent="0.3">
      <c r="A29" s="26">
        <v>45881</v>
      </c>
      <c r="B29" s="34" t="s">
        <v>21</v>
      </c>
      <c r="C29" s="24">
        <v>31.26</v>
      </c>
    </row>
    <row r="30" spans="1:3" hidden="1" x14ac:dyDescent="0.3">
      <c r="A30" s="26">
        <v>45881</v>
      </c>
      <c r="B30" s="46" t="s">
        <v>21</v>
      </c>
      <c r="C30" s="24">
        <v>9.86</v>
      </c>
    </row>
    <row r="31" spans="1:3" hidden="1" x14ac:dyDescent="0.3">
      <c r="A31" s="26">
        <v>45888</v>
      </c>
      <c r="B31" s="27" t="s">
        <v>4</v>
      </c>
      <c r="C31" s="24">
        <v>-50.96</v>
      </c>
    </row>
    <row r="32" spans="1:3" x14ac:dyDescent="0.3">
      <c r="A32" s="26">
        <v>45888</v>
      </c>
      <c r="B32" s="32" t="s">
        <v>21</v>
      </c>
      <c r="C32" s="24">
        <v>9</v>
      </c>
    </row>
    <row r="33" spans="1:3" x14ac:dyDescent="0.3">
      <c r="A33" s="26">
        <v>45888</v>
      </c>
      <c r="B33" s="34" t="s">
        <v>21</v>
      </c>
      <c r="C33" s="24">
        <v>92.31</v>
      </c>
    </row>
    <row r="34" spans="1:3" x14ac:dyDescent="0.3">
      <c r="A34" s="26">
        <v>45895</v>
      </c>
      <c r="B34" s="34" t="s">
        <v>21</v>
      </c>
      <c r="C34" s="24">
        <v>88.17</v>
      </c>
    </row>
    <row r="35" spans="1:3" x14ac:dyDescent="0.3">
      <c r="A35" s="26">
        <v>45896</v>
      </c>
      <c r="B35" s="27" t="s">
        <v>4</v>
      </c>
      <c r="C35" s="24">
        <v>-101.31</v>
      </c>
    </row>
    <row r="36" spans="1:3" x14ac:dyDescent="0.3">
      <c r="A36" s="26">
        <v>45902</v>
      </c>
      <c r="B36" s="32" t="s">
        <v>21</v>
      </c>
      <c r="C36" s="24">
        <v>58.19</v>
      </c>
    </row>
    <row r="37" spans="1:3" x14ac:dyDescent="0.3">
      <c r="A37" s="26">
        <v>45902</v>
      </c>
      <c r="B37" s="34" t="s">
        <v>21</v>
      </c>
      <c r="C37" s="24">
        <v>96.47</v>
      </c>
    </row>
    <row r="38" spans="1:3" x14ac:dyDescent="0.3">
      <c r="A38" s="26">
        <v>45902</v>
      </c>
      <c r="B38" s="27" t="s">
        <v>1</v>
      </c>
      <c r="C38" s="24">
        <v>23.8</v>
      </c>
    </row>
    <row r="39" spans="1:3" x14ac:dyDescent="0.3">
      <c r="A39" s="26">
        <v>45904</v>
      </c>
      <c r="B39" s="27" t="s">
        <v>4</v>
      </c>
      <c r="C39" s="24">
        <v>-65.89</v>
      </c>
    </row>
    <row r="40" spans="1:3" x14ac:dyDescent="0.3">
      <c r="A40" s="26">
        <v>45904</v>
      </c>
      <c r="B40" s="27" t="s">
        <v>4</v>
      </c>
      <c r="C40" s="24">
        <v>-22.28</v>
      </c>
    </row>
    <row r="41" spans="1:3" x14ac:dyDescent="0.3">
      <c r="A41" s="26">
        <v>45909</v>
      </c>
      <c r="B41" s="32" t="s">
        <v>21</v>
      </c>
      <c r="C41" s="24">
        <v>14.34</v>
      </c>
    </row>
    <row r="42" spans="1:3" x14ac:dyDescent="0.3">
      <c r="A42" s="26">
        <v>45909</v>
      </c>
      <c r="B42" s="34" t="s">
        <v>21</v>
      </c>
      <c r="C42" s="24">
        <v>20.059999999999999</v>
      </c>
    </row>
    <row r="43" spans="1:3" x14ac:dyDescent="0.3">
      <c r="A43" s="26">
        <v>45910</v>
      </c>
      <c r="B43" s="27" t="s">
        <v>4</v>
      </c>
      <c r="C43" s="24">
        <v>-178.46</v>
      </c>
    </row>
    <row r="44" spans="1:3" x14ac:dyDescent="0.3">
      <c r="A44" s="26">
        <v>45916</v>
      </c>
      <c r="B44" s="32" t="s">
        <v>21</v>
      </c>
      <c r="C44" s="24">
        <v>25.69</v>
      </c>
    </row>
    <row r="45" spans="1:3" x14ac:dyDescent="0.3">
      <c r="A45" s="26">
        <v>45916</v>
      </c>
      <c r="B45" s="34" t="s">
        <v>21</v>
      </c>
      <c r="C45" s="24">
        <v>99.28</v>
      </c>
    </row>
    <row r="46" spans="1:3" x14ac:dyDescent="0.3">
      <c r="A46" s="26">
        <v>45916</v>
      </c>
      <c r="B46" s="27" t="s">
        <v>1</v>
      </c>
      <c r="C46" s="24">
        <v>23.8</v>
      </c>
    </row>
    <row r="47" spans="1:3" x14ac:dyDescent="0.3">
      <c r="A47" s="26">
        <v>45917</v>
      </c>
      <c r="B47" s="27" t="s">
        <v>4</v>
      </c>
      <c r="C47" s="24">
        <v>-34.4</v>
      </c>
    </row>
    <row r="48" spans="1:3" x14ac:dyDescent="0.3">
      <c r="A48" s="26">
        <v>45923</v>
      </c>
      <c r="B48" s="32" t="s">
        <v>21</v>
      </c>
      <c r="C48" s="24">
        <v>14.34</v>
      </c>
    </row>
    <row r="49" spans="1:4" x14ac:dyDescent="0.3">
      <c r="A49" s="26">
        <v>45923</v>
      </c>
      <c r="B49" s="34" t="s">
        <v>21</v>
      </c>
      <c r="C49" s="24">
        <v>149.24</v>
      </c>
    </row>
    <row r="50" spans="1:4" x14ac:dyDescent="0.3">
      <c r="A50" s="26">
        <v>45923</v>
      </c>
      <c r="B50" s="27" t="s">
        <v>1</v>
      </c>
      <c r="C50" s="24">
        <v>23.8</v>
      </c>
    </row>
    <row r="51" spans="1:4" x14ac:dyDescent="0.3">
      <c r="A51" s="26">
        <v>45924</v>
      </c>
      <c r="B51" s="27" t="s">
        <v>4</v>
      </c>
      <c r="C51" s="24">
        <v>-129.01</v>
      </c>
    </row>
    <row r="52" spans="1:4" x14ac:dyDescent="0.3">
      <c r="A52" s="26">
        <v>45930</v>
      </c>
      <c r="B52" s="32" t="s">
        <v>21</v>
      </c>
      <c r="C52" s="24">
        <v>45.75</v>
      </c>
    </row>
    <row r="53" spans="1:4" x14ac:dyDescent="0.3">
      <c r="A53" s="26">
        <v>45930</v>
      </c>
      <c r="B53" s="34" t="s">
        <v>21</v>
      </c>
      <c r="C53" s="24">
        <v>81.430000000000007</v>
      </c>
    </row>
    <row r="54" spans="1:4" x14ac:dyDescent="0.3">
      <c r="A54" s="26">
        <v>45931</v>
      </c>
      <c r="B54" s="27" t="s">
        <v>4</v>
      </c>
      <c r="C54" s="24">
        <v>-187.38</v>
      </c>
    </row>
    <row r="55" spans="1:4" x14ac:dyDescent="0.3">
      <c r="A55" s="26">
        <v>45937</v>
      </c>
      <c r="B55" s="27" t="s">
        <v>1</v>
      </c>
      <c r="C55" s="24">
        <v>53.4</v>
      </c>
    </row>
    <row r="56" spans="1:4" x14ac:dyDescent="0.3">
      <c r="A56" s="26">
        <v>45937</v>
      </c>
      <c r="B56" s="32" t="s">
        <v>21</v>
      </c>
      <c r="C56" s="24">
        <v>39.340000000000003</v>
      </c>
    </row>
    <row r="57" spans="1:4" x14ac:dyDescent="0.3">
      <c r="A57" s="26">
        <v>45937</v>
      </c>
      <c r="B57" s="34" t="s">
        <v>21</v>
      </c>
      <c r="C57" s="24">
        <v>142.13999999999999</v>
      </c>
    </row>
    <row r="58" spans="1:4" x14ac:dyDescent="0.3">
      <c r="A58" s="26">
        <v>45938</v>
      </c>
      <c r="B58" s="27" t="s">
        <v>4</v>
      </c>
      <c r="C58" s="24">
        <v>-27.18</v>
      </c>
    </row>
    <row r="59" spans="1:4" x14ac:dyDescent="0.3">
      <c r="A59" s="26">
        <v>45944</v>
      </c>
      <c r="B59" s="27" t="s">
        <v>4</v>
      </c>
      <c r="C59" s="24">
        <v>-17.010000000000002</v>
      </c>
    </row>
    <row r="60" spans="1:4" x14ac:dyDescent="0.3">
      <c r="A60" s="26">
        <v>45944</v>
      </c>
      <c r="B60" s="32" t="s">
        <v>21</v>
      </c>
      <c r="C60" s="24">
        <v>24.18</v>
      </c>
    </row>
    <row r="61" spans="1:4" x14ac:dyDescent="0.3">
      <c r="A61" s="26">
        <v>45944</v>
      </c>
      <c r="B61" s="34" t="s">
        <v>21</v>
      </c>
      <c r="C61" s="24">
        <v>52.53</v>
      </c>
    </row>
    <row r="62" spans="1:4" x14ac:dyDescent="0.3">
      <c r="A62" s="26">
        <v>45946</v>
      </c>
      <c r="B62" s="27" t="s">
        <v>4</v>
      </c>
      <c r="C62" s="24">
        <v>-100</v>
      </c>
    </row>
    <row r="63" spans="1:4" x14ac:dyDescent="0.3">
      <c r="A63" s="26">
        <v>45947</v>
      </c>
      <c r="B63" s="27" t="s">
        <v>4</v>
      </c>
      <c r="C63" s="24">
        <v>-134.88</v>
      </c>
    </row>
    <row r="64" spans="1:4" x14ac:dyDescent="0.3">
      <c r="A64" s="26">
        <v>45947</v>
      </c>
      <c r="B64" s="32" t="s">
        <v>21</v>
      </c>
      <c r="C64" s="24">
        <v>4.5</v>
      </c>
      <c r="D64" s="25">
        <v>-1</v>
      </c>
    </row>
    <row r="65" spans="1:3" x14ac:dyDescent="0.3">
      <c r="A65" s="26">
        <v>45951</v>
      </c>
      <c r="B65" s="27" t="s">
        <v>4</v>
      </c>
      <c r="C65" s="24">
        <v>-119.76</v>
      </c>
    </row>
    <row r="66" spans="1:3" x14ac:dyDescent="0.3">
      <c r="A66" s="26">
        <v>45951</v>
      </c>
      <c r="B66" s="32" t="s">
        <v>21</v>
      </c>
      <c r="C66" s="24">
        <v>9</v>
      </c>
    </row>
    <row r="67" spans="1:3" x14ac:dyDescent="0.3">
      <c r="A67" s="26">
        <v>45951</v>
      </c>
      <c r="B67" s="34" t="s">
        <v>21</v>
      </c>
      <c r="C67" s="24">
        <v>46.65</v>
      </c>
    </row>
    <row r="68" spans="1:3" x14ac:dyDescent="0.3">
      <c r="A68" s="26">
        <v>45951</v>
      </c>
      <c r="B68" s="27" t="s">
        <v>1</v>
      </c>
      <c r="C68" s="24">
        <v>26.7</v>
      </c>
    </row>
    <row r="69" spans="1:3" x14ac:dyDescent="0.3">
      <c r="A69" s="26">
        <v>45953</v>
      </c>
      <c r="B69" s="27" t="s">
        <v>4</v>
      </c>
      <c r="C69" s="24">
        <v>-59.7</v>
      </c>
    </row>
    <row r="70" spans="1:3" x14ac:dyDescent="0.3">
      <c r="A70" s="26">
        <v>45958</v>
      </c>
      <c r="B70" s="32" t="s">
        <v>21</v>
      </c>
      <c r="C70" s="24">
        <v>41.38</v>
      </c>
    </row>
    <row r="71" spans="1:3" x14ac:dyDescent="0.3">
      <c r="A71" s="26">
        <v>45958</v>
      </c>
      <c r="B71" s="34" t="s">
        <v>21</v>
      </c>
      <c r="C71" s="24">
        <v>41.43</v>
      </c>
    </row>
    <row r="72" spans="1:3" x14ac:dyDescent="0.3">
      <c r="A72" s="26">
        <v>45958</v>
      </c>
      <c r="B72" s="46" t="s">
        <v>21</v>
      </c>
      <c r="C72" s="24">
        <v>4.08</v>
      </c>
    </row>
    <row r="73" spans="1:3" x14ac:dyDescent="0.3">
      <c r="A73" s="26">
        <v>45960</v>
      </c>
      <c r="B73" s="27" t="s">
        <v>4</v>
      </c>
      <c r="C73" s="24">
        <v>-73.680000000000007</v>
      </c>
    </row>
    <row r="74" spans="1:3" x14ac:dyDescent="0.3">
      <c r="A74" s="26">
        <v>45965</v>
      </c>
      <c r="B74" s="27" t="s">
        <v>4</v>
      </c>
      <c r="C74" s="24">
        <v>-59.7</v>
      </c>
    </row>
    <row r="75" spans="1:3" x14ac:dyDescent="0.3">
      <c r="A75" s="26">
        <v>45965</v>
      </c>
      <c r="B75" s="32" t="s">
        <v>21</v>
      </c>
      <c r="C75" s="24">
        <v>29.34</v>
      </c>
    </row>
    <row r="76" spans="1:3" x14ac:dyDescent="0.3">
      <c r="A76" s="26">
        <v>45965</v>
      </c>
      <c r="B76" s="34" t="s">
        <v>21</v>
      </c>
      <c r="C76" s="24">
        <v>151.49</v>
      </c>
    </row>
    <row r="77" spans="1:3" x14ac:dyDescent="0.3">
      <c r="A77" s="26">
        <v>45972</v>
      </c>
      <c r="B77" s="27" t="s">
        <v>4</v>
      </c>
      <c r="C77" s="24">
        <v>145.28</v>
      </c>
    </row>
    <row r="78" spans="1:3" x14ac:dyDescent="0.3">
      <c r="A78" s="26">
        <v>45973</v>
      </c>
      <c r="B78" s="27" t="s">
        <v>4</v>
      </c>
      <c r="C78" s="24">
        <v>-180.83</v>
      </c>
    </row>
    <row r="79" spans="1:3" x14ac:dyDescent="0.3">
      <c r="A79" s="26">
        <v>45979</v>
      </c>
      <c r="B79" s="27" t="s">
        <v>4</v>
      </c>
      <c r="C79" s="24">
        <v>-14.28</v>
      </c>
    </row>
    <row r="80" spans="1:3" x14ac:dyDescent="0.3">
      <c r="A80" s="26">
        <v>45979</v>
      </c>
      <c r="B80" s="27" t="s">
        <v>4</v>
      </c>
      <c r="C80" s="24">
        <v>-145.27000000000001</v>
      </c>
    </row>
    <row r="81" spans="1:6" x14ac:dyDescent="0.3">
      <c r="A81" s="26">
        <v>45979</v>
      </c>
      <c r="B81" s="27" t="s">
        <v>1</v>
      </c>
      <c r="C81" s="24">
        <v>257.55</v>
      </c>
    </row>
    <row r="82" spans="1:6" x14ac:dyDescent="0.3">
      <c r="A82" s="26">
        <v>45986</v>
      </c>
      <c r="B82" s="27" t="s">
        <v>4</v>
      </c>
      <c r="C82" s="24">
        <v>-94.61</v>
      </c>
    </row>
    <row r="83" spans="1:6" x14ac:dyDescent="0.3">
      <c r="A83" s="26">
        <v>45986</v>
      </c>
      <c r="B83" s="27" t="s">
        <v>4</v>
      </c>
      <c r="C83" s="24">
        <v>-148.66</v>
      </c>
    </row>
    <row r="84" spans="1:6" x14ac:dyDescent="0.3">
      <c r="A84" s="26">
        <v>45986</v>
      </c>
      <c r="B84" s="27" t="s">
        <v>1</v>
      </c>
      <c r="C84" s="24">
        <v>30.34</v>
      </c>
    </row>
    <row r="85" spans="1:6" x14ac:dyDescent="0.3">
      <c r="A85" s="26">
        <v>45987</v>
      </c>
      <c r="B85" s="27" t="s">
        <v>4</v>
      </c>
      <c r="C85" s="24">
        <v>-8.67</v>
      </c>
    </row>
    <row r="86" spans="1:6" x14ac:dyDescent="0.3">
      <c r="A86" s="26">
        <v>45993</v>
      </c>
      <c r="B86" s="27" t="s">
        <v>4</v>
      </c>
      <c r="C86" s="24">
        <v>-30.34</v>
      </c>
    </row>
    <row r="87" spans="1:6" x14ac:dyDescent="0.3">
      <c r="A87" s="26">
        <v>45993</v>
      </c>
      <c r="B87" s="27" t="s">
        <v>1</v>
      </c>
      <c r="C87" s="24">
        <v>235</v>
      </c>
    </row>
    <row r="88" spans="1:6" x14ac:dyDescent="0.3">
      <c r="A88" s="26">
        <v>46000</v>
      </c>
      <c r="B88" s="27" t="s">
        <v>4</v>
      </c>
      <c r="C88" s="24">
        <v>-58.16</v>
      </c>
    </row>
    <row r="89" spans="1:6" x14ac:dyDescent="0.3">
      <c r="A89" s="26">
        <v>46000</v>
      </c>
      <c r="B89" s="27" t="s">
        <v>4</v>
      </c>
      <c r="C89" s="24">
        <v>-191</v>
      </c>
    </row>
    <row r="90" spans="1:6" x14ac:dyDescent="0.3">
      <c r="A90" s="26">
        <v>46000</v>
      </c>
      <c r="B90" s="27" t="s">
        <v>1</v>
      </c>
      <c r="C90" s="24">
        <v>260.06</v>
      </c>
      <c r="F90" s="25">
        <v>-1</v>
      </c>
    </row>
    <row r="91" spans="1:6" x14ac:dyDescent="0.3">
      <c r="A91" s="26">
        <v>46007</v>
      </c>
      <c r="B91" s="27" t="s">
        <v>1</v>
      </c>
      <c r="C91" s="24">
        <v>249.86</v>
      </c>
    </row>
    <row r="92" spans="1:6" x14ac:dyDescent="0.3">
      <c r="A92" s="26">
        <v>46013</v>
      </c>
      <c r="B92" s="27" t="s">
        <v>1</v>
      </c>
      <c r="C92" s="24">
        <v>101.22</v>
      </c>
    </row>
    <row r="93" spans="1:6" x14ac:dyDescent="0.3">
      <c r="A93" s="26">
        <v>46013</v>
      </c>
      <c r="B93" s="27" t="s">
        <v>4</v>
      </c>
      <c r="C93" s="24">
        <v>-77.08</v>
      </c>
    </row>
    <row r="94" spans="1:6" x14ac:dyDescent="0.3">
      <c r="A94" s="26">
        <v>46013</v>
      </c>
      <c r="B94" s="27" t="s">
        <v>4</v>
      </c>
      <c r="C94" s="24">
        <v>-182.97</v>
      </c>
    </row>
    <row r="95" spans="1:6" x14ac:dyDescent="0.3">
      <c r="A95" s="26">
        <v>46024</v>
      </c>
      <c r="B95" s="27" t="s">
        <v>4</v>
      </c>
      <c r="C95" s="24">
        <v>-249.86</v>
      </c>
    </row>
    <row r="96" spans="1:6" x14ac:dyDescent="0.3">
      <c r="A96" s="26">
        <v>46027</v>
      </c>
      <c r="B96" s="27" t="s">
        <v>4</v>
      </c>
      <c r="C96" s="24">
        <v>-101.22</v>
      </c>
    </row>
    <row r="97" spans="1:3" x14ac:dyDescent="0.3">
      <c r="A97" s="26">
        <v>46028</v>
      </c>
      <c r="B97" s="27" t="s">
        <v>1</v>
      </c>
      <c r="C97" s="24">
        <v>117.3</v>
      </c>
    </row>
    <row r="98" spans="1:3" x14ac:dyDescent="0.3">
      <c r="A98" s="26">
        <v>46035</v>
      </c>
      <c r="B98" s="27" t="s">
        <v>1</v>
      </c>
      <c r="C98" s="24">
        <v>137.84</v>
      </c>
    </row>
    <row r="99" spans="1:3" x14ac:dyDescent="0.3">
      <c r="A99" s="26">
        <v>46036</v>
      </c>
      <c r="B99" s="27" t="s">
        <v>4</v>
      </c>
      <c r="C99" s="24">
        <v>-117.3</v>
      </c>
    </row>
    <row r="100" spans="1:3" x14ac:dyDescent="0.3">
      <c r="A100" s="26">
        <v>46042</v>
      </c>
      <c r="B100" s="27" t="s">
        <v>4</v>
      </c>
      <c r="C100" s="24">
        <v>-137.84</v>
      </c>
    </row>
    <row r="101" spans="1:3" x14ac:dyDescent="0.3">
      <c r="A101" s="26">
        <v>46042</v>
      </c>
      <c r="B101" s="27" t="s">
        <v>1</v>
      </c>
      <c r="C101" s="24">
        <v>125.56</v>
      </c>
    </row>
    <row r="102" spans="1:3" x14ac:dyDescent="0.3">
      <c r="A102" s="26">
        <v>46048</v>
      </c>
      <c r="B102" s="27" t="s">
        <v>4</v>
      </c>
      <c r="C102" s="24">
        <v>-125.56</v>
      </c>
    </row>
    <row r="103" spans="1:3" x14ac:dyDescent="0.3">
      <c r="A103" s="26">
        <v>46049</v>
      </c>
      <c r="B103" s="27" t="s">
        <v>1</v>
      </c>
      <c r="C103" s="24">
        <v>160.61000000000001</v>
      </c>
    </row>
    <row r="104" spans="1:3" x14ac:dyDescent="0.3">
      <c r="A104" s="26">
        <v>46056</v>
      </c>
      <c r="B104" s="27" t="s">
        <v>4</v>
      </c>
      <c r="C104" s="24">
        <v>-125.56</v>
      </c>
    </row>
    <row r="105" spans="1:3" x14ac:dyDescent="0.3">
      <c r="A105" s="26">
        <v>46056</v>
      </c>
      <c r="B105" s="27" t="s">
        <v>4</v>
      </c>
      <c r="C105" s="24">
        <v>-35.049999999999997</v>
      </c>
    </row>
    <row r="106" spans="1:3" x14ac:dyDescent="0.3">
      <c r="A106" s="26">
        <v>46056</v>
      </c>
      <c r="B106" s="27" t="s">
        <v>1</v>
      </c>
      <c r="C106" s="24">
        <v>221.66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F1E30-8359-4C3D-8788-D8ED874CF0F7}">
  <dimension ref="A1:I26"/>
  <sheetViews>
    <sheetView view="pageBreakPreview" zoomScale="80" zoomScaleNormal="100" zoomScaleSheetLayoutView="80" workbookViewId="0">
      <selection sqref="A1:H3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409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-6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45881</v>
      </c>
      <c r="B5" s="27" t="s">
        <v>410</v>
      </c>
      <c r="C5" s="24">
        <v>-6</v>
      </c>
      <c r="D5" s="30">
        <v>-1</v>
      </c>
      <c r="E5" s="30"/>
      <c r="F5" s="30"/>
      <c r="G5" s="22"/>
    </row>
    <row r="6" spans="1:9" x14ac:dyDescent="0.3">
      <c r="A6" s="21">
        <v>45881</v>
      </c>
      <c r="B6" s="27" t="s">
        <v>22</v>
      </c>
      <c r="D6" s="25">
        <v>1</v>
      </c>
    </row>
    <row r="9" spans="1:9" x14ac:dyDescent="0.3">
      <c r="I9" s="25"/>
    </row>
    <row r="10" spans="1:9" x14ac:dyDescent="0.3">
      <c r="B10" s="32"/>
    </row>
    <row r="11" spans="1:9" x14ac:dyDescent="0.3">
      <c r="B11" s="34"/>
    </row>
    <row r="12" spans="1:9" x14ac:dyDescent="0.3">
      <c r="B12" s="32"/>
    </row>
    <row r="13" spans="1:9" x14ac:dyDescent="0.3">
      <c r="B13" s="34"/>
    </row>
    <row r="15" spans="1:9" x14ac:dyDescent="0.3">
      <c r="B15" s="32"/>
    </row>
    <row r="16" spans="1:9" x14ac:dyDescent="0.3">
      <c r="B16" s="34"/>
    </row>
    <row r="17" spans="2:2" x14ac:dyDescent="0.3">
      <c r="B17" s="46"/>
    </row>
    <row r="19" spans="2:2" x14ac:dyDescent="0.3">
      <c r="B19" s="32"/>
    </row>
    <row r="20" spans="2:2" x14ac:dyDescent="0.3">
      <c r="B20" s="34"/>
    </row>
    <row r="22" spans="2:2" x14ac:dyDescent="0.3">
      <c r="B22" s="32"/>
    </row>
    <row r="23" spans="2:2" x14ac:dyDescent="0.3">
      <c r="B23" s="34"/>
    </row>
    <row r="25" spans="2:2" x14ac:dyDescent="0.3">
      <c r="B25" s="32"/>
    </row>
    <row r="26" spans="2:2" x14ac:dyDescent="0.3">
      <c r="B26" s="34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49343-2114-43C7-8C5B-DE5D544FAAE1}">
  <sheetPr codeName="Hoja61"/>
  <dimension ref="A1:I86"/>
  <sheetViews>
    <sheetView view="pageBreakPreview" zoomScale="80" zoomScaleNormal="100" zoomScaleSheetLayoutView="80" workbookViewId="0">
      <selection activeCell="C87" sqref="C8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58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96.650000000000048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45813</v>
      </c>
      <c r="B5" s="32" t="s">
        <v>21</v>
      </c>
      <c r="C5" s="24">
        <v>15.85</v>
      </c>
      <c r="D5" s="30"/>
      <c r="E5" s="30"/>
      <c r="F5" s="30"/>
      <c r="G5" s="22"/>
    </row>
    <row r="6" spans="1:9" hidden="1" x14ac:dyDescent="0.3">
      <c r="A6" s="21">
        <v>45819</v>
      </c>
      <c r="B6" s="31" t="s">
        <v>4</v>
      </c>
      <c r="C6" s="24">
        <v>-15.45</v>
      </c>
    </row>
    <row r="7" spans="1:9" hidden="1" x14ac:dyDescent="0.3">
      <c r="A7" s="21">
        <v>45819</v>
      </c>
      <c r="B7" s="50" t="s">
        <v>1</v>
      </c>
      <c r="C7" s="24">
        <v>126.93</v>
      </c>
    </row>
    <row r="8" spans="1:9" hidden="1" x14ac:dyDescent="0.3">
      <c r="A8" s="26">
        <v>45827</v>
      </c>
      <c r="B8" s="27" t="s">
        <v>4</v>
      </c>
      <c r="C8" s="24">
        <v>-57.84</v>
      </c>
    </row>
    <row r="9" spans="1:9" hidden="1" x14ac:dyDescent="0.3">
      <c r="A9" s="26">
        <v>45828</v>
      </c>
      <c r="B9" s="27" t="s">
        <v>4</v>
      </c>
      <c r="C9" s="24">
        <v>-69.53</v>
      </c>
      <c r="I9" s="25"/>
    </row>
    <row r="10" spans="1:9" hidden="1" x14ac:dyDescent="0.3">
      <c r="A10" s="26">
        <v>45832</v>
      </c>
      <c r="B10" s="32" t="s">
        <v>21</v>
      </c>
      <c r="C10" s="24">
        <v>15.85</v>
      </c>
    </row>
    <row r="11" spans="1:9" hidden="1" x14ac:dyDescent="0.3">
      <c r="A11" s="26">
        <v>45832</v>
      </c>
      <c r="B11" s="50" t="s">
        <v>1</v>
      </c>
      <c r="C11" s="24">
        <v>67.31</v>
      </c>
    </row>
    <row r="12" spans="1:9" hidden="1" x14ac:dyDescent="0.3">
      <c r="A12" s="26">
        <v>45832</v>
      </c>
      <c r="B12" s="45" t="s">
        <v>1</v>
      </c>
      <c r="C12" s="24">
        <v>22.1</v>
      </c>
    </row>
    <row r="13" spans="1:9" hidden="1" x14ac:dyDescent="0.3">
      <c r="A13" s="26">
        <v>45849</v>
      </c>
      <c r="B13" s="27" t="s">
        <v>4</v>
      </c>
      <c r="C13" s="24">
        <v>-84.84</v>
      </c>
    </row>
    <row r="14" spans="1:9" hidden="1" x14ac:dyDescent="0.3">
      <c r="A14" s="26">
        <v>45852</v>
      </c>
      <c r="B14" s="27" t="s">
        <v>4</v>
      </c>
      <c r="C14" s="24">
        <v>-20.38</v>
      </c>
    </row>
    <row r="15" spans="1:9" hidden="1" x14ac:dyDescent="0.3">
      <c r="A15" s="26">
        <v>45853</v>
      </c>
      <c r="B15" s="32" t="s">
        <v>21</v>
      </c>
      <c r="C15" s="24">
        <v>25.69</v>
      </c>
    </row>
    <row r="16" spans="1:9" hidden="1" x14ac:dyDescent="0.3">
      <c r="A16" s="26">
        <v>45853</v>
      </c>
      <c r="B16" s="50" t="s">
        <v>1</v>
      </c>
      <c r="C16" s="24">
        <v>83.86</v>
      </c>
    </row>
    <row r="17" spans="1:3" hidden="1" x14ac:dyDescent="0.3">
      <c r="A17" s="26">
        <v>45853</v>
      </c>
      <c r="B17" s="45" t="s">
        <v>1</v>
      </c>
      <c r="C17" s="24">
        <v>19.63</v>
      </c>
    </row>
    <row r="18" spans="1:3" hidden="1" x14ac:dyDescent="0.3">
      <c r="A18" s="26">
        <v>45866</v>
      </c>
      <c r="B18" s="27" t="s">
        <v>4</v>
      </c>
      <c r="C18" s="24">
        <v>-129.18</v>
      </c>
    </row>
    <row r="19" spans="1:3" hidden="1" x14ac:dyDescent="0.3">
      <c r="A19" s="26">
        <v>45867</v>
      </c>
      <c r="B19" s="32" t="s">
        <v>21</v>
      </c>
      <c r="C19" s="24">
        <v>25.69</v>
      </c>
    </row>
    <row r="20" spans="1:3" hidden="1" x14ac:dyDescent="0.3">
      <c r="A20" s="26">
        <v>45867</v>
      </c>
      <c r="B20" s="50" t="s">
        <v>1</v>
      </c>
      <c r="C20" s="24">
        <v>103.6</v>
      </c>
    </row>
    <row r="21" spans="1:3" hidden="1" x14ac:dyDescent="0.3">
      <c r="A21" s="26">
        <v>45874</v>
      </c>
      <c r="B21" s="27" t="s">
        <v>4</v>
      </c>
      <c r="C21" s="24">
        <v>-29.3</v>
      </c>
    </row>
    <row r="22" spans="1:3" hidden="1" x14ac:dyDescent="0.3">
      <c r="A22" s="26">
        <v>45874</v>
      </c>
      <c r="B22" s="50" t="s">
        <v>1</v>
      </c>
      <c r="C22" s="24">
        <v>103.48</v>
      </c>
    </row>
    <row r="23" spans="1:3" hidden="1" x14ac:dyDescent="0.3">
      <c r="A23" s="26">
        <v>45880</v>
      </c>
      <c r="B23" s="27" t="s">
        <v>4</v>
      </c>
      <c r="C23" s="24">
        <v>-100</v>
      </c>
    </row>
    <row r="24" spans="1:3" hidden="1" x14ac:dyDescent="0.3">
      <c r="A24" s="26">
        <v>45887</v>
      </c>
      <c r="B24" s="27" t="s">
        <v>4</v>
      </c>
      <c r="C24" s="24">
        <v>-43.83</v>
      </c>
    </row>
    <row r="25" spans="1:3" hidden="1" x14ac:dyDescent="0.3">
      <c r="A25" s="26">
        <v>45888</v>
      </c>
      <c r="B25" s="27" t="s">
        <v>4</v>
      </c>
      <c r="C25" s="24">
        <v>-59.65</v>
      </c>
    </row>
    <row r="26" spans="1:3" hidden="1" x14ac:dyDescent="0.3">
      <c r="A26" s="26">
        <v>45888</v>
      </c>
      <c r="B26" s="35" t="s">
        <v>1</v>
      </c>
      <c r="C26" s="24">
        <v>25.69</v>
      </c>
    </row>
    <row r="27" spans="1:3" hidden="1" x14ac:dyDescent="0.3">
      <c r="A27" s="26">
        <v>45888</v>
      </c>
      <c r="B27" s="50" t="s">
        <v>1</v>
      </c>
      <c r="C27" s="24">
        <v>110.73</v>
      </c>
    </row>
    <row r="28" spans="1:3" hidden="1" x14ac:dyDescent="0.3">
      <c r="A28" s="26">
        <v>45888</v>
      </c>
      <c r="B28" s="45" t="s">
        <v>1</v>
      </c>
      <c r="C28" s="24">
        <v>12.84</v>
      </c>
    </row>
    <row r="29" spans="1:3" hidden="1" x14ac:dyDescent="0.3">
      <c r="A29" s="26">
        <v>45894</v>
      </c>
      <c r="B29" s="27" t="s">
        <v>4</v>
      </c>
      <c r="C29" s="24">
        <v>-149.26</v>
      </c>
    </row>
    <row r="30" spans="1:3" hidden="1" x14ac:dyDescent="0.3">
      <c r="A30" s="26">
        <v>45895</v>
      </c>
      <c r="B30" s="35" t="s">
        <v>1</v>
      </c>
      <c r="C30" s="24">
        <v>25.69</v>
      </c>
    </row>
    <row r="31" spans="1:3" hidden="1" x14ac:dyDescent="0.3">
      <c r="A31" s="26">
        <v>45895</v>
      </c>
      <c r="B31" s="50" t="s">
        <v>1</v>
      </c>
      <c r="C31" s="24">
        <v>121.21</v>
      </c>
    </row>
    <row r="32" spans="1:3" hidden="1" x14ac:dyDescent="0.3">
      <c r="A32" s="26">
        <v>45895</v>
      </c>
      <c r="B32" s="45" t="s">
        <v>1</v>
      </c>
      <c r="C32" s="24">
        <v>17.3</v>
      </c>
    </row>
    <row r="33" spans="1:3" hidden="1" x14ac:dyDescent="0.3">
      <c r="A33" s="26">
        <v>45902</v>
      </c>
      <c r="B33" s="27" t="s">
        <v>4</v>
      </c>
      <c r="C33" s="24">
        <v>-100</v>
      </c>
    </row>
    <row r="34" spans="1:3" hidden="1" x14ac:dyDescent="0.3">
      <c r="A34" s="26">
        <v>45902</v>
      </c>
      <c r="B34" s="50" t="s">
        <v>1</v>
      </c>
      <c r="C34" s="24">
        <v>69.92</v>
      </c>
    </row>
    <row r="35" spans="1:3" hidden="1" x14ac:dyDescent="0.3">
      <c r="A35" s="26">
        <v>45902</v>
      </c>
      <c r="B35" s="45" t="s">
        <v>1</v>
      </c>
      <c r="C35" s="24">
        <v>17.3</v>
      </c>
    </row>
    <row r="36" spans="1:3" hidden="1" x14ac:dyDescent="0.3">
      <c r="A36" s="26">
        <v>45903</v>
      </c>
      <c r="B36" s="27" t="s">
        <v>4</v>
      </c>
      <c r="C36" s="24">
        <v>-64.2</v>
      </c>
    </row>
    <row r="37" spans="1:3" hidden="1" x14ac:dyDescent="0.3">
      <c r="A37" s="26">
        <v>45916</v>
      </c>
      <c r="B37" s="27" t="s">
        <v>4</v>
      </c>
      <c r="C37" s="24">
        <v>-87.32</v>
      </c>
    </row>
    <row r="38" spans="1:3" hidden="1" x14ac:dyDescent="0.3">
      <c r="A38" s="26">
        <v>45916</v>
      </c>
      <c r="B38" s="35" t="s">
        <v>1</v>
      </c>
      <c r="C38" s="24">
        <v>25.69</v>
      </c>
    </row>
    <row r="39" spans="1:3" hidden="1" x14ac:dyDescent="0.3">
      <c r="A39" s="26">
        <v>45916</v>
      </c>
      <c r="B39" s="50" t="s">
        <v>1</v>
      </c>
      <c r="C39" s="24">
        <v>57.52</v>
      </c>
    </row>
    <row r="40" spans="1:3" hidden="1" x14ac:dyDescent="0.3">
      <c r="A40" s="26">
        <v>45923</v>
      </c>
      <c r="B40" s="35" t="s">
        <v>1</v>
      </c>
      <c r="C40" s="24">
        <v>34.69</v>
      </c>
    </row>
    <row r="41" spans="1:3" hidden="1" x14ac:dyDescent="0.3">
      <c r="A41" s="26">
        <v>45923</v>
      </c>
      <c r="B41" s="50" t="s">
        <v>1</v>
      </c>
      <c r="C41" s="24">
        <v>46.24</v>
      </c>
    </row>
    <row r="42" spans="1:3" hidden="1" x14ac:dyDescent="0.3">
      <c r="A42" s="26">
        <v>45923</v>
      </c>
      <c r="B42" s="45" t="s">
        <v>1</v>
      </c>
      <c r="C42" s="24">
        <v>24.1</v>
      </c>
    </row>
    <row r="43" spans="1:3" hidden="1" x14ac:dyDescent="0.3">
      <c r="A43" s="26">
        <v>45924</v>
      </c>
      <c r="B43" s="27" t="s">
        <v>4</v>
      </c>
      <c r="C43" s="24">
        <v>-83.1</v>
      </c>
    </row>
    <row r="44" spans="1:3" hidden="1" x14ac:dyDescent="0.3">
      <c r="A44" s="26">
        <v>45930</v>
      </c>
      <c r="B44" s="27" t="s">
        <v>4</v>
      </c>
      <c r="C44" s="24">
        <v>-73.19</v>
      </c>
    </row>
    <row r="45" spans="1:3" hidden="1" x14ac:dyDescent="0.3">
      <c r="A45" s="26">
        <v>45930</v>
      </c>
      <c r="B45" s="35" t="s">
        <v>1</v>
      </c>
      <c r="C45" s="24">
        <v>25.69</v>
      </c>
    </row>
    <row r="46" spans="1:3" hidden="1" x14ac:dyDescent="0.3">
      <c r="A46" s="26">
        <v>45930</v>
      </c>
      <c r="B46" s="50" t="s">
        <v>1</v>
      </c>
      <c r="C46" s="24">
        <v>83.88</v>
      </c>
    </row>
    <row r="47" spans="1:3" hidden="1" x14ac:dyDescent="0.3">
      <c r="A47" s="26">
        <v>45930</v>
      </c>
      <c r="B47" s="45" t="s">
        <v>1</v>
      </c>
      <c r="C47" s="24">
        <f>37.74+2.42</f>
        <v>40.160000000000004</v>
      </c>
    </row>
    <row r="48" spans="1:3" hidden="1" x14ac:dyDescent="0.3">
      <c r="A48" s="26">
        <v>45944</v>
      </c>
      <c r="B48" s="27" t="s">
        <v>4</v>
      </c>
      <c r="C48" s="24">
        <v>-88.72</v>
      </c>
    </row>
    <row r="49" spans="1:3" hidden="1" x14ac:dyDescent="0.3">
      <c r="A49" s="26">
        <v>45944</v>
      </c>
      <c r="B49" s="35" t="s">
        <v>1</v>
      </c>
      <c r="C49" s="24">
        <v>56.7</v>
      </c>
    </row>
    <row r="50" spans="1:3" hidden="1" x14ac:dyDescent="0.3">
      <c r="A50" s="26">
        <v>45944</v>
      </c>
      <c r="B50" s="50" t="s">
        <v>1</v>
      </c>
      <c r="C50" s="24">
        <v>85.4</v>
      </c>
    </row>
    <row r="51" spans="1:3" hidden="1" x14ac:dyDescent="0.3">
      <c r="A51" s="26">
        <v>45944</v>
      </c>
      <c r="B51" s="45" t="s">
        <v>1</v>
      </c>
      <c r="C51" s="24">
        <v>27.68</v>
      </c>
    </row>
    <row r="52" spans="1:3" hidden="1" x14ac:dyDescent="0.3">
      <c r="A52" s="26">
        <v>45947</v>
      </c>
      <c r="B52" s="27" t="s">
        <v>4</v>
      </c>
      <c r="C52" s="24">
        <v>-92.85</v>
      </c>
    </row>
    <row r="53" spans="1:3" hidden="1" x14ac:dyDescent="0.3">
      <c r="A53" s="26">
        <v>45950</v>
      </c>
      <c r="B53" s="27" t="s">
        <v>4</v>
      </c>
      <c r="C53" s="24">
        <v>-53.48</v>
      </c>
    </row>
    <row r="54" spans="1:3" hidden="1" x14ac:dyDescent="0.3">
      <c r="A54" s="26">
        <v>45951</v>
      </c>
      <c r="B54" s="27" t="s">
        <v>4</v>
      </c>
      <c r="C54" s="24">
        <v>-116.87</v>
      </c>
    </row>
    <row r="55" spans="1:3" x14ac:dyDescent="0.3">
      <c r="A55" s="26">
        <v>45951</v>
      </c>
      <c r="B55" s="35" t="s">
        <v>1</v>
      </c>
      <c r="C55" s="24">
        <v>24.64</v>
      </c>
    </row>
    <row r="56" spans="1:3" x14ac:dyDescent="0.3">
      <c r="A56" s="26">
        <v>45951</v>
      </c>
      <c r="B56" s="50" t="s">
        <v>1</v>
      </c>
      <c r="C56" s="24">
        <v>111.02</v>
      </c>
    </row>
    <row r="57" spans="1:3" x14ac:dyDescent="0.3">
      <c r="A57" s="26">
        <v>45951</v>
      </c>
      <c r="B57" s="45" t="s">
        <v>1</v>
      </c>
      <c r="C57" s="24">
        <v>24.22</v>
      </c>
    </row>
    <row r="58" spans="1:3" x14ac:dyDescent="0.3">
      <c r="A58" s="26">
        <v>45958</v>
      </c>
      <c r="B58" s="27" t="s">
        <v>4</v>
      </c>
      <c r="C58" s="24">
        <v>-100.29</v>
      </c>
    </row>
    <row r="59" spans="1:3" x14ac:dyDescent="0.3">
      <c r="A59" s="26">
        <v>45958</v>
      </c>
      <c r="B59" s="35" t="s">
        <v>1</v>
      </c>
      <c r="C59" s="24">
        <v>26.22</v>
      </c>
    </row>
    <row r="60" spans="1:3" x14ac:dyDescent="0.3">
      <c r="A60" s="26">
        <v>45958</v>
      </c>
      <c r="B60" s="50" t="s">
        <v>1</v>
      </c>
      <c r="C60" s="24">
        <v>53.16</v>
      </c>
    </row>
    <row r="61" spans="1:3" x14ac:dyDescent="0.3">
      <c r="A61" s="26">
        <v>45965</v>
      </c>
      <c r="B61" s="27" t="s">
        <v>4</v>
      </c>
      <c r="C61" s="24">
        <v>-0.26</v>
      </c>
    </row>
    <row r="62" spans="1:3" x14ac:dyDescent="0.3">
      <c r="A62" s="26">
        <v>45965</v>
      </c>
      <c r="B62" s="35" t="s">
        <v>1</v>
      </c>
      <c r="C62" s="24">
        <v>19.68</v>
      </c>
    </row>
    <row r="63" spans="1:3" x14ac:dyDescent="0.3">
      <c r="A63" s="26">
        <v>45965</v>
      </c>
      <c r="B63" s="50" t="s">
        <v>1</v>
      </c>
      <c r="C63" s="24">
        <v>62.44</v>
      </c>
    </row>
    <row r="64" spans="1:3" x14ac:dyDescent="0.3">
      <c r="A64" s="26">
        <v>45965</v>
      </c>
      <c r="B64" s="45" t="s">
        <v>1</v>
      </c>
      <c r="C64" s="24">
        <v>17.52</v>
      </c>
    </row>
    <row r="65" spans="1:3" x14ac:dyDescent="0.3">
      <c r="A65" s="26">
        <v>45972</v>
      </c>
      <c r="B65" s="27" t="s">
        <v>4</v>
      </c>
      <c r="C65" s="24">
        <v>114.68</v>
      </c>
    </row>
    <row r="66" spans="1:3" x14ac:dyDescent="0.3">
      <c r="A66" s="26">
        <v>45978</v>
      </c>
      <c r="B66" s="27" t="s">
        <v>4</v>
      </c>
      <c r="C66" s="24">
        <v>-99.64</v>
      </c>
    </row>
    <row r="67" spans="1:3" x14ac:dyDescent="0.3">
      <c r="A67" s="26">
        <v>45979</v>
      </c>
      <c r="B67" s="27" t="s">
        <v>4</v>
      </c>
      <c r="C67" s="24">
        <v>-92.89</v>
      </c>
    </row>
    <row r="68" spans="1:3" x14ac:dyDescent="0.3">
      <c r="A68" s="26">
        <v>45979</v>
      </c>
      <c r="B68" s="27" t="s">
        <v>1</v>
      </c>
      <c r="C68" s="24">
        <v>142.4</v>
      </c>
    </row>
    <row r="69" spans="1:3" x14ac:dyDescent="0.3">
      <c r="A69" s="26">
        <v>45965</v>
      </c>
      <c r="B69" s="27" t="s">
        <v>4</v>
      </c>
      <c r="C69" s="24">
        <v>-79.38</v>
      </c>
    </row>
    <row r="70" spans="1:3" x14ac:dyDescent="0.3">
      <c r="A70" s="26">
        <v>45986</v>
      </c>
      <c r="B70" s="27" t="s">
        <v>1</v>
      </c>
      <c r="C70" s="24">
        <v>77.86</v>
      </c>
    </row>
    <row r="71" spans="1:3" x14ac:dyDescent="0.3">
      <c r="A71" s="26">
        <v>45989</v>
      </c>
      <c r="B71" s="27" t="s">
        <v>4</v>
      </c>
      <c r="C71" s="24">
        <v>-164.18</v>
      </c>
    </row>
    <row r="72" spans="1:3" x14ac:dyDescent="0.3">
      <c r="A72" s="26">
        <v>45993</v>
      </c>
      <c r="B72" s="27" t="s">
        <v>4</v>
      </c>
      <c r="C72" s="24">
        <v>-60.08</v>
      </c>
    </row>
    <row r="73" spans="1:3" x14ac:dyDescent="0.3">
      <c r="A73" s="26">
        <v>45993</v>
      </c>
      <c r="B73" s="27" t="s">
        <v>1</v>
      </c>
      <c r="C73" s="24">
        <v>134.02000000000001</v>
      </c>
    </row>
    <row r="74" spans="1:3" x14ac:dyDescent="0.3">
      <c r="A74" s="26">
        <v>46006</v>
      </c>
      <c r="B74" s="27" t="s">
        <v>4</v>
      </c>
      <c r="C74" s="24">
        <v>-77.86</v>
      </c>
    </row>
    <row r="75" spans="1:3" x14ac:dyDescent="0.3">
      <c r="A75" s="26">
        <v>46006</v>
      </c>
      <c r="B75" s="27" t="s">
        <v>4</v>
      </c>
      <c r="C75" s="24">
        <v>-77.86</v>
      </c>
    </row>
    <row r="76" spans="1:3" x14ac:dyDescent="0.3">
      <c r="A76" s="26">
        <v>46007</v>
      </c>
      <c r="B76" s="27" t="s">
        <v>4</v>
      </c>
      <c r="C76" s="24">
        <v>-56.16</v>
      </c>
    </row>
    <row r="77" spans="1:3" x14ac:dyDescent="0.3">
      <c r="A77" s="26">
        <v>46007</v>
      </c>
      <c r="B77" s="27" t="s">
        <v>1</v>
      </c>
      <c r="C77" s="24">
        <v>128.51</v>
      </c>
    </row>
    <row r="78" spans="1:3" x14ac:dyDescent="0.3">
      <c r="A78" s="26">
        <v>46013</v>
      </c>
      <c r="B78" s="27" t="s">
        <v>1</v>
      </c>
      <c r="C78" s="24">
        <v>88</v>
      </c>
    </row>
    <row r="79" spans="1:3" x14ac:dyDescent="0.3">
      <c r="A79" s="26">
        <v>46017</v>
      </c>
      <c r="B79" s="27" t="s">
        <v>4</v>
      </c>
      <c r="C79" s="24">
        <v>-120.13</v>
      </c>
    </row>
    <row r="80" spans="1:3" x14ac:dyDescent="0.3">
      <c r="A80" s="26">
        <v>46020</v>
      </c>
      <c r="B80" s="27" t="s">
        <v>4</v>
      </c>
      <c r="C80" s="24">
        <v>-96.09</v>
      </c>
    </row>
    <row r="81" spans="1:3" x14ac:dyDescent="0.3">
      <c r="A81" s="26">
        <v>46035</v>
      </c>
      <c r="B81" s="27" t="s">
        <v>1</v>
      </c>
      <c r="C81" s="24">
        <v>67.22</v>
      </c>
    </row>
    <row r="82" spans="1:3" x14ac:dyDescent="0.3">
      <c r="A82" s="26">
        <v>46043</v>
      </c>
      <c r="B82" s="27" t="s">
        <v>4</v>
      </c>
      <c r="C82" s="24">
        <v>-43.54</v>
      </c>
    </row>
    <row r="83" spans="1:3" x14ac:dyDescent="0.3">
      <c r="A83" s="26">
        <v>46043</v>
      </c>
      <c r="B83" s="27" t="s">
        <v>4</v>
      </c>
      <c r="C83" s="24">
        <v>-24.02</v>
      </c>
    </row>
    <row r="84" spans="1:3" x14ac:dyDescent="0.3">
      <c r="A84" s="26">
        <v>46049</v>
      </c>
      <c r="B84" s="27" t="s">
        <v>1</v>
      </c>
      <c r="C84" s="24">
        <v>166.24</v>
      </c>
    </row>
    <row r="85" spans="1:3" x14ac:dyDescent="0.3">
      <c r="A85" s="26">
        <v>46056</v>
      </c>
      <c r="B85" s="27" t="s">
        <v>4</v>
      </c>
      <c r="C85" s="24">
        <v>-147.81</v>
      </c>
    </row>
    <row r="86" spans="1:3" x14ac:dyDescent="0.3">
      <c r="A86" s="26">
        <v>46056</v>
      </c>
      <c r="B86" s="27" t="s">
        <v>1</v>
      </c>
      <c r="C86" s="24">
        <v>79.58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55767-B340-4FB1-83E2-123FF2A8DDCA}">
  <dimension ref="A1:I19"/>
  <sheetViews>
    <sheetView view="pageBreakPreview" zoomScale="80" zoomScaleNormal="100" zoomScaleSheetLayoutView="80" workbookViewId="0">
      <selection activeCell="A20" sqref="A2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524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170.79000000000002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s="25" customFormat="1" x14ac:dyDescent="0.3">
      <c r="A5" s="26">
        <v>46010</v>
      </c>
      <c r="B5" s="27" t="s">
        <v>1</v>
      </c>
      <c r="C5" s="24">
        <v>617.46</v>
      </c>
      <c r="G5" s="24"/>
      <c r="H5" s="17"/>
      <c r="I5" s="18"/>
    </row>
    <row r="6" spans="1:9" x14ac:dyDescent="0.3">
      <c r="A6" s="26">
        <v>46017</v>
      </c>
      <c r="B6" s="27" t="s">
        <v>4</v>
      </c>
      <c r="C6" s="24">
        <v>-91.1</v>
      </c>
    </row>
    <row r="7" spans="1:9" x14ac:dyDescent="0.3">
      <c r="A7" s="26">
        <v>46017</v>
      </c>
      <c r="B7" s="27" t="s">
        <v>4</v>
      </c>
      <c r="C7" s="24">
        <v>-137.29</v>
      </c>
    </row>
    <row r="8" spans="1:9" x14ac:dyDescent="0.3">
      <c r="A8" s="26">
        <v>46017</v>
      </c>
      <c r="B8" s="27" t="s">
        <v>4</v>
      </c>
      <c r="C8" s="24">
        <v>-34.24</v>
      </c>
    </row>
    <row r="9" spans="1:9" x14ac:dyDescent="0.3">
      <c r="A9" s="26">
        <v>46021</v>
      </c>
      <c r="B9" s="27" t="s">
        <v>4</v>
      </c>
      <c r="C9" s="24">
        <v>-97.98</v>
      </c>
    </row>
    <row r="10" spans="1:9" x14ac:dyDescent="0.3">
      <c r="A10" s="26">
        <v>46024</v>
      </c>
      <c r="B10" s="27" t="s">
        <v>4</v>
      </c>
      <c r="C10" s="24">
        <v>-19.3</v>
      </c>
    </row>
    <row r="11" spans="1:9" x14ac:dyDescent="0.3">
      <c r="A11" s="26">
        <v>46029</v>
      </c>
      <c r="B11" s="27" t="s">
        <v>4</v>
      </c>
      <c r="C11" s="24">
        <v>-77.099999999999994</v>
      </c>
    </row>
    <row r="12" spans="1:9" x14ac:dyDescent="0.3">
      <c r="A12" s="26">
        <v>46029</v>
      </c>
      <c r="B12" s="27" t="s">
        <v>4</v>
      </c>
      <c r="C12" s="24">
        <v>-82.05</v>
      </c>
    </row>
    <row r="13" spans="1:9" x14ac:dyDescent="0.3">
      <c r="A13" s="26">
        <v>46031</v>
      </c>
      <c r="B13" s="27" t="s">
        <v>4</v>
      </c>
      <c r="C13" s="24">
        <v>-77.98</v>
      </c>
    </row>
    <row r="14" spans="1:9" x14ac:dyDescent="0.3">
      <c r="A14" s="26">
        <v>46031</v>
      </c>
      <c r="B14" s="27" t="s">
        <v>1</v>
      </c>
      <c r="C14" s="24">
        <v>213.64</v>
      </c>
    </row>
    <row r="15" spans="1:9" x14ac:dyDescent="0.3">
      <c r="A15" s="26">
        <v>46048</v>
      </c>
      <c r="B15" s="27" t="s">
        <v>4</v>
      </c>
      <c r="C15" s="24">
        <v>-59.06</v>
      </c>
    </row>
    <row r="16" spans="1:9" x14ac:dyDescent="0.3">
      <c r="A16" s="26">
        <v>46048</v>
      </c>
      <c r="B16" s="27" t="s">
        <v>4</v>
      </c>
      <c r="C16" s="24">
        <v>-64.69</v>
      </c>
    </row>
    <row r="17" spans="1:3" x14ac:dyDescent="0.3">
      <c r="A17" s="26">
        <v>46049</v>
      </c>
      <c r="B17" s="27" t="s">
        <v>4</v>
      </c>
      <c r="C17" s="24">
        <v>-55.44</v>
      </c>
    </row>
    <row r="18" spans="1:3" x14ac:dyDescent="0.3">
      <c r="A18" s="26">
        <v>46050</v>
      </c>
      <c r="B18" s="27" t="s">
        <v>4</v>
      </c>
      <c r="C18" s="24">
        <v>-68.599999999999994</v>
      </c>
    </row>
    <row r="19" spans="1:3" x14ac:dyDescent="0.3">
      <c r="A19" s="26">
        <v>46052</v>
      </c>
      <c r="B19" s="27" t="s">
        <v>1</v>
      </c>
      <c r="C19" s="24">
        <v>204.52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13717-17F9-4B58-95EF-A679F2CAACFD}">
  <dimension ref="A1:H32"/>
  <sheetViews>
    <sheetView view="pageBreakPreview" zoomScale="70" zoomScaleNormal="100" zoomScaleSheetLayoutView="70" workbookViewId="0">
      <selection sqref="A1:H3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498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45980</v>
      </c>
      <c r="B5" s="27" t="s">
        <v>4</v>
      </c>
      <c r="C5" s="24">
        <v>-26.22</v>
      </c>
      <c r="D5" s="30"/>
      <c r="E5" s="30"/>
      <c r="F5" s="30"/>
      <c r="G5" s="22"/>
    </row>
    <row r="6" spans="1:8" x14ac:dyDescent="0.3">
      <c r="A6" s="21">
        <v>45981</v>
      </c>
      <c r="B6" s="27" t="s">
        <v>21</v>
      </c>
      <c r="C6" s="24">
        <v>26.22</v>
      </c>
    </row>
    <row r="12" spans="1:8" x14ac:dyDescent="0.3">
      <c r="B12" s="31"/>
    </row>
    <row r="14" spans="1:8" x14ac:dyDescent="0.3">
      <c r="B14" s="31"/>
    </row>
    <row r="15" spans="1:8" x14ac:dyDescent="0.3">
      <c r="B15" s="31"/>
    </row>
    <row r="16" spans="1:8" x14ac:dyDescent="0.3">
      <c r="B16" s="31"/>
    </row>
    <row r="18" spans="2:2" x14ac:dyDescent="0.3">
      <c r="B18" s="31"/>
    </row>
    <row r="19" spans="2:2" x14ac:dyDescent="0.3">
      <c r="B19" s="31"/>
    </row>
    <row r="21" spans="2:2" x14ac:dyDescent="0.3">
      <c r="B21" s="31"/>
    </row>
    <row r="22" spans="2:2" x14ac:dyDescent="0.3">
      <c r="B22" s="31"/>
    </row>
    <row r="24" spans="2:2" x14ac:dyDescent="0.3">
      <c r="B24" s="31"/>
    </row>
    <row r="25" spans="2:2" x14ac:dyDescent="0.3">
      <c r="B25" s="31"/>
    </row>
    <row r="26" spans="2:2" x14ac:dyDescent="0.3">
      <c r="B26" s="31"/>
    </row>
    <row r="28" spans="2:2" x14ac:dyDescent="0.3">
      <c r="B28" s="31"/>
    </row>
    <row r="29" spans="2:2" x14ac:dyDescent="0.3">
      <c r="B29" s="31"/>
    </row>
    <row r="31" spans="2:2" x14ac:dyDescent="0.3">
      <c r="B31" s="31"/>
    </row>
    <row r="32" spans="2:2" x14ac:dyDescent="0.3">
      <c r="B32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02DA-3264-4CED-80FA-F5FC1DF4F448}">
  <dimension ref="A1:H32"/>
  <sheetViews>
    <sheetView view="pageBreakPreview" zoomScale="70" zoomScaleNormal="100" zoomScaleSheetLayoutView="70" workbookViewId="0">
      <selection sqref="A1:H3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521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40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46009</v>
      </c>
      <c r="B5" s="27" t="s">
        <v>21</v>
      </c>
      <c r="D5" s="30">
        <v>100</v>
      </c>
      <c r="E5" s="30"/>
      <c r="F5" s="30"/>
      <c r="G5" s="22"/>
    </row>
    <row r="6" spans="1:8" x14ac:dyDescent="0.3">
      <c r="A6" s="21">
        <v>46011</v>
      </c>
      <c r="B6" s="27" t="s">
        <v>22</v>
      </c>
      <c r="D6" s="25">
        <v>-60</v>
      </c>
    </row>
    <row r="12" spans="1:8" x14ac:dyDescent="0.3">
      <c r="B12" s="31"/>
    </row>
    <row r="14" spans="1:8" x14ac:dyDescent="0.3">
      <c r="B14" s="31"/>
    </row>
    <row r="15" spans="1:8" x14ac:dyDescent="0.3">
      <c r="B15" s="31"/>
    </row>
    <row r="16" spans="1:8" x14ac:dyDescent="0.3">
      <c r="B16" s="31"/>
    </row>
    <row r="18" spans="2:2" x14ac:dyDescent="0.3">
      <c r="B18" s="31"/>
    </row>
    <row r="19" spans="2:2" x14ac:dyDescent="0.3">
      <c r="B19" s="31"/>
    </row>
    <row r="21" spans="2:2" x14ac:dyDescent="0.3">
      <c r="B21" s="31"/>
    </row>
    <row r="22" spans="2:2" x14ac:dyDescent="0.3">
      <c r="B22" s="31"/>
    </row>
    <row r="24" spans="2:2" x14ac:dyDescent="0.3">
      <c r="B24" s="31"/>
    </row>
    <row r="25" spans="2:2" x14ac:dyDescent="0.3">
      <c r="B25" s="31"/>
    </row>
    <row r="26" spans="2:2" x14ac:dyDescent="0.3">
      <c r="B26" s="31"/>
    </row>
    <row r="28" spans="2:2" x14ac:dyDescent="0.3">
      <c r="B28" s="31"/>
    </row>
    <row r="29" spans="2:2" x14ac:dyDescent="0.3">
      <c r="B29" s="31"/>
    </row>
    <row r="31" spans="2:2" x14ac:dyDescent="0.3">
      <c r="B31" s="31"/>
    </row>
    <row r="32" spans="2:2" x14ac:dyDescent="0.3">
      <c r="B32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0F485-E727-43FD-BA3A-DC57E867DDB1}">
  <dimension ref="A1:H32"/>
  <sheetViews>
    <sheetView view="pageBreakPreview" zoomScale="70" zoomScaleNormal="100" zoomScaleSheetLayoutView="70" workbookViewId="0">
      <selection activeCell="C9" sqref="C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494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-1.0000000000005116E-2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45968</v>
      </c>
      <c r="B5" s="72" t="s">
        <v>21</v>
      </c>
      <c r="C5" s="24">
        <v>25</v>
      </c>
      <c r="D5" s="30"/>
      <c r="E5" s="30"/>
      <c r="F5" s="30"/>
    </row>
    <row r="6" spans="1:8" x14ac:dyDescent="0.3">
      <c r="A6" s="21">
        <v>45968</v>
      </c>
      <c r="B6" s="27" t="s">
        <v>1</v>
      </c>
      <c r="C6" s="24">
        <v>37.35</v>
      </c>
    </row>
    <row r="7" spans="1:8" x14ac:dyDescent="0.3">
      <c r="A7" s="26">
        <v>45974</v>
      </c>
      <c r="B7" s="27" t="s">
        <v>4</v>
      </c>
      <c r="C7" s="24">
        <v>-16.27</v>
      </c>
    </row>
    <row r="8" spans="1:8" x14ac:dyDescent="0.3">
      <c r="A8" s="26">
        <v>46010</v>
      </c>
      <c r="B8" s="27" t="s">
        <v>4</v>
      </c>
      <c r="C8" s="24">
        <v>-46.09</v>
      </c>
    </row>
    <row r="9" spans="1:8" x14ac:dyDescent="0.3">
      <c r="B9" s="73"/>
    </row>
    <row r="10" spans="1:8" x14ac:dyDescent="0.3">
      <c r="B10" s="31"/>
    </row>
    <row r="11" spans="1:8" x14ac:dyDescent="0.3">
      <c r="B11" s="72"/>
    </row>
    <row r="12" spans="1:8" x14ac:dyDescent="0.3">
      <c r="B12" s="74"/>
    </row>
    <row r="14" spans="1:8" x14ac:dyDescent="0.3">
      <c r="B14" s="72"/>
    </row>
    <row r="15" spans="1:8" x14ac:dyDescent="0.3">
      <c r="B15" s="73"/>
    </row>
    <row r="16" spans="1:8" x14ac:dyDescent="0.3">
      <c r="B16" s="74"/>
    </row>
    <row r="18" spans="2:2" x14ac:dyDescent="0.3">
      <c r="B18" s="72"/>
    </row>
    <row r="19" spans="2:2" x14ac:dyDescent="0.3">
      <c r="B19" s="73"/>
    </row>
    <row r="21" spans="2:2" x14ac:dyDescent="0.3">
      <c r="B21" s="72"/>
    </row>
    <row r="22" spans="2:2" x14ac:dyDescent="0.3">
      <c r="B22" s="73"/>
    </row>
    <row r="24" spans="2:2" x14ac:dyDescent="0.3">
      <c r="B24" s="72"/>
    </row>
    <row r="25" spans="2:2" x14ac:dyDescent="0.3">
      <c r="B25" s="73"/>
    </row>
    <row r="26" spans="2:2" x14ac:dyDescent="0.3">
      <c r="B26" s="74"/>
    </row>
    <row r="28" spans="2:2" x14ac:dyDescent="0.3">
      <c r="B28" s="72"/>
    </row>
    <row r="29" spans="2:2" x14ac:dyDescent="0.3">
      <c r="B29" s="73"/>
    </row>
    <row r="31" spans="2:2" x14ac:dyDescent="0.3">
      <c r="B31" s="72"/>
    </row>
    <row r="32" spans="2:2" x14ac:dyDescent="0.3">
      <c r="B32" s="74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7DB1B-64B5-4C7A-8A26-E5BE5C31107D}">
  <sheetPr codeName="Hoja156"/>
  <dimension ref="A1:K43"/>
  <sheetViews>
    <sheetView view="pageBreakPreview" zoomScale="70" zoomScaleNormal="100" zoomScaleSheetLayoutView="70" workbookViewId="0">
      <selection sqref="A1:H4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256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239.07999999999998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22.43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45825</v>
      </c>
      <c r="B5" s="72" t="s">
        <v>21</v>
      </c>
      <c r="C5" s="24">
        <f>54.77-G5</f>
        <v>49.11</v>
      </c>
      <c r="D5" s="30"/>
      <c r="E5" s="30"/>
      <c r="F5" s="30"/>
      <c r="G5" s="93">
        <v>5.66</v>
      </c>
    </row>
    <row r="6" spans="1:8" x14ac:dyDescent="0.3">
      <c r="A6" s="21">
        <v>45825</v>
      </c>
      <c r="B6" s="73" t="s">
        <v>21</v>
      </c>
      <c r="C6" s="24">
        <v>15.94</v>
      </c>
    </row>
    <row r="7" spans="1:8" x14ac:dyDescent="0.3">
      <c r="A7" s="26">
        <v>45827</v>
      </c>
      <c r="B7" s="27" t="s">
        <v>4</v>
      </c>
      <c r="C7" s="24">
        <v>-65.040000000000006</v>
      </c>
      <c r="G7" s="94">
        <v>-5.66</v>
      </c>
    </row>
    <row r="8" spans="1:8" x14ac:dyDescent="0.3">
      <c r="A8" s="26">
        <v>45846</v>
      </c>
      <c r="B8" s="72" t="s">
        <v>21</v>
      </c>
      <c r="C8" s="24">
        <f>19.46-G8</f>
        <v>17.07</v>
      </c>
      <c r="G8" s="94">
        <v>2.39</v>
      </c>
    </row>
    <row r="9" spans="1:8" x14ac:dyDescent="0.3">
      <c r="A9" s="26">
        <v>45846</v>
      </c>
      <c r="B9" s="73" t="s">
        <v>21</v>
      </c>
      <c r="C9" s="24">
        <v>10.01</v>
      </c>
    </row>
    <row r="10" spans="1:8" x14ac:dyDescent="0.3">
      <c r="A10" s="26">
        <v>45853</v>
      </c>
      <c r="B10" s="31" t="s">
        <v>4</v>
      </c>
      <c r="C10" s="24">
        <v>-26.86</v>
      </c>
      <c r="G10" s="94">
        <v>-2.39</v>
      </c>
    </row>
    <row r="11" spans="1:8" x14ac:dyDescent="0.3">
      <c r="A11" s="26">
        <v>45860</v>
      </c>
      <c r="B11" s="72" t="s">
        <v>21</v>
      </c>
      <c r="C11" s="24">
        <f>35.31-G11</f>
        <v>31.310000000000002</v>
      </c>
      <c r="G11" s="94">
        <v>4</v>
      </c>
    </row>
    <row r="12" spans="1:8" x14ac:dyDescent="0.3">
      <c r="A12" s="26">
        <v>45860</v>
      </c>
      <c r="B12" s="74" t="s">
        <v>21</v>
      </c>
      <c r="C12" s="24">
        <v>3.39</v>
      </c>
    </row>
    <row r="13" spans="1:8" x14ac:dyDescent="0.3">
      <c r="A13" s="26">
        <v>45861</v>
      </c>
      <c r="B13" s="27" t="s">
        <v>4</v>
      </c>
      <c r="C13" s="24">
        <v>-34.49</v>
      </c>
      <c r="G13" s="94">
        <v>-4</v>
      </c>
    </row>
    <row r="14" spans="1:8" x14ac:dyDescent="0.3">
      <c r="A14" s="26">
        <v>45874</v>
      </c>
      <c r="B14" s="72" t="s">
        <v>21</v>
      </c>
      <c r="C14" s="24">
        <f>20.5-G14</f>
        <v>18.38</v>
      </c>
      <c r="G14" s="94">
        <v>2.12</v>
      </c>
    </row>
    <row r="15" spans="1:8" x14ac:dyDescent="0.3">
      <c r="A15" s="26">
        <v>45874</v>
      </c>
      <c r="B15" s="73" t="s">
        <v>21</v>
      </c>
      <c r="C15" s="24">
        <f>12.3-G15</f>
        <v>11.930000000000001</v>
      </c>
      <c r="G15" s="94">
        <v>0.37</v>
      </c>
    </row>
    <row r="16" spans="1:8" x14ac:dyDescent="0.3">
      <c r="A16" s="26">
        <v>45874</v>
      </c>
      <c r="B16" s="74" t="s">
        <v>21</v>
      </c>
      <c r="C16" s="24">
        <f>6.78-G16</f>
        <v>6.08</v>
      </c>
      <c r="G16" s="94">
        <v>0.7</v>
      </c>
    </row>
    <row r="17" spans="1:9" x14ac:dyDescent="0.3">
      <c r="A17" s="26">
        <v>45888</v>
      </c>
      <c r="B17" s="27" t="s">
        <v>4</v>
      </c>
      <c r="C17" s="24">
        <v>-36.06</v>
      </c>
      <c r="G17" s="94">
        <v>-3.19</v>
      </c>
    </row>
    <row r="18" spans="1:9" x14ac:dyDescent="0.3">
      <c r="A18" s="26">
        <v>45888</v>
      </c>
      <c r="B18" s="72" t="s">
        <v>21</v>
      </c>
      <c r="C18" s="24">
        <f>38.92-G18</f>
        <v>34.520000000000003</v>
      </c>
      <c r="G18" s="94">
        <v>4.4000000000000004</v>
      </c>
    </row>
    <row r="19" spans="1:9" x14ac:dyDescent="0.3">
      <c r="A19" s="26">
        <v>45888</v>
      </c>
      <c r="B19" s="73" t="s">
        <v>21</v>
      </c>
      <c r="C19" s="24">
        <v>11.87</v>
      </c>
    </row>
    <row r="20" spans="1:9" x14ac:dyDescent="0.3">
      <c r="A20" s="26">
        <v>45902</v>
      </c>
      <c r="B20" s="27" t="s">
        <v>4</v>
      </c>
      <c r="C20" s="24">
        <v>-45.97</v>
      </c>
      <c r="G20" s="94">
        <v>-4.4000000000000004</v>
      </c>
    </row>
    <row r="21" spans="1:9" x14ac:dyDescent="0.3">
      <c r="A21" s="26">
        <v>45902</v>
      </c>
      <c r="B21" s="72" t="s">
        <v>21</v>
      </c>
      <c r="C21" s="24">
        <f>35.31-G21</f>
        <v>31.660000000000004</v>
      </c>
      <c r="G21" s="94">
        <v>3.65</v>
      </c>
    </row>
    <row r="22" spans="1:9" x14ac:dyDescent="0.3">
      <c r="A22" s="26">
        <v>45902</v>
      </c>
      <c r="B22" s="73" t="s">
        <v>21</v>
      </c>
      <c r="C22" s="24">
        <v>12.5</v>
      </c>
    </row>
    <row r="23" spans="1:9" x14ac:dyDescent="0.3">
      <c r="A23" s="26">
        <v>45906</v>
      </c>
      <c r="B23" s="27" t="s">
        <v>4</v>
      </c>
      <c r="C23" s="24">
        <v>-43.77</v>
      </c>
      <c r="G23" s="94">
        <v>-3.65</v>
      </c>
    </row>
    <row r="24" spans="1:9" x14ac:dyDescent="0.3">
      <c r="A24" s="26">
        <v>45923</v>
      </c>
      <c r="B24" s="72" t="s">
        <v>21</v>
      </c>
      <c r="C24" s="24">
        <f>35.31-G24</f>
        <v>31.660000000000004</v>
      </c>
      <c r="G24" s="24">
        <v>3.65</v>
      </c>
    </row>
    <row r="25" spans="1:9" x14ac:dyDescent="0.3">
      <c r="A25" s="26">
        <v>45923</v>
      </c>
      <c r="B25" s="73" t="s">
        <v>21</v>
      </c>
      <c r="C25" s="24">
        <v>2.14</v>
      </c>
    </row>
    <row r="26" spans="1:9" x14ac:dyDescent="0.3">
      <c r="A26" s="26">
        <v>45923</v>
      </c>
      <c r="B26" s="74" t="s">
        <v>21</v>
      </c>
      <c r="C26" s="24">
        <f>4.59-G26</f>
        <v>4.13</v>
      </c>
      <c r="G26" s="24">
        <v>0.46</v>
      </c>
    </row>
    <row r="27" spans="1:9" x14ac:dyDescent="0.3">
      <c r="A27" s="26">
        <v>45930</v>
      </c>
      <c r="B27" s="27" t="s">
        <v>4</v>
      </c>
      <c r="C27" s="24">
        <v>-37.56</v>
      </c>
      <c r="G27" s="24">
        <v>-4.1100000000000003</v>
      </c>
    </row>
    <row r="28" spans="1:9" x14ac:dyDescent="0.3">
      <c r="A28" s="26">
        <v>45944</v>
      </c>
      <c r="B28" s="72" t="s">
        <v>21</v>
      </c>
      <c r="C28" s="24">
        <f>55.3-G28</f>
        <v>49.58</v>
      </c>
      <c r="G28" s="24">
        <v>5.72</v>
      </c>
    </row>
    <row r="29" spans="1:9" x14ac:dyDescent="0.3">
      <c r="A29" s="26">
        <v>45944</v>
      </c>
      <c r="B29" s="73" t="s">
        <v>21</v>
      </c>
      <c r="C29" s="24">
        <f>20.77-G29</f>
        <v>20.56</v>
      </c>
      <c r="G29" s="24">
        <v>0.21</v>
      </c>
      <c r="I29" s="18">
        <f>1768.53/218.17</f>
        <v>8.1062015859192371</v>
      </c>
    </row>
    <row r="30" spans="1:9" x14ac:dyDescent="0.3">
      <c r="A30" s="26">
        <v>45946</v>
      </c>
      <c r="B30" s="27" t="s">
        <v>4</v>
      </c>
      <c r="C30" s="24">
        <v>-69.459999999999994</v>
      </c>
      <c r="G30" s="24">
        <v>-5.93</v>
      </c>
    </row>
    <row r="31" spans="1:9" x14ac:dyDescent="0.3">
      <c r="A31" s="26">
        <v>45958</v>
      </c>
      <c r="B31" s="72" t="s">
        <v>21</v>
      </c>
      <c r="C31" s="24">
        <f>73.22-G31</f>
        <v>65.650000000000006</v>
      </c>
      <c r="G31" s="24">
        <v>7.57</v>
      </c>
    </row>
    <row r="32" spans="1:9" x14ac:dyDescent="0.3">
      <c r="A32" s="26">
        <v>45958</v>
      </c>
      <c r="B32" s="74" t="s">
        <v>21</v>
      </c>
      <c r="C32" s="24">
        <f>5.14-G32</f>
        <v>4.6099999999999994</v>
      </c>
      <c r="G32" s="24">
        <v>0.53</v>
      </c>
    </row>
    <row r="33" spans="1:11" x14ac:dyDescent="0.3">
      <c r="A33" s="26">
        <v>45960</v>
      </c>
      <c r="B33" s="27" t="s">
        <v>4</v>
      </c>
      <c r="C33" s="24">
        <v>-69.709999999999994</v>
      </c>
      <c r="G33" s="24">
        <v>-8.1</v>
      </c>
    </row>
    <row r="34" spans="1:11" x14ac:dyDescent="0.3">
      <c r="A34" s="26">
        <v>45982</v>
      </c>
      <c r="B34" s="27" t="s">
        <v>1</v>
      </c>
      <c r="C34" s="24">
        <f>87.12-G34</f>
        <v>79.960000000000008</v>
      </c>
      <c r="G34" s="105">
        <v>7.16</v>
      </c>
    </row>
    <row r="35" spans="1:11" x14ac:dyDescent="0.3">
      <c r="A35" s="26">
        <v>45993</v>
      </c>
      <c r="B35" s="27" t="s">
        <v>4</v>
      </c>
      <c r="C35" s="24">
        <v>-79.45</v>
      </c>
    </row>
    <row r="36" spans="1:11" x14ac:dyDescent="0.3">
      <c r="A36" s="26">
        <v>45996</v>
      </c>
      <c r="B36" s="27" t="s">
        <v>1</v>
      </c>
      <c r="C36" s="24">
        <f>49.14-G36</f>
        <v>46.67</v>
      </c>
      <c r="G36" s="24">
        <v>2.4700000000000002</v>
      </c>
      <c r="K36" s="18">
        <f>628.24/254.8705</f>
        <v>2.4649380763956596</v>
      </c>
    </row>
    <row r="37" spans="1:11" x14ac:dyDescent="0.3">
      <c r="A37" s="26">
        <v>46010</v>
      </c>
      <c r="B37" s="27" t="s">
        <v>4</v>
      </c>
      <c r="C37" s="24">
        <v>-3.65</v>
      </c>
    </row>
    <row r="38" spans="1:11" x14ac:dyDescent="0.3">
      <c r="A38" s="26">
        <v>46010</v>
      </c>
      <c r="B38" s="27" t="s">
        <v>4</v>
      </c>
      <c r="C38" s="24">
        <v>-46.01</v>
      </c>
      <c r="G38" s="24">
        <v>-2.4700000000000002</v>
      </c>
    </row>
    <row r="39" spans="1:11" x14ac:dyDescent="0.3">
      <c r="A39" s="26">
        <v>46024</v>
      </c>
      <c r="B39" s="27" t="s">
        <v>23</v>
      </c>
      <c r="G39" s="24">
        <v>-7.16</v>
      </c>
    </row>
    <row r="40" spans="1:11" x14ac:dyDescent="0.3">
      <c r="A40" s="26">
        <v>46031</v>
      </c>
      <c r="B40" s="27" t="s">
        <v>1</v>
      </c>
      <c r="C40" s="24">
        <f>132.7-G40</f>
        <v>119.64999999999999</v>
      </c>
      <c r="G40" s="24">
        <v>13.05</v>
      </c>
    </row>
    <row r="41" spans="1:11" x14ac:dyDescent="0.3">
      <c r="A41" s="26">
        <v>46037</v>
      </c>
      <c r="B41" s="27" t="s">
        <v>4</v>
      </c>
      <c r="C41" s="24">
        <v>-119.65</v>
      </c>
      <c r="G41" s="24">
        <v>-13.05</v>
      </c>
    </row>
    <row r="42" spans="1:11" x14ac:dyDescent="0.3">
      <c r="A42" s="26">
        <v>46049</v>
      </c>
      <c r="B42" s="27" t="s">
        <v>1</v>
      </c>
      <c r="C42" s="24">
        <f>263.95-G42</f>
        <v>241.51999999999998</v>
      </c>
      <c r="G42" s="24">
        <v>22.43</v>
      </c>
    </row>
    <row r="43" spans="1:11" x14ac:dyDescent="0.3">
      <c r="A43" s="26">
        <v>46051</v>
      </c>
      <c r="B43" s="27" t="s">
        <v>4</v>
      </c>
      <c r="C43" s="24">
        <v>-3.14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C4720-BB86-44D1-BB8B-A3816BE1F7E5}">
  <sheetPr codeName="Hoja157"/>
  <dimension ref="A1:L45"/>
  <sheetViews>
    <sheetView view="pageBreakPreview" topLeftCell="A10" zoomScale="80" zoomScaleNormal="100" zoomScaleSheetLayoutView="80" workbookViewId="0">
      <selection activeCell="G41" sqref="G41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270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271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8.5400000000000009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45827</v>
      </c>
      <c r="B5" s="27" t="s">
        <v>4</v>
      </c>
      <c r="C5" s="24">
        <v>-15.6</v>
      </c>
      <c r="D5" s="30"/>
      <c r="E5" s="30"/>
      <c r="F5" s="30"/>
      <c r="G5" s="22"/>
    </row>
    <row r="6" spans="1:8" x14ac:dyDescent="0.3">
      <c r="A6" s="21">
        <v>45827</v>
      </c>
      <c r="B6" s="72" t="s">
        <v>21</v>
      </c>
      <c r="C6" s="24">
        <f>92.4-G6</f>
        <v>84.460000000000008</v>
      </c>
      <c r="G6" s="24">
        <v>7.94</v>
      </c>
    </row>
    <row r="7" spans="1:8" x14ac:dyDescent="0.3">
      <c r="A7" s="26">
        <v>45828</v>
      </c>
      <c r="B7" s="27" t="s">
        <v>4</v>
      </c>
      <c r="C7" s="24">
        <v>-67.73</v>
      </c>
      <c r="H7" s="78"/>
    </row>
    <row r="8" spans="1:8" x14ac:dyDescent="0.3">
      <c r="A8" s="26">
        <v>45841</v>
      </c>
      <c r="B8" s="72" t="s">
        <v>21</v>
      </c>
      <c r="C8" s="24">
        <f>19.2-G8</f>
        <v>17.22</v>
      </c>
      <c r="G8" s="24">
        <v>1.98</v>
      </c>
    </row>
    <row r="9" spans="1:8" x14ac:dyDescent="0.3">
      <c r="A9" s="26">
        <v>45846</v>
      </c>
      <c r="B9" s="27" t="s">
        <v>23</v>
      </c>
      <c r="G9" s="24">
        <v>-7.94</v>
      </c>
    </row>
    <row r="10" spans="1:8" x14ac:dyDescent="0.3">
      <c r="A10" s="26">
        <v>45848</v>
      </c>
      <c r="B10" s="31" t="s">
        <v>4</v>
      </c>
      <c r="C10" s="24">
        <v>-16.61</v>
      </c>
    </row>
    <row r="11" spans="1:8" x14ac:dyDescent="0.3">
      <c r="A11" s="26">
        <v>45849</v>
      </c>
      <c r="B11" s="27" t="s">
        <v>23</v>
      </c>
      <c r="G11" s="24">
        <v>-1.98</v>
      </c>
    </row>
    <row r="12" spans="1:8" x14ac:dyDescent="0.3">
      <c r="A12" s="26">
        <v>45849</v>
      </c>
      <c r="B12" s="72" t="s">
        <v>21</v>
      </c>
      <c r="C12" s="24">
        <f>76.8-G12</f>
        <v>68.86</v>
      </c>
      <c r="G12" s="24">
        <v>7.94</v>
      </c>
    </row>
    <row r="13" spans="1:8" x14ac:dyDescent="0.3">
      <c r="A13" s="26">
        <v>45855</v>
      </c>
      <c r="B13" s="27" t="s">
        <v>23</v>
      </c>
      <c r="G13" s="24">
        <v>-7.94</v>
      </c>
    </row>
    <row r="14" spans="1:8" x14ac:dyDescent="0.3">
      <c r="A14" s="26">
        <v>45862</v>
      </c>
      <c r="B14" s="27" t="s">
        <v>4</v>
      </c>
      <c r="C14" s="24">
        <v>-68.31</v>
      </c>
    </row>
    <row r="15" spans="1:8" x14ac:dyDescent="0.3">
      <c r="A15" s="26">
        <v>45862</v>
      </c>
      <c r="B15" s="72" t="s">
        <v>21</v>
      </c>
      <c r="C15" s="24">
        <f>57.6-G15</f>
        <v>51.65</v>
      </c>
      <c r="G15" s="24">
        <v>5.95</v>
      </c>
    </row>
    <row r="16" spans="1:8" x14ac:dyDescent="0.3">
      <c r="A16" s="26">
        <v>45866</v>
      </c>
      <c r="B16" s="27" t="s">
        <v>4</v>
      </c>
      <c r="C16" s="24">
        <v>-51.59</v>
      </c>
      <c r="G16" s="24">
        <v>-5.95</v>
      </c>
    </row>
    <row r="17" spans="1:7" x14ac:dyDescent="0.3">
      <c r="A17" s="26">
        <v>45876</v>
      </c>
      <c r="B17" s="72" t="s">
        <v>21</v>
      </c>
      <c r="C17" s="24">
        <f>76.8-G17</f>
        <v>68.86</v>
      </c>
      <c r="G17" s="24">
        <v>7.94</v>
      </c>
    </row>
    <row r="18" spans="1:7" x14ac:dyDescent="0.3">
      <c r="A18" s="26">
        <v>45880</v>
      </c>
      <c r="B18" s="27" t="s">
        <v>4</v>
      </c>
      <c r="C18" s="24">
        <v>-67.77</v>
      </c>
      <c r="G18" s="24">
        <v>-3.97</v>
      </c>
    </row>
    <row r="19" spans="1:7" x14ac:dyDescent="0.3">
      <c r="A19" s="26">
        <v>45881</v>
      </c>
      <c r="B19" s="27" t="s">
        <v>4</v>
      </c>
      <c r="G19" s="24">
        <v>-3.97</v>
      </c>
    </row>
    <row r="20" spans="1:7" x14ac:dyDescent="0.3">
      <c r="A20" s="26">
        <v>45890</v>
      </c>
      <c r="B20" s="27" t="s">
        <v>4</v>
      </c>
      <c r="C20" s="24">
        <v>-23.19</v>
      </c>
    </row>
    <row r="21" spans="1:7" x14ac:dyDescent="0.3">
      <c r="A21" s="26">
        <v>45890</v>
      </c>
      <c r="B21" s="72" t="s">
        <v>21</v>
      </c>
      <c r="C21" s="24">
        <f>100.2-G21</f>
        <v>92.26</v>
      </c>
      <c r="G21" s="24">
        <v>7.94</v>
      </c>
    </row>
    <row r="22" spans="1:7" x14ac:dyDescent="0.3">
      <c r="A22" s="26">
        <v>45891</v>
      </c>
      <c r="B22" s="27" t="s">
        <v>4</v>
      </c>
      <c r="C22" s="24">
        <v>-68.239999999999995</v>
      </c>
    </row>
    <row r="23" spans="1:7" x14ac:dyDescent="0.3">
      <c r="A23" s="26">
        <v>45895</v>
      </c>
      <c r="B23" s="27" t="s">
        <v>23</v>
      </c>
      <c r="G23" s="24">
        <v>-3.97</v>
      </c>
    </row>
    <row r="24" spans="1:7" x14ac:dyDescent="0.3">
      <c r="A24" s="26">
        <v>45895</v>
      </c>
      <c r="B24" s="27" t="s">
        <v>23</v>
      </c>
      <c r="G24" s="24">
        <v>-3.97</v>
      </c>
    </row>
    <row r="25" spans="1:7" x14ac:dyDescent="0.3">
      <c r="A25" s="26">
        <v>45911</v>
      </c>
      <c r="B25" s="72" t="s">
        <v>21</v>
      </c>
      <c r="C25" s="24">
        <f>96-G25</f>
        <v>86.07</v>
      </c>
      <c r="G25" s="24">
        <v>9.93</v>
      </c>
    </row>
    <row r="26" spans="1:7" x14ac:dyDescent="0.3">
      <c r="A26" s="26">
        <v>45932</v>
      </c>
      <c r="B26" s="27" t="s">
        <v>4</v>
      </c>
      <c r="C26" s="24">
        <v>-85.42</v>
      </c>
    </row>
    <row r="27" spans="1:7" x14ac:dyDescent="0.3">
      <c r="A27" s="26">
        <v>45932</v>
      </c>
      <c r="B27" s="27" t="s">
        <v>4</v>
      </c>
      <c r="C27" s="24">
        <v>-4.2699999999999996</v>
      </c>
      <c r="G27" s="24">
        <v>-9.93</v>
      </c>
    </row>
    <row r="28" spans="1:7" x14ac:dyDescent="0.3">
      <c r="A28" s="26">
        <v>45932</v>
      </c>
      <c r="B28" s="72" t="s">
        <v>21</v>
      </c>
      <c r="C28" s="24">
        <f>57.6-G28</f>
        <v>51.65</v>
      </c>
      <c r="G28" s="24">
        <v>5.95</v>
      </c>
    </row>
    <row r="29" spans="1:7" x14ac:dyDescent="0.3">
      <c r="A29" s="26">
        <v>45938</v>
      </c>
      <c r="B29" s="27" t="s">
        <v>4</v>
      </c>
      <c r="C29" s="24">
        <v>-49.47</v>
      </c>
      <c r="G29" s="24">
        <v>-5.95</v>
      </c>
    </row>
    <row r="30" spans="1:7" x14ac:dyDescent="0.3">
      <c r="A30" s="26">
        <v>45946</v>
      </c>
      <c r="B30" s="72" t="s">
        <v>21</v>
      </c>
      <c r="C30" s="24">
        <f>57.6-G30</f>
        <v>51.65</v>
      </c>
      <c r="G30" s="24">
        <v>5.95</v>
      </c>
    </row>
    <row r="31" spans="1:7" x14ac:dyDescent="0.3">
      <c r="A31" s="26">
        <v>45946</v>
      </c>
      <c r="B31" s="72" t="s">
        <v>21</v>
      </c>
      <c r="C31" s="24">
        <v>15.6</v>
      </c>
    </row>
    <row r="32" spans="1:7" x14ac:dyDescent="0.3">
      <c r="A32" s="26">
        <v>45948</v>
      </c>
      <c r="B32" s="27" t="s">
        <v>4</v>
      </c>
      <c r="C32" s="24">
        <v>-50.58</v>
      </c>
      <c r="G32" s="24">
        <v>-5.95</v>
      </c>
    </row>
    <row r="33" spans="1:12" x14ac:dyDescent="0.3">
      <c r="A33" s="26">
        <v>45953</v>
      </c>
      <c r="B33" s="72" t="s">
        <v>21</v>
      </c>
      <c r="C33" s="24">
        <f>38.4-G33</f>
        <v>34.43</v>
      </c>
      <c r="G33" s="24">
        <v>3.97</v>
      </c>
    </row>
    <row r="34" spans="1:12" x14ac:dyDescent="0.3">
      <c r="A34" s="26">
        <v>45953</v>
      </c>
      <c r="B34" s="72" t="s">
        <v>21</v>
      </c>
      <c r="C34" s="24">
        <v>23.5</v>
      </c>
    </row>
    <row r="35" spans="1:12" x14ac:dyDescent="0.3">
      <c r="A35" s="26">
        <v>45960</v>
      </c>
      <c r="B35" s="27" t="s">
        <v>23</v>
      </c>
      <c r="G35" s="24">
        <v>-3.97</v>
      </c>
    </row>
    <row r="36" spans="1:12" x14ac:dyDescent="0.3">
      <c r="A36" s="26">
        <v>45966</v>
      </c>
      <c r="B36" s="27" t="s">
        <v>4</v>
      </c>
      <c r="C36" s="24">
        <v>-16.350000000000001</v>
      </c>
    </row>
    <row r="37" spans="1:12" x14ac:dyDescent="0.3">
      <c r="A37" s="26">
        <v>45967</v>
      </c>
      <c r="B37" s="27" t="s">
        <v>4</v>
      </c>
      <c r="C37" s="24">
        <v>-23.35</v>
      </c>
    </row>
    <row r="38" spans="1:12" x14ac:dyDescent="0.3">
      <c r="A38" s="26">
        <v>45967</v>
      </c>
      <c r="B38" s="72" t="s">
        <v>21</v>
      </c>
      <c r="C38" s="24">
        <f>76.8-G38</f>
        <v>69.06</v>
      </c>
      <c r="G38" s="24">
        <v>7.74</v>
      </c>
    </row>
    <row r="39" spans="1:12" x14ac:dyDescent="0.3">
      <c r="A39" s="26">
        <v>45974</v>
      </c>
      <c r="B39" s="27" t="s">
        <v>4</v>
      </c>
      <c r="C39" s="24">
        <v>-16.350000000000001</v>
      </c>
      <c r="I39" s="18">
        <f>+C38/1.16</f>
        <v>59.534482758620697</v>
      </c>
      <c r="L39" s="18">
        <f>400.16/201.4665</f>
        <v>1.9862359250793558</v>
      </c>
    </row>
    <row r="40" spans="1:12" x14ac:dyDescent="0.3">
      <c r="A40" s="26">
        <v>45998</v>
      </c>
      <c r="B40" s="27" t="s">
        <v>4</v>
      </c>
      <c r="C40" s="24">
        <v>-33.08</v>
      </c>
      <c r="G40" s="24">
        <v>-7.74</v>
      </c>
      <c r="I40" s="18">
        <f>+I39*0.16</f>
        <v>9.5255172413793119</v>
      </c>
      <c r="L40" s="18">
        <f>800.31/201.4665</f>
        <v>3.9724222141150016</v>
      </c>
    </row>
    <row r="41" spans="1:12" x14ac:dyDescent="0.3">
      <c r="A41" s="26">
        <v>45998</v>
      </c>
      <c r="B41" s="27" t="s">
        <v>4</v>
      </c>
      <c r="C41" s="24">
        <v>-33.08</v>
      </c>
      <c r="I41" s="18">
        <f>+I40*0.75</f>
        <v>7.1441379310344839</v>
      </c>
    </row>
    <row r="42" spans="1:12" x14ac:dyDescent="0.3">
      <c r="A42" s="26">
        <v>46001</v>
      </c>
      <c r="B42" s="27" t="s">
        <v>4</v>
      </c>
      <c r="C42" s="24">
        <v>-15.74</v>
      </c>
    </row>
    <row r="44" spans="1:12" x14ac:dyDescent="0.3">
      <c r="K44" s="18">
        <f>903.95/233.5576</f>
        <v>3.8703514679034208</v>
      </c>
    </row>
    <row r="45" spans="1:12" x14ac:dyDescent="0.3">
      <c r="K45" s="18">
        <v>3.87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1066-3E79-4BE2-938D-99E9A4FEC2D0}">
  <dimension ref="A1:L40"/>
  <sheetViews>
    <sheetView view="pageBreakPreview" zoomScale="80" zoomScaleNormal="100" zoomScaleSheetLayoutView="80" workbookViewId="0">
      <selection sqref="A1:H3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489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45962</v>
      </c>
      <c r="B5" s="27" t="s">
        <v>4</v>
      </c>
      <c r="C5" s="24">
        <v>-37.35</v>
      </c>
      <c r="D5" s="30"/>
      <c r="E5" s="30"/>
      <c r="F5" s="30"/>
      <c r="G5" s="22"/>
    </row>
    <row r="6" spans="1:8" x14ac:dyDescent="0.3">
      <c r="A6" s="21">
        <v>45961</v>
      </c>
      <c r="B6" s="27" t="s">
        <v>21</v>
      </c>
      <c r="C6" s="24">
        <v>37.35</v>
      </c>
    </row>
    <row r="7" spans="1:8" x14ac:dyDescent="0.3">
      <c r="H7" s="78"/>
    </row>
    <row r="8" spans="1:8" x14ac:dyDescent="0.3">
      <c r="B8" s="72"/>
    </row>
    <row r="10" spans="1:8" x14ac:dyDescent="0.3">
      <c r="B10" s="31"/>
    </row>
    <row r="12" spans="1:8" x14ac:dyDescent="0.3">
      <c r="B12" s="72"/>
    </row>
    <row r="15" spans="1:8" x14ac:dyDescent="0.3">
      <c r="B15" s="72"/>
    </row>
    <row r="17" spans="2:2" x14ac:dyDescent="0.3">
      <c r="B17" s="72"/>
    </row>
    <row r="21" spans="2:2" x14ac:dyDescent="0.3">
      <c r="B21" s="72"/>
    </row>
    <row r="25" spans="2:2" x14ac:dyDescent="0.3">
      <c r="B25" s="72"/>
    </row>
    <row r="28" spans="2:2" x14ac:dyDescent="0.3">
      <c r="B28" s="72"/>
    </row>
    <row r="30" spans="2:2" x14ac:dyDescent="0.3">
      <c r="B30" s="72"/>
    </row>
    <row r="31" spans="2:2" x14ac:dyDescent="0.3">
      <c r="B31" s="72"/>
    </row>
    <row r="33" spans="2:12" x14ac:dyDescent="0.3">
      <c r="B33" s="72"/>
    </row>
    <row r="34" spans="2:12" x14ac:dyDescent="0.3">
      <c r="B34" s="72"/>
    </row>
    <row r="39" spans="2:12" x14ac:dyDescent="0.3">
      <c r="L39" s="18">
        <f>400.16/201.4665</f>
        <v>1.9862359250793558</v>
      </c>
    </row>
    <row r="40" spans="2:12" x14ac:dyDescent="0.3">
      <c r="L40" s="18">
        <f>800.31/201.4665</f>
        <v>3.9724222141150016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A4FE-9305-4F70-AFFF-EC3FAFF28864}">
  <sheetPr codeName="Hoja158"/>
  <dimension ref="A1:H28"/>
  <sheetViews>
    <sheetView view="pageBreakPreview" zoomScale="80" zoomScaleNormal="100" zoomScaleSheetLayoutView="80" workbookViewId="0">
      <selection activeCell="C29" sqref="C2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225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226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17.249999999999996</v>
      </c>
      <c r="D3" s="20">
        <f>SUM(D$4:D$1048576)</f>
        <v>1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45821</v>
      </c>
      <c r="B5" s="32" t="s">
        <v>21</v>
      </c>
      <c r="C5" s="24">
        <v>31.7</v>
      </c>
      <c r="D5" s="30"/>
      <c r="E5" s="30"/>
      <c r="F5" s="30"/>
      <c r="G5" s="22"/>
    </row>
    <row r="6" spans="1:8" hidden="1" x14ac:dyDescent="0.3">
      <c r="A6" s="21">
        <v>45834</v>
      </c>
      <c r="B6" s="27" t="s">
        <v>4</v>
      </c>
      <c r="C6" s="24">
        <v>-31.7</v>
      </c>
    </row>
    <row r="7" spans="1:8" hidden="1" x14ac:dyDescent="0.3">
      <c r="A7" s="21">
        <v>45840</v>
      </c>
      <c r="B7" s="32" t="s">
        <v>21</v>
      </c>
      <c r="C7" s="24">
        <v>31.7</v>
      </c>
    </row>
    <row r="8" spans="1:8" hidden="1" x14ac:dyDescent="0.3">
      <c r="A8" s="26">
        <v>45854</v>
      </c>
      <c r="B8" s="27" t="s">
        <v>4</v>
      </c>
      <c r="C8" s="24">
        <v>-31.7</v>
      </c>
    </row>
    <row r="9" spans="1:8" hidden="1" x14ac:dyDescent="0.3">
      <c r="A9" s="26">
        <v>45854</v>
      </c>
      <c r="B9" s="32" t="s">
        <v>21</v>
      </c>
      <c r="C9" s="24">
        <v>15.85</v>
      </c>
    </row>
    <row r="10" spans="1:8" hidden="1" x14ac:dyDescent="0.3">
      <c r="A10" s="26">
        <v>45876</v>
      </c>
      <c r="B10" s="31" t="s">
        <v>4</v>
      </c>
      <c r="C10" s="24">
        <v>-15.75</v>
      </c>
    </row>
    <row r="11" spans="1:8" hidden="1" x14ac:dyDescent="0.3">
      <c r="A11" s="26">
        <v>45877</v>
      </c>
      <c r="B11" s="32" t="s">
        <v>21</v>
      </c>
      <c r="C11" s="24">
        <v>15.85</v>
      </c>
    </row>
    <row r="12" spans="1:8" hidden="1" x14ac:dyDescent="0.3">
      <c r="A12" s="26">
        <v>45882</v>
      </c>
      <c r="B12" s="32" t="s">
        <v>21</v>
      </c>
      <c r="C12" s="24">
        <v>15.85</v>
      </c>
    </row>
    <row r="13" spans="1:8" hidden="1" x14ac:dyDescent="0.3">
      <c r="A13" s="26">
        <v>45897</v>
      </c>
      <c r="B13" s="27" t="s">
        <v>4</v>
      </c>
      <c r="C13" s="24">
        <v>-31.8</v>
      </c>
    </row>
    <row r="14" spans="1:8" hidden="1" x14ac:dyDescent="0.3">
      <c r="A14" s="26">
        <v>45903</v>
      </c>
      <c r="B14" s="32" t="s">
        <v>21</v>
      </c>
      <c r="C14" s="24">
        <v>31.7</v>
      </c>
    </row>
    <row r="15" spans="1:8" hidden="1" x14ac:dyDescent="0.3">
      <c r="A15" s="26">
        <v>45915</v>
      </c>
      <c r="B15" s="27" t="s">
        <v>4</v>
      </c>
      <c r="C15" s="24">
        <v>-31.82</v>
      </c>
    </row>
    <row r="16" spans="1:8" hidden="1" x14ac:dyDescent="0.3">
      <c r="A16" s="26">
        <v>45918</v>
      </c>
      <c r="B16" s="32" t="s">
        <v>21</v>
      </c>
      <c r="C16" s="24">
        <v>15.85</v>
      </c>
    </row>
    <row r="17" spans="1:4" hidden="1" x14ac:dyDescent="0.3">
      <c r="A17" s="26">
        <v>45924</v>
      </c>
      <c r="B17" s="27" t="s">
        <v>4</v>
      </c>
      <c r="C17" s="24">
        <v>-15.86</v>
      </c>
    </row>
    <row r="18" spans="1:4" hidden="1" x14ac:dyDescent="0.3">
      <c r="A18" s="26">
        <v>45924</v>
      </c>
      <c r="B18" s="32" t="s">
        <v>21</v>
      </c>
      <c r="C18" s="24">
        <v>15.85</v>
      </c>
    </row>
    <row r="19" spans="1:4" hidden="1" x14ac:dyDescent="0.3">
      <c r="A19" s="26">
        <v>45947</v>
      </c>
      <c r="B19" s="27" t="s">
        <v>4</v>
      </c>
      <c r="C19" s="24">
        <v>-15.85</v>
      </c>
    </row>
    <row r="20" spans="1:4" hidden="1" x14ac:dyDescent="0.3">
      <c r="A20" s="26">
        <v>45952</v>
      </c>
      <c r="B20" s="32" t="s">
        <v>21</v>
      </c>
      <c r="C20" s="24">
        <v>32.76</v>
      </c>
    </row>
    <row r="21" spans="1:4" hidden="1" x14ac:dyDescent="0.3">
      <c r="A21" s="26">
        <v>45966</v>
      </c>
      <c r="B21" s="27" t="s">
        <v>4</v>
      </c>
      <c r="C21" s="24">
        <v>-33</v>
      </c>
    </row>
    <row r="22" spans="1:4" hidden="1" x14ac:dyDescent="0.3">
      <c r="A22" s="26">
        <v>45966</v>
      </c>
      <c r="B22" s="32" t="s">
        <v>21</v>
      </c>
      <c r="C22" s="24">
        <v>16.38</v>
      </c>
    </row>
    <row r="23" spans="1:4" hidden="1" x14ac:dyDescent="0.3">
      <c r="A23" s="26">
        <v>45980</v>
      </c>
      <c r="B23" s="27" t="s">
        <v>4</v>
      </c>
      <c r="C23" s="24">
        <v>-16.399999999999999</v>
      </c>
    </row>
    <row r="24" spans="1:4" x14ac:dyDescent="0.3">
      <c r="A24" s="26">
        <v>45994</v>
      </c>
      <c r="B24" s="27" t="s">
        <v>1</v>
      </c>
      <c r="C24" s="24">
        <v>16.38</v>
      </c>
    </row>
    <row r="25" spans="1:4" x14ac:dyDescent="0.3">
      <c r="A25" s="26">
        <v>46009</v>
      </c>
      <c r="B25" s="27" t="s">
        <v>4</v>
      </c>
      <c r="C25" s="24">
        <v>-16.399999999999999</v>
      </c>
    </row>
    <row r="26" spans="1:4" x14ac:dyDescent="0.3">
      <c r="A26" s="26">
        <v>46014</v>
      </c>
      <c r="B26" s="27" t="s">
        <v>1</v>
      </c>
      <c r="C26" s="24">
        <v>16.38</v>
      </c>
      <c r="D26" s="25">
        <v>1</v>
      </c>
    </row>
    <row r="27" spans="1:4" x14ac:dyDescent="0.3">
      <c r="A27" s="26">
        <v>46030</v>
      </c>
      <c r="B27" s="27" t="s">
        <v>4</v>
      </c>
      <c r="C27" s="24">
        <v>-16</v>
      </c>
    </row>
    <row r="28" spans="1:4" x14ac:dyDescent="0.3">
      <c r="A28" s="26">
        <v>46036</v>
      </c>
      <c r="B28" s="27" t="s">
        <v>1</v>
      </c>
      <c r="C28" s="24">
        <v>17.28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222C6-A57F-4C12-97CA-BC95829F012A}">
  <dimension ref="A1:H11"/>
  <sheetViews>
    <sheetView view="pageBreakPreview" zoomScale="80" zoomScaleNormal="100" zoomScaleSheetLayoutView="80" workbookViewId="0">
      <selection activeCell="C12" sqref="C1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535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15.7</v>
      </c>
      <c r="D3" s="20">
        <f>SUM(D$4:D$1048576)</f>
        <v>1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46035</v>
      </c>
      <c r="B5" s="27" t="s">
        <v>21</v>
      </c>
      <c r="C5" s="24">
        <v>27.28</v>
      </c>
      <c r="D5" s="30">
        <v>1</v>
      </c>
      <c r="E5" s="30"/>
      <c r="F5" s="30"/>
      <c r="G5" s="22"/>
    </row>
    <row r="6" spans="1:8" x14ac:dyDescent="0.3">
      <c r="A6" s="21">
        <v>46037</v>
      </c>
      <c r="B6" s="27" t="s">
        <v>4</v>
      </c>
      <c r="C6" s="24">
        <v>-27.28</v>
      </c>
    </row>
    <row r="7" spans="1:8" x14ac:dyDescent="0.3">
      <c r="A7" s="21">
        <v>46042</v>
      </c>
      <c r="B7" s="27" t="s">
        <v>1</v>
      </c>
      <c r="C7" s="24">
        <v>10</v>
      </c>
    </row>
    <row r="8" spans="1:8" x14ac:dyDescent="0.3">
      <c r="A8" s="26">
        <v>46049</v>
      </c>
      <c r="B8" s="27" t="s">
        <v>4</v>
      </c>
      <c r="C8" s="24">
        <v>-10</v>
      </c>
    </row>
    <row r="9" spans="1:8" x14ac:dyDescent="0.3">
      <c r="A9" s="26">
        <v>46049</v>
      </c>
      <c r="B9" s="27" t="s">
        <v>1</v>
      </c>
      <c r="C9" s="24">
        <v>25.74</v>
      </c>
    </row>
    <row r="10" spans="1:8" x14ac:dyDescent="0.3">
      <c r="A10" s="26">
        <v>46056</v>
      </c>
      <c r="B10" s="27" t="s">
        <v>4</v>
      </c>
      <c r="C10" s="24">
        <v>-25.74</v>
      </c>
    </row>
    <row r="11" spans="1:8" x14ac:dyDescent="0.3">
      <c r="A11" s="26">
        <v>46056</v>
      </c>
      <c r="B11" s="27" t="s">
        <v>1</v>
      </c>
      <c r="C11" s="24">
        <v>15.7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38BF-9CAA-4794-A12E-DAA5169E4EAB}">
  <sheetPr codeName="Hoja159"/>
  <dimension ref="A1:H46"/>
  <sheetViews>
    <sheetView view="pageBreakPreview" zoomScale="80" zoomScaleNormal="100" zoomScaleSheetLayoutView="80" workbookViewId="0">
      <selection activeCell="C47" sqref="C4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265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193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73.770000000000039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45820</v>
      </c>
      <c r="B5" s="32" t="s">
        <v>21</v>
      </c>
      <c r="C5" s="24">
        <v>47.38</v>
      </c>
      <c r="D5" s="30"/>
      <c r="E5" s="30"/>
      <c r="F5" s="30"/>
      <c r="G5" s="22"/>
    </row>
    <row r="6" spans="1:8" x14ac:dyDescent="0.3">
      <c r="A6" s="21">
        <v>45827</v>
      </c>
      <c r="B6" s="27" t="s">
        <v>4</v>
      </c>
      <c r="C6" s="24">
        <v>-47.04</v>
      </c>
    </row>
    <row r="7" spans="1:8" x14ac:dyDescent="0.3">
      <c r="A7" s="21">
        <v>45827</v>
      </c>
      <c r="B7" s="32" t="s">
        <v>21</v>
      </c>
      <c r="C7" s="24">
        <v>68.53</v>
      </c>
    </row>
    <row r="8" spans="1:8" x14ac:dyDescent="0.3">
      <c r="A8" s="26">
        <v>45833</v>
      </c>
      <c r="B8" s="32" t="s">
        <v>21</v>
      </c>
      <c r="C8" s="24">
        <v>72</v>
      </c>
    </row>
    <row r="9" spans="1:8" x14ac:dyDescent="0.3">
      <c r="A9" s="26">
        <v>45835</v>
      </c>
      <c r="B9" s="27" t="s">
        <v>4</v>
      </c>
      <c r="C9" s="24">
        <v>-68.55</v>
      </c>
    </row>
    <row r="10" spans="1:8" x14ac:dyDescent="0.3">
      <c r="A10" s="26">
        <v>45840</v>
      </c>
      <c r="B10" s="32" t="s">
        <v>21</v>
      </c>
      <c r="C10" s="24">
        <v>72</v>
      </c>
    </row>
    <row r="11" spans="1:8" x14ac:dyDescent="0.3">
      <c r="A11" s="26">
        <v>45842</v>
      </c>
      <c r="B11" s="27" t="s">
        <v>4</v>
      </c>
      <c r="C11" s="24">
        <v>-71.819999999999993</v>
      </c>
    </row>
    <row r="12" spans="1:8" x14ac:dyDescent="0.3">
      <c r="A12" s="26">
        <v>45848</v>
      </c>
      <c r="B12" s="31" t="s">
        <v>4</v>
      </c>
      <c r="C12" s="24">
        <v>-72.53</v>
      </c>
    </row>
    <row r="13" spans="1:8" x14ac:dyDescent="0.3">
      <c r="A13" s="26">
        <v>45848</v>
      </c>
      <c r="B13" s="32" t="s">
        <v>21</v>
      </c>
      <c r="C13" s="24">
        <v>157.80000000000001</v>
      </c>
    </row>
    <row r="14" spans="1:8" x14ac:dyDescent="0.3">
      <c r="A14" s="26">
        <v>45859</v>
      </c>
      <c r="B14" s="27" t="s">
        <v>4</v>
      </c>
      <c r="C14" s="24">
        <v>-92.32</v>
      </c>
    </row>
    <row r="15" spans="1:8" x14ac:dyDescent="0.3">
      <c r="A15" s="26">
        <v>45861</v>
      </c>
      <c r="B15" s="27" t="s">
        <v>4</v>
      </c>
      <c r="C15" s="24">
        <v>-65.599999999999994</v>
      </c>
    </row>
    <row r="16" spans="1:8" x14ac:dyDescent="0.3">
      <c r="A16" s="26">
        <v>45861</v>
      </c>
      <c r="B16" s="32" t="s">
        <v>21</v>
      </c>
      <c r="C16" s="24">
        <v>115.8</v>
      </c>
    </row>
    <row r="17" spans="1:3" x14ac:dyDescent="0.3">
      <c r="A17" s="26">
        <v>45870</v>
      </c>
      <c r="B17" s="27" t="s">
        <v>4</v>
      </c>
      <c r="C17" s="24">
        <v>-114.97</v>
      </c>
    </row>
    <row r="18" spans="1:3" x14ac:dyDescent="0.3">
      <c r="A18" s="26">
        <v>45869</v>
      </c>
      <c r="B18" s="32" t="s">
        <v>21</v>
      </c>
      <c r="C18" s="24">
        <v>99.2</v>
      </c>
    </row>
    <row r="19" spans="1:3" x14ac:dyDescent="0.3">
      <c r="A19" s="26">
        <v>45876</v>
      </c>
      <c r="B19" s="32" t="s">
        <v>21</v>
      </c>
      <c r="C19" s="24">
        <v>75.2</v>
      </c>
    </row>
    <row r="20" spans="1:3" x14ac:dyDescent="0.3">
      <c r="A20" s="26">
        <v>45887</v>
      </c>
      <c r="B20" s="27" t="s">
        <v>4</v>
      </c>
      <c r="C20" s="24">
        <v>-73.05</v>
      </c>
    </row>
    <row r="21" spans="1:3" x14ac:dyDescent="0.3">
      <c r="A21" s="26">
        <v>45890</v>
      </c>
      <c r="B21" s="27" t="s">
        <v>4</v>
      </c>
      <c r="C21" s="24">
        <v>-15.7</v>
      </c>
    </row>
    <row r="22" spans="1:3" x14ac:dyDescent="0.3">
      <c r="A22" s="26">
        <v>45890</v>
      </c>
      <c r="B22" s="32" t="s">
        <v>21</v>
      </c>
      <c r="C22" s="24">
        <v>97.8</v>
      </c>
    </row>
    <row r="23" spans="1:3" x14ac:dyDescent="0.3">
      <c r="A23" s="26">
        <v>45897</v>
      </c>
      <c r="B23" s="27" t="s">
        <v>4</v>
      </c>
      <c r="C23" s="24">
        <v>-86.05</v>
      </c>
    </row>
    <row r="24" spans="1:3" x14ac:dyDescent="0.3">
      <c r="A24" s="26">
        <v>45897</v>
      </c>
      <c r="B24" s="32" t="s">
        <v>21</v>
      </c>
      <c r="C24" s="24">
        <v>75.2</v>
      </c>
    </row>
    <row r="25" spans="1:3" x14ac:dyDescent="0.3">
      <c r="A25" s="26">
        <v>45902</v>
      </c>
      <c r="B25" s="27" t="s">
        <v>4</v>
      </c>
      <c r="C25" s="24">
        <v>-70.73</v>
      </c>
    </row>
    <row r="26" spans="1:3" x14ac:dyDescent="0.3">
      <c r="A26" s="26">
        <v>45911</v>
      </c>
      <c r="B26" s="32" t="s">
        <v>21</v>
      </c>
      <c r="C26" s="24">
        <v>115.8</v>
      </c>
    </row>
    <row r="27" spans="1:3" x14ac:dyDescent="0.3">
      <c r="A27" s="26">
        <v>45923</v>
      </c>
      <c r="B27" s="27" t="s">
        <v>4</v>
      </c>
      <c r="C27" s="24">
        <v>-64.989999999999995</v>
      </c>
    </row>
    <row r="28" spans="1:3" x14ac:dyDescent="0.3">
      <c r="A28" s="26">
        <v>45925</v>
      </c>
      <c r="B28" s="27" t="s">
        <v>4</v>
      </c>
      <c r="C28" s="24">
        <v>-153.63</v>
      </c>
    </row>
    <row r="29" spans="1:3" x14ac:dyDescent="0.3">
      <c r="A29" s="26">
        <v>45925</v>
      </c>
      <c r="B29" s="32" t="s">
        <v>21</v>
      </c>
      <c r="C29" s="24">
        <v>102.4</v>
      </c>
    </row>
    <row r="30" spans="1:3" x14ac:dyDescent="0.3">
      <c r="A30" s="26">
        <v>45938</v>
      </c>
      <c r="B30" s="27" t="s">
        <v>4</v>
      </c>
      <c r="C30" s="24">
        <v>-105.68</v>
      </c>
    </row>
    <row r="31" spans="1:3" x14ac:dyDescent="0.3">
      <c r="A31" s="26">
        <v>45939</v>
      </c>
      <c r="B31" s="32" t="s">
        <v>21</v>
      </c>
      <c r="C31" s="24">
        <v>113</v>
      </c>
    </row>
    <row r="32" spans="1:3" x14ac:dyDescent="0.3">
      <c r="A32" s="26">
        <v>45953</v>
      </c>
      <c r="B32" s="27" t="s">
        <v>4</v>
      </c>
      <c r="C32" s="24">
        <v>-103.54</v>
      </c>
    </row>
    <row r="33" spans="1:3" x14ac:dyDescent="0.3">
      <c r="A33" s="26">
        <v>45953</v>
      </c>
      <c r="B33" s="27" t="s">
        <v>7</v>
      </c>
      <c r="C33" s="24">
        <v>-14.61</v>
      </c>
    </row>
    <row r="34" spans="1:3" x14ac:dyDescent="0.3">
      <c r="A34" s="26">
        <v>45953</v>
      </c>
      <c r="B34" s="32" t="s">
        <v>21</v>
      </c>
      <c r="C34" s="24">
        <v>102.4</v>
      </c>
    </row>
    <row r="35" spans="1:3" x14ac:dyDescent="0.3">
      <c r="A35" s="26">
        <v>45967</v>
      </c>
      <c r="B35" s="27" t="s">
        <v>4</v>
      </c>
      <c r="C35" s="24">
        <v>-102.39</v>
      </c>
    </row>
    <row r="36" spans="1:3" x14ac:dyDescent="0.3">
      <c r="A36" s="26">
        <v>45967</v>
      </c>
      <c r="B36" s="32" t="s">
        <v>21</v>
      </c>
      <c r="C36" s="24">
        <v>97.8</v>
      </c>
    </row>
    <row r="37" spans="1:3" x14ac:dyDescent="0.3">
      <c r="A37" s="26">
        <v>45988</v>
      </c>
      <c r="B37" s="27" t="s">
        <v>4</v>
      </c>
      <c r="C37" s="24">
        <v>-97.81</v>
      </c>
    </row>
    <row r="38" spans="1:3" x14ac:dyDescent="0.3">
      <c r="A38" s="26">
        <v>45988</v>
      </c>
      <c r="B38" s="27" t="s">
        <v>1</v>
      </c>
      <c r="C38" s="24">
        <v>74.11</v>
      </c>
    </row>
    <row r="39" spans="1:3" x14ac:dyDescent="0.3">
      <c r="A39" s="26">
        <v>46003</v>
      </c>
      <c r="B39" s="27" t="s">
        <v>1</v>
      </c>
      <c r="C39" s="24">
        <v>72.400000000000006</v>
      </c>
    </row>
    <row r="40" spans="1:3" x14ac:dyDescent="0.3">
      <c r="A40" s="26">
        <v>46009</v>
      </c>
      <c r="B40" s="27" t="s">
        <v>4</v>
      </c>
      <c r="C40" s="24">
        <v>-53.66</v>
      </c>
    </row>
    <row r="41" spans="1:3" x14ac:dyDescent="0.3">
      <c r="A41" s="26">
        <v>46009</v>
      </c>
      <c r="B41" s="27" t="s">
        <v>1</v>
      </c>
      <c r="C41" s="24">
        <v>67.5</v>
      </c>
    </row>
    <row r="42" spans="1:3" x14ac:dyDescent="0.3">
      <c r="A42" s="26">
        <v>46010</v>
      </c>
      <c r="B42" s="27" t="s">
        <v>4</v>
      </c>
      <c r="C42" s="24">
        <v>-53.09</v>
      </c>
    </row>
    <row r="43" spans="1:3" x14ac:dyDescent="0.3">
      <c r="A43" s="26">
        <v>46030</v>
      </c>
      <c r="B43" s="27" t="s">
        <v>1</v>
      </c>
      <c r="C43" s="24">
        <v>58.6</v>
      </c>
    </row>
    <row r="44" spans="1:3" x14ac:dyDescent="0.3">
      <c r="A44" s="26">
        <v>46044</v>
      </c>
      <c r="B44" s="27" t="s">
        <v>4</v>
      </c>
      <c r="C44" s="24">
        <v>-57.15</v>
      </c>
    </row>
    <row r="45" spans="1:3" x14ac:dyDescent="0.3">
      <c r="A45" s="26">
        <v>46044</v>
      </c>
      <c r="B45" s="27" t="s">
        <v>1</v>
      </c>
      <c r="C45" s="24">
        <v>45.2</v>
      </c>
    </row>
    <row r="46" spans="1:3" x14ac:dyDescent="0.3">
      <c r="A46" s="26">
        <v>46051</v>
      </c>
      <c r="B46" s="27" t="s">
        <v>4</v>
      </c>
      <c r="C46" s="24">
        <v>-71.44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6C83-3DC3-4751-83E8-11C3F8BA5368}">
  <sheetPr codeName="Hoja63"/>
  <dimension ref="A1:H58"/>
  <sheetViews>
    <sheetView view="pageBreakPreview" zoomScale="80" zoomScaleNormal="100" zoomScaleSheetLayoutView="80" workbookViewId="0">
      <selection activeCell="C59" sqref="C5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213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70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286.04000000000002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45814</v>
      </c>
      <c r="B5" s="31" t="s">
        <v>21</v>
      </c>
      <c r="C5" s="24">
        <v>20.8</v>
      </c>
      <c r="D5" s="30"/>
      <c r="E5" s="30"/>
      <c r="F5" s="30"/>
      <c r="G5" s="22"/>
    </row>
    <row r="6" spans="1:8" hidden="1" x14ac:dyDescent="0.3">
      <c r="A6" s="21">
        <v>45814</v>
      </c>
      <c r="B6" s="32" t="s">
        <v>21</v>
      </c>
      <c r="C6" s="24">
        <v>17.54</v>
      </c>
    </row>
    <row r="7" spans="1:8" hidden="1" x14ac:dyDescent="0.3">
      <c r="A7" s="21">
        <v>45814</v>
      </c>
      <c r="B7" s="50" t="s">
        <v>1</v>
      </c>
      <c r="C7" s="24">
        <v>14.64</v>
      </c>
    </row>
    <row r="8" spans="1:8" hidden="1" x14ac:dyDescent="0.3">
      <c r="A8" s="21">
        <v>45821</v>
      </c>
      <c r="B8" s="27" t="s">
        <v>4</v>
      </c>
      <c r="C8" s="24">
        <v>-52.98</v>
      </c>
    </row>
    <row r="9" spans="1:8" hidden="1" x14ac:dyDescent="0.3">
      <c r="A9" s="21">
        <v>45821</v>
      </c>
      <c r="B9" s="27" t="s">
        <v>1</v>
      </c>
      <c r="C9" s="24">
        <v>20.8</v>
      </c>
    </row>
    <row r="10" spans="1:8" hidden="1" x14ac:dyDescent="0.3">
      <c r="A10" s="21">
        <v>45821</v>
      </c>
      <c r="B10" s="34" t="s">
        <v>21</v>
      </c>
      <c r="C10" s="24">
        <v>86.66</v>
      </c>
    </row>
    <row r="11" spans="1:8" hidden="1" x14ac:dyDescent="0.3">
      <c r="A11" s="26">
        <v>45828</v>
      </c>
      <c r="B11" s="32" t="s">
        <v>21</v>
      </c>
      <c r="C11" s="24">
        <v>15.85</v>
      </c>
    </row>
    <row r="12" spans="1:8" hidden="1" x14ac:dyDescent="0.3">
      <c r="A12" s="26">
        <v>45828</v>
      </c>
      <c r="B12" s="34" t="s">
        <v>21</v>
      </c>
      <c r="C12" s="24">
        <v>60.68</v>
      </c>
    </row>
    <row r="13" spans="1:8" hidden="1" x14ac:dyDescent="0.3">
      <c r="A13" s="26">
        <v>45835</v>
      </c>
      <c r="B13" s="31" t="s">
        <v>4</v>
      </c>
      <c r="C13" s="24">
        <v>-168.44</v>
      </c>
    </row>
    <row r="14" spans="1:8" hidden="1" x14ac:dyDescent="0.3">
      <c r="A14" s="26">
        <v>45835</v>
      </c>
      <c r="B14" s="27" t="s">
        <v>1</v>
      </c>
      <c r="C14" s="24">
        <v>20.8</v>
      </c>
    </row>
    <row r="15" spans="1:8" hidden="1" x14ac:dyDescent="0.3">
      <c r="A15" s="26">
        <v>45835</v>
      </c>
      <c r="B15" s="32" t="s">
        <v>21</v>
      </c>
      <c r="C15" s="24">
        <v>244.87</v>
      </c>
    </row>
    <row r="16" spans="1:8" hidden="1" x14ac:dyDescent="0.3">
      <c r="A16" s="26">
        <v>45841</v>
      </c>
      <c r="B16" s="27" t="s">
        <v>1</v>
      </c>
      <c r="C16" s="24">
        <v>41.6</v>
      </c>
    </row>
    <row r="17" spans="1:3" hidden="1" x14ac:dyDescent="0.3">
      <c r="A17" s="26">
        <v>45841</v>
      </c>
      <c r="B17" s="32" t="s">
        <v>21</v>
      </c>
      <c r="C17" s="24">
        <v>15.85</v>
      </c>
    </row>
    <row r="18" spans="1:3" hidden="1" x14ac:dyDescent="0.3">
      <c r="A18" s="26">
        <v>45841</v>
      </c>
      <c r="B18" s="34" t="s">
        <v>21</v>
      </c>
      <c r="C18" s="24">
        <v>79.319999999999993</v>
      </c>
    </row>
    <row r="19" spans="1:3" hidden="1" x14ac:dyDescent="0.3">
      <c r="A19" s="26">
        <v>45849</v>
      </c>
      <c r="B19" s="27" t="s">
        <v>7</v>
      </c>
      <c r="C19" s="24">
        <v>-281.25</v>
      </c>
    </row>
    <row r="20" spans="1:3" hidden="1" x14ac:dyDescent="0.3">
      <c r="A20" s="26">
        <v>45856</v>
      </c>
      <c r="B20" s="27" t="s">
        <v>1</v>
      </c>
      <c r="C20" s="24">
        <v>20.8</v>
      </c>
    </row>
    <row r="21" spans="1:3" hidden="1" x14ac:dyDescent="0.3">
      <c r="A21" s="26">
        <v>45856</v>
      </c>
      <c r="B21" s="34" t="s">
        <v>21</v>
      </c>
      <c r="C21" s="24">
        <v>112.88</v>
      </c>
    </row>
    <row r="22" spans="1:3" hidden="1" x14ac:dyDescent="0.3">
      <c r="A22" s="26">
        <v>45876</v>
      </c>
      <c r="B22" s="27" t="s">
        <v>4</v>
      </c>
      <c r="C22" s="24">
        <v>-45.72</v>
      </c>
    </row>
    <row r="23" spans="1:3" hidden="1" x14ac:dyDescent="0.3">
      <c r="A23" s="26">
        <v>45876</v>
      </c>
      <c r="B23" s="27" t="s">
        <v>7</v>
      </c>
      <c r="C23" s="24">
        <v>-225.31</v>
      </c>
    </row>
    <row r="24" spans="1:3" hidden="1" x14ac:dyDescent="0.3">
      <c r="A24" s="26">
        <v>45876</v>
      </c>
      <c r="B24" s="27" t="s">
        <v>1</v>
      </c>
      <c r="C24" s="24">
        <v>20.8</v>
      </c>
    </row>
    <row r="25" spans="1:3" hidden="1" x14ac:dyDescent="0.3">
      <c r="A25" s="26">
        <v>45876</v>
      </c>
      <c r="B25" s="32" t="s">
        <v>21</v>
      </c>
      <c r="C25" s="24">
        <v>33.19</v>
      </c>
    </row>
    <row r="26" spans="1:3" hidden="1" x14ac:dyDescent="0.3">
      <c r="A26" s="26">
        <v>45876</v>
      </c>
      <c r="B26" s="34" t="s">
        <v>21</v>
      </c>
      <c r="C26" s="24">
        <v>380.94</v>
      </c>
    </row>
    <row r="27" spans="1:3" hidden="1" x14ac:dyDescent="0.3">
      <c r="A27" s="26">
        <v>45883</v>
      </c>
      <c r="B27" s="27" t="s">
        <v>4</v>
      </c>
      <c r="C27" s="24">
        <v>-54.96</v>
      </c>
    </row>
    <row r="28" spans="1:3" hidden="1" x14ac:dyDescent="0.3">
      <c r="A28" s="26">
        <v>45883</v>
      </c>
      <c r="B28" s="34" t="s">
        <v>21</v>
      </c>
      <c r="C28" s="24">
        <v>54.96</v>
      </c>
    </row>
    <row r="29" spans="1:3" hidden="1" x14ac:dyDescent="0.3">
      <c r="A29" s="26">
        <v>45890</v>
      </c>
      <c r="B29" s="27" t="s">
        <v>4</v>
      </c>
      <c r="C29" s="24">
        <v>-93.26</v>
      </c>
    </row>
    <row r="30" spans="1:3" hidden="1" x14ac:dyDescent="0.3">
      <c r="A30" s="26">
        <v>45904</v>
      </c>
      <c r="B30" s="27" t="s">
        <v>7</v>
      </c>
      <c r="C30" s="24">
        <v>-64.510000000000005</v>
      </c>
    </row>
    <row r="31" spans="1:3" hidden="1" x14ac:dyDescent="0.3">
      <c r="A31" s="26">
        <v>45911</v>
      </c>
      <c r="B31" s="27" t="s">
        <v>4</v>
      </c>
      <c r="C31" s="24">
        <v>-31.7</v>
      </c>
    </row>
    <row r="32" spans="1:3" hidden="1" x14ac:dyDescent="0.3">
      <c r="A32" s="26">
        <v>45922</v>
      </c>
      <c r="B32" s="27" t="s">
        <v>4</v>
      </c>
      <c r="C32" s="24">
        <v>-120.06</v>
      </c>
    </row>
    <row r="33" spans="1:3" hidden="1" x14ac:dyDescent="0.3">
      <c r="A33" s="26">
        <v>45925</v>
      </c>
      <c r="B33" s="27" t="s">
        <v>4</v>
      </c>
      <c r="C33" s="24">
        <v>-125</v>
      </c>
    </row>
    <row r="34" spans="1:3" hidden="1" x14ac:dyDescent="0.3">
      <c r="A34" s="26">
        <v>45925</v>
      </c>
      <c r="B34" s="34" t="s">
        <v>21</v>
      </c>
      <c r="C34" s="24">
        <v>135.16</v>
      </c>
    </row>
    <row r="35" spans="1:3" hidden="1" x14ac:dyDescent="0.3">
      <c r="A35" s="26">
        <v>45932</v>
      </c>
      <c r="B35" s="27" t="s">
        <v>4</v>
      </c>
      <c r="C35" s="24">
        <v>-137.88999999999999</v>
      </c>
    </row>
    <row r="36" spans="1:3" hidden="1" x14ac:dyDescent="0.3">
      <c r="A36" s="26">
        <v>45932</v>
      </c>
      <c r="B36" s="32" t="s">
        <v>21</v>
      </c>
      <c r="C36" s="24">
        <v>24.84</v>
      </c>
    </row>
    <row r="37" spans="1:3" hidden="1" x14ac:dyDescent="0.3">
      <c r="A37" s="26">
        <v>45932</v>
      </c>
      <c r="B37" s="34" t="s">
        <v>21</v>
      </c>
      <c r="C37" s="24">
        <v>353.15</v>
      </c>
    </row>
    <row r="38" spans="1:3" hidden="1" x14ac:dyDescent="0.3">
      <c r="A38" s="26">
        <v>45939</v>
      </c>
      <c r="B38" s="27" t="s">
        <v>4</v>
      </c>
      <c r="C38" s="24">
        <v>-38.86</v>
      </c>
    </row>
    <row r="39" spans="1:3" hidden="1" x14ac:dyDescent="0.3">
      <c r="A39" s="26">
        <v>45939</v>
      </c>
      <c r="B39" s="34" t="s">
        <v>21</v>
      </c>
      <c r="C39" s="24">
        <v>38.28</v>
      </c>
    </row>
    <row r="40" spans="1:3" hidden="1" x14ac:dyDescent="0.3">
      <c r="A40" s="26">
        <v>45946</v>
      </c>
      <c r="B40" s="27" t="s">
        <v>1</v>
      </c>
      <c r="C40" s="24">
        <v>23</v>
      </c>
    </row>
    <row r="41" spans="1:3" hidden="1" x14ac:dyDescent="0.3">
      <c r="A41" s="26">
        <v>45951</v>
      </c>
      <c r="B41" s="27" t="s">
        <v>4</v>
      </c>
      <c r="C41" s="24">
        <v>-81.77</v>
      </c>
    </row>
    <row r="42" spans="1:3" hidden="1" x14ac:dyDescent="0.3">
      <c r="A42" s="26">
        <v>45953</v>
      </c>
      <c r="B42" s="27" t="s">
        <v>4</v>
      </c>
      <c r="C42" s="24">
        <v>-84.71</v>
      </c>
    </row>
    <row r="43" spans="1:3" hidden="1" x14ac:dyDescent="0.3">
      <c r="A43" s="26">
        <v>45953</v>
      </c>
      <c r="B43" s="32" t="s">
        <v>21</v>
      </c>
      <c r="C43" s="24">
        <v>9.84</v>
      </c>
    </row>
    <row r="44" spans="1:3" hidden="1" x14ac:dyDescent="0.3">
      <c r="A44" s="26">
        <v>45953</v>
      </c>
      <c r="B44" s="34" t="s">
        <v>21</v>
      </c>
      <c r="C44" s="24">
        <v>143.28</v>
      </c>
    </row>
    <row r="45" spans="1:3" hidden="1" x14ac:dyDescent="0.3">
      <c r="A45" s="26">
        <v>45978</v>
      </c>
      <c r="B45" s="27" t="s">
        <v>4</v>
      </c>
      <c r="C45" s="24">
        <v>-84.58</v>
      </c>
    </row>
    <row r="46" spans="1:3" hidden="1" x14ac:dyDescent="0.3">
      <c r="A46" s="26">
        <v>45979</v>
      </c>
      <c r="B46" s="27" t="s">
        <v>4</v>
      </c>
      <c r="C46" s="24">
        <v>-118.22</v>
      </c>
    </row>
    <row r="47" spans="1:3" hidden="1" x14ac:dyDescent="0.3">
      <c r="A47" s="26">
        <v>45981</v>
      </c>
      <c r="B47" s="27" t="s">
        <v>4</v>
      </c>
      <c r="C47" s="24">
        <v>-158.12</v>
      </c>
    </row>
    <row r="48" spans="1:3" hidden="1" x14ac:dyDescent="0.3">
      <c r="A48" s="26">
        <v>45981</v>
      </c>
      <c r="B48" s="27" t="s">
        <v>7</v>
      </c>
      <c r="C48" s="24">
        <v>-24.1</v>
      </c>
    </row>
    <row r="49" spans="1:3" x14ac:dyDescent="0.3">
      <c r="A49" s="26">
        <v>45981</v>
      </c>
      <c r="B49" s="27" t="s">
        <v>1</v>
      </c>
      <c r="C49" s="24">
        <v>396.84</v>
      </c>
    </row>
    <row r="50" spans="1:3" x14ac:dyDescent="0.3">
      <c r="A50" s="26">
        <v>45992</v>
      </c>
      <c r="B50" s="27" t="s">
        <v>4</v>
      </c>
      <c r="C50" s="24">
        <v>-161.75</v>
      </c>
    </row>
    <row r="51" spans="1:3" x14ac:dyDescent="0.3">
      <c r="A51" s="26">
        <v>45995</v>
      </c>
      <c r="B51" s="27" t="s">
        <v>4</v>
      </c>
      <c r="C51" s="24">
        <v>-158.80000000000001</v>
      </c>
    </row>
    <row r="52" spans="1:3" x14ac:dyDescent="0.3">
      <c r="A52" s="26">
        <v>45995</v>
      </c>
      <c r="B52" s="27" t="s">
        <v>1</v>
      </c>
      <c r="C52" s="24">
        <v>429.94</v>
      </c>
    </row>
    <row r="53" spans="1:3" x14ac:dyDescent="0.3">
      <c r="A53" s="26">
        <v>45996</v>
      </c>
      <c r="B53" s="27" t="s">
        <v>4</v>
      </c>
      <c r="C53" s="24">
        <v>-20</v>
      </c>
    </row>
    <row r="54" spans="1:3" x14ac:dyDescent="0.3">
      <c r="A54" s="26">
        <v>46024</v>
      </c>
      <c r="B54" s="27" t="s">
        <v>4</v>
      </c>
      <c r="C54" s="24">
        <v>-199.09</v>
      </c>
    </row>
    <row r="55" spans="1:3" x14ac:dyDescent="0.3">
      <c r="A55" s="26">
        <v>46030</v>
      </c>
      <c r="B55" s="27" t="s">
        <v>4</v>
      </c>
      <c r="C55" s="24">
        <v>-205.59</v>
      </c>
    </row>
    <row r="56" spans="1:3" x14ac:dyDescent="0.3">
      <c r="A56" s="26">
        <v>46030</v>
      </c>
      <c r="B56" s="27" t="s">
        <v>4</v>
      </c>
      <c r="C56" s="24">
        <v>-59.18</v>
      </c>
    </row>
    <row r="57" spans="1:3" x14ac:dyDescent="0.3">
      <c r="A57" s="26">
        <v>46037</v>
      </c>
      <c r="B57" s="27" t="s">
        <v>1</v>
      </c>
      <c r="C57" s="24">
        <v>286.58</v>
      </c>
    </row>
    <row r="58" spans="1:3" x14ac:dyDescent="0.3">
      <c r="A58" s="26">
        <v>46037</v>
      </c>
      <c r="B58" s="27" t="s">
        <v>7</v>
      </c>
      <c r="C58" s="24">
        <v>-22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0F8B3-A6B6-4466-8CA4-FF816E6320AB}">
  <dimension ref="A1:H47"/>
  <sheetViews>
    <sheetView view="pageBreakPreview" zoomScale="80" zoomScaleNormal="100" zoomScaleSheetLayoutView="80" workbookViewId="0">
      <selection activeCell="C16" sqref="C1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507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208.03999999999996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45989</v>
      </c>
      <c r="B5" s="31" t="s">
        <v>1</v>
      </c>
      <c r="C5" s="24">
        <v>131.26</v>
      </c>
      <c r="D5" s="30"/>
      <c r="E5" s="30"/>
      <c r="F5" s="30"/>
      <c r="G5" s="22"/>
    </row>
    <row r="6" spans="1:8" x14ac:dyDescent="0.3">
      <c r="A6" s="21">
        <v>45995</v>
      </c>
      <c r="B6" s="31" t="s">
        <v>4</v>
      </c>
      <c r="C6" s="24">
        <v>-129.86000000000001</v>
      </c>
    </row>
    <row r="7" spans="1:8" x14ac:dyDescent="0.3">
      <c r="A7" s="21">
        <v>46002</v>
      </c>
      <c r="B7" s="31" t="s">
        <v>1</v>
      </c>
      <c r="C7" s="24">
        <v>142.65</v>
      </c>
    </row>
    <row r="8" spans="1:8" x14ac:dyDescent="0.3">
      <c r="A8" s="21">
        <v>46015</v>
      </c>
      <c r="B8" s="31" t="s">
        <v>4</v>
      </c>
      <c r="C8" s="24">
        <v>-143.93</v>
      </c>
    </row>
    <row r="9" spans="1:8" x14ac:dyDescent="0.3">
      <c r="A9" s="21">
        <v>46015</v>
      </c>
      <c r="B9" s="31" t="s">
        <v>4</v>
      </c>
      <c r="C9" s="24">
        <v>-55.52</v>
      </c>
    </row>
    <row r="10" spans="1:8" x14ac:dyDescent="0.3">
      <c r="A10" s="21">
        <v>46015</v>
      </c>
      <c r="B10" s="31" t="s">
        <v>1</v>
      </c>
      <c r="C10" s="24">
        <v>55.52</v>
      </c>
    </row>
    <row r="11" spans="1:8" x14ac:dyDescent="0.3">
      <c r="A11" s="26">
        <v>46030</v>
      </c>
      <c r="B11" s="31" t="s">
        <v>4</v>
      </c>
      <c r="C11" s="24">
        <v>-60.08</v>
      </c>
    </row>
    <row r="12" spans="1:8" x14ac:dyDescent="0.3">
      <c r="A12" s="26">
        <v>46030</v>
      </c>
      <c r="B12" s="31" t="s">
        <v>1</v>
      </c>
      <c r="C12" s="24">
        <v>60.08</v>
      </c>
    </row>
    <row r="13" spans="1:8" x14ac:dyDescent="0.3">
      <c r="A13" s="26">
        <v>46038</v>
      </c>
      <c r="B13" s="31" t="s">
        <v>1</v>
      </c>
      <c r="C13" s="24">
        <v>156.12</v>
      </c>
    </row>
    <row r="14" spans="1:8" x14ac:dyDescent="0.3">
      <c r="A14" s="26">
        <v>46047</v>
      </c>
      <c r="B14" s="31" t="s">
        <v>4</v>
      </c>
      <c r="C14" s="24">
        <v>-156.12</v>
      </c>
    </row>
    <row r="15" spans="1:8" x14ac:dyDescent="0.3">
      <c r="A15" s="26">
        <v>46052</v>
      </c>
      <c r="B15" s="31" t="s">
        <v>1</v>
      </c>
      <c r="C15" s="24">
        <v>207.92</v>
      </c>
    </row>
    <row r="16" spans="1:8" x14ac:dyDescent="0.3">
      <c r="B16" s="31"/>
    </row>
    <row r="17" spans="2:2" x14ac:dyDescent="0.3">
      <c r="B17" s="31"/>
    </row>
    <row r="18" spans="2:2" x14ac:dyDescent="0.3">
      <c r="B18" s="31"/>
    </row>
    <row r="19" spans="2:2" x14ac:dyDescent="0.3">
      <c r="B19" s="31"/>
    </row>
    <row r="20" spans="2:2" x14ac:dyDescent="0.3">
      <c r="B20" s="31"/>
    </row>
    <row r="21" spans="2:2" x14ac:dyDescent="0.3">
      <c r="B21" s="31"/>
    </row>
    <row r="22" spans="2:2" x14ac:dyDescent="0.3">
      <c r="B22" s="31"/>
    </row>
    <row r="23" spans="2:2" x14ac:dyDescent="0.3">
      <c r="B23" s="31"/>
    </row>
    <row r="24" spans="2:2" x14ac:dyDescent="0.3">
      <c r="B24" s="31"/>
    </row>
    <row r="25" spans="2:2" x14ac:dyDescent="0.3">
      <c r="B25" s="31"/>
    </row>
    <row r="26" spans="2:2" x14ac:dyDescent="0.3">
      <c r="B26" s="31"/>
    </row>
    <row r="27" spans="2:2" x14ac:dyDescent="0.3">
      <c r="B27" s="31"/>
    </row>
    <row r="28" spans="2:2" x14ac:dyDescent="0.3">
      <c r="B28" s="31"/>
    </row>
    <row r="29" spans="2:2" x14ac:dyDescent="0.3">
      <c r="B29" s="31"/>
    </row>
    <row r="30" spans="2:2" x14ac:dyDescent="0.3">
      <c r="B30" s="31"/>
    </row>
    <row r="31" spans="2:2" x14ac:dyDescent="0.3">
      <c r="B31" s="31"/>
    </row>
    <row r="32" spans="2:2" x14ac:dyDescent="0.3">
      <c r="B32" s="31"/>
    </row>
    <row r="33" spans="2:2" x14ac:dyDescent="0.3">
      <c r="B33" s="31"/>
    </row>
    <row r="34" spans="2:2" x14ac:dyDescent="0.3">
      <c r="B34" s="31"/>
    </row>
    <row r="35" spans="2:2" x14ac:dyDescent="0.3">
      <c r="B35" s="31"/>
    </row>
    <row r="36" spans="2:2" x14ac:dyDescent="0.3">
      <c r="B36" s="31"/>
    </row>
    <row r="37" spans="2:2" x14ac:dyDescent="0.3">
      <c r="B37" s="31"/>
    </row>
    <row r="38" spans="2:2" x14ac:dyDescent="0.3">
      <c r="B38" s="31"/>
    </row>
    <row r="39" spans="2:2" x14ac:dyDescent="0.3">
      <c r="B39" s="31"/>
    </row>
    <row r="40" spans="2:2" x14ac:dyDescent="0.3">
      <c r="B40" s="31"/>
    </row>
    <row r="41" spans="2:2" x14ac:dyDescent="0.3">
      <c r="B41" s="31"/>
    </row>
    <row r="42" spans="2:2" x14ac:dyDescent="0.3">
      <c r="B42" s="31"/>
    </row>
    <row r="43" spans="2:2" x14ac:dyDescent="0.3">
      <c r="B43" s="31"/>
    </row>
    <row r="44" spans="2:2" x14ac:dyDescent="0.3">
      <c r="B44" s="31"/>
    </row>
    <row r="45" spans="2:2" x14ac:dyDescent="0.3">
      <c r="B45" s="31"/>
    </row>
    <row r="46" spans="2:2" x14ac:dyDescent="0.3">
      <c r="B46" s="31"/>
    </row>
    <row r="47" spans="2:2" x14ac:dyDescent="0.3">
      <c r="B47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FAE3-6DB6-4CB2-B103-223F84B2F54E}">
  <dimension ref="A1:H47"/>
  <sheetViews>
    <sheetView view="pageBreakPreview" zoomScale="80" zoomScaleNormal="100" zoomScaleSheetLayoutView="80" workbookViewId="0">
      <selection activeCell="C12" sqref="C1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501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9.0000000000012292E-2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45982</v>
      </c>
      <c r="B5" s="31" t="s">
        <v>1</v>
      </c>
      <c r="C5" s="24">
        <v>55.99</v>
      </c>
      <c r="D5" s="30"/>
      <c r="E5" s="30"/>
      <c r="F5" s="30"/>
      <c r="G5" s="22"/>
    </row>
    <row r="6" spans="1:8" x14ac:dyDescent="0.3">
      <c r="A6" s="26">
        <v>45986</v>
      </c>
      <c r="B6" s="27" t="s">
        <v>4</v>
      </c>
      <c r="C6" s="24">
        <v>-55.99</v>
      </c>
    </row>
    <row r="7" spans="1:8" x14ac:dyDescent="0.3">
      <c r="A7" s="21">
        <v>46031</v>
      </c>
      <c r="B7" s="31" t="s">
        <v>1</v>
      </c>
      <c r="C7" s="24">
        <v>121.4</v>
      </c>
    </row>
    <row r="8" spans="1:8" x14ac:dyDescent="0.3">
      <c r="A8" s="21">
        <v>46032</v>
      </c>
      <c r="B8" s="31" t="s">
        <v>4</v>
      </c>
      <c r="C8" s="24">
        <v>-119.57</v>
      </c>
    </row>
    <row r="9" spans="1:8" x14ac:dyDescent="0.3">
      <c r="A9" s="21"/>
      <c r="B9" s="31"/>
      <c r="C9" s="24">
        <v>-1.83</v>
      </c>
    </row>
    <row r="10" spans="1:8" x14ac:dyDescent="0.3">
      <c r="A10" s="21">
        <v>46038</v>
      </c>
      <c r="B10" s="31" t="s">
        <v>1</v>
      </c>
      <c r="C10" s="24">
        <v>10.76</v>
      </c>
    </row>
    <row r="11" spans="1:8" x14ac:dyDescent="0.3">
      <c r="A11" s="26">
        <v>46042</v>
      </c>
      <c r="B11" s="31" t="s">
        <v>4</v>
      </c>
      <c r="C11" s="24">
        <v>-10.67</v>
      </c>
    </row>
    <row r="12" spans="1:8" x14ac:dyDescent="0.3">
      <c r="B12" s="31"/>
    </row>
    <row r="13" spans="1:8" x14ac:dyDescent="0.3">
      <c r="B13" s="31"/>
    </row>
    <row r="14" spans="1:8" x14ac:dyDescent="0.3">
      <c r="B14" s="31"/>
    </row>
    <row r="15" spans="1:8" x14ac:dyDescent="0.3">
      <c r="B15" s="31"/>
    </row>
    <row r="16" spans="1:8" x14ac:dyDescent="0.3">
      <c r="B16" s="31"/>
    </row>
    <row r="17" spans="2:2" x14ac:dyDescent="0.3">
      <c r="B17" s="31"/>
    </row>
    <row r="18" spans="2:2" x14ac:dyDescent="0.3">
      <c r="B18" s="31"/>
    </row>
    <row r="19" spans="2:2" x14ac:dyDescent="0.3">
      <c r="B19" s="31"/>
    </row>
    <row r="20" spans="2:2" x14ac:dyDescent="0.3">
      <c r="B20" s="31"/>
    </row>
    <row r="21" spans="2:2" x14ac:dyDescent="0.3">
      <c r="B21" s="31"/>
    </row>
    <row r="22" spans="2:2" x14ac:dyDescent="0.3">
      <c r="B22" s="31"/>
    </row>
    <row r="23" spans="2:2" x14ac:dyDescent="0.3">
      <c r="B23" s="31"/>
    </row>
    <row r="24" spans="2:2" x14ac:dyDescent="0.3">
      <c r="B24" s="31"/>
    </row>
    <row r="25" spans="2:2" x14ac:dyDescent="0.3">
      <c r="B25" s="31"/>
    </row>
    <row r="26" spans="2:2" x14ac:dyDescent="0.3">
      <c r="B26" s="31"/>
    </row>
    <row r="27" spans="2:2" x14ac:dyDescent="0.3">
      <c r="B27" s="31"/>
    </row>
    <row r="28" spans="2:2" x14ac:dyDescent="0.3">
      <c r="B28" s="31"/>
    </row>
    <row r="29" spans="2:2" x14ac:dyDescent="0.3">
      <c r="B29" s="31"/>
    </row>
    <row r="30" spans="2:2" x14ac:dyDescent="0.3">
      <c r="B30" s="31"/>
    </row>
    <row r="31" spans="2:2" x14ac:dyDescent="0.3">
      <c r="B31" s="31"/>
    </row>
    <row r="32" spans="2:2" x14ac:dyDescent="0.3">
      <c r="B32" s="31"/>
    </row>
    <row r="33" spans="2:2" x14ac:dyDescent="0.3">
      <c r="B33" s="31"/>
    </row>
    <row r="34" spans="2:2" x14ac:dyDescent="0.3">
      <c r="B34" s="31"/>
    </row>
    <row r="35" spans="2:2" x14ac:dyDescent="0.3">
      <c r="B35" s="31"/>
    </row>
    <row r="36" spans="2:2" x14ac:dyDescent="0.3">
      <c r="B36" s="31"/>
    </row>
    <row r="37" spans="2:2" x14ac:dyDescent="0.3">
      <c r="B37" s="31"/>
    </row>
    <row r="38" spans="2:2" x14ac:dyDescent="0.3">
      <c r="B38" s="31"/>
    </row>
    <row r="39" spans="2:2" x14ac:dyDescent="0.3">
      <c r="B39" s="31"/>
    </row>
    <row r="40" spans="2:2" x14ac:dyDescent="0.3">
      <c r="B40" s="31"/>
    </row>
    <row r="41" spans="2:2" x14ac:dyDescent="0.3">
      <c r="B41" s="31"/>
    </row>
    <row r="42" spans="2:2" x14ac:dyDescent="0.3">
      <c r="B42" s="31"/>
    </row>
    <row r="43" spans="2:2" x14ac:dyDescent="0.3">
      <c r="B43" s="31"/>
    </row>
    <row r="44" spans="2:2" x14ac:dyDescent="0.3">
      <c r="B44" s="31"/>
    </row>
    <row r="45" spans="2:2" x14ac:dyDescent="0.3">
      <c r="B45" s="31"/>
    </row>
    <row r="46" spans="2:2" x14ac:dyDescent="0.3">
      <c r="B46" s="31"/>
    </row>
    <row r="47" spans="2:2" x14ac:dyDescent="0.3">
      <c r="B47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FEB9-8600-4F60-ACC4-EBEDE44F162E}">
  <dimension ref="A1:H86"/>
  <sheetViews>
    <sheetView view="pageBreakPreview" zoomScale="80" zoomScaleNormal="100" zoomScaleSheetLayoutView="80" workbookViewId="0">
      <selection sqref="A1:H74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482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-0.12999999999995282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45947</v>
      </c>
      <c r="B5" s="32" t="s">
        <v>1</v>
      </c>
      <c r="C5" s="24">
        <v>174.8</v>
      </c>
      <c r="D5" s="30"/>
      <c r="E5" s="30"/>
      <c r="F5" s="30"/>
      <c r="G5" s="22"/>
    </row>
    <row r="6" spans="1:8" x14ac:dyDescent="0.3">
      <c r="A6" s="21">
        <v>45950</v>
      </c>
      <c r="B6" s="27" t="s">
        <v>4</v>
      </c>
      <c r="C6" s="24">
        <v>-72</v>
      </c>
    </row>
    <row r="7" spans="1:8" x14ac:dyDescent="0.3">
      <c r="A7" s="21">
        <v>45952</v>
      </c>
      <c r="B7" s="27" t="s">
        <v>4</v>
      </c>
      <c r="C7" s="24">
        <v>-15.99</v>
      </c>
    </row>
    <row r="8" spans="1:8" x14ac:dyDescent="0.3">
      <c r="A8" s="26">
        <v>45953</v>
      </c>
      <c r="B8" s="27" t="s">
        <v>4</v>
      </c>
      <c r="C8" s="24">
        <v>-28</v>
      </c>
    </row>
    <row r="9" spans="1:8" x14ac:dyDescent="0.3">
      <c r="A9" s="26">
        <v>45954</v>
      </c>
      <c r="B9" s="34" t="s">
        <v>1</v>
      </c>
      <c r="C9" s="24">
        <v>181.53</v>
      </c>
    </row>
    <row r="10" spans="1:8" x14ac:dyDescent="0.3">
      <c r="A10" s="26">
        <v>45958</v>
      </c>
      <c r="B10" s="27" t="s">
        <v>4</v>
      </c>
      <c r="C10" s="24">
        <v>-62.39</v>
      </c>
    </row>
    <row r="11" spans="1:8" x14ac:dyDescent="0.3">
      <c r="A11" s="26">
        <v>45960</v>
      </c>
      <c r="B11" s="27" t="s">
        <v>4</v>
      </c>
      <c r="C11" s="24">
        <v>-94.7</v>
      </c>
    </row>
    <row r="12" spans="1:8" x14ac:dyDescent="0.3">
      <c r="A12" s="26">
        <v>45960</v>
      </c>
      <c r="B12" s="27" t="s">
        <v>4</v>
      </c>
      <c r="C12" s="24">
        <v>-24.58</v>
      </c>
    </row>
    <row r="13" spans="1:8" x14ac:dyDescent="0.3">
      <c r="A13" s="26">
        <v>45961</v>
      </c>
      <c r="B13" s="27" t="s">
        <v>4</v>
      </c>
      <c r="C13" s="24">
        <v>-58.81</v>
      </c>
    </row>
    <row r="14" spans="1:8" x14ac:dyDescent="0.3">
      <c r="A14" s="26">
        <v>45961</v>
      </c>
      <c r="B14" s="34" t="s">
        <v>1</v>
      </c>
      <c r="C14" s="24">
        <v>116.93</v>
      </c>
    </row>
    <row r="15" spans="1:8" x14ac:dyDescent="0.3">
      <c r="A15" s="26">
        <v>45967</v>
      </c>
      <c r="B15" s="27" t="s">
        <v>4</v>
      </c>
      <c r="C15" s="24">
        <v>-87.89</v>
      </c>
    </row>
    <row r="16" spans="1:8" x14ac:dyDescent="0.3">
      <c r="A16" s="26">
        <v>45967</v>
      </c>
      <c r="B16" s="27" t="s">
        <v>4</v>
      </c>
      <c r="C16" s="24">
        <v>-29.03</v>
      </c>
    </row>
    <row r="17" spans="1:3" x14ac:dyDescent="0.3">
      <c r="A17" s="26">
        <v>45968</v>
      </c>
      <c r="B17" s="34" t="s">
        <v>1</v>
      </c>
      <c r="C17" s="24">
        <v>81.34</v>
      </c>
    </row>
    <row r="18" spans="1:3" x14ac:dyDescent="0.3">
      <c r="A18" s="26">
        <v>45973</v>
      </c>
      <c r="B18" s="27" t="s">
        <v>4</v>
      </c>
      <c r="C18" s="24">
        <v>-22</v>
      </c>
    </row>
    <row r="19" spans="1:3" x14ac:dyDescent="0.3">
      <c r="A19" s="26">
        <v>45974</v>
      </c>
      <c r="B19" s="27" t="s">
        <v>4</v>
      </c>
      <c r="C19" s="24">
        <v>-59.34</v>
      </c>
    </row>
    <row r="20" spans="1:3" x14ac:dyDescent="0.3">
      <c r="B20" s="34"/>
    </row>
    <row r="21" spans="1:3" x14ac:dyDescent="0.3">
      <c r="B21" s="46"/>
    </row>
    <row r="24" spans="1:3" x14ac:dyDescent="0.3">
      <c r="B24" s="34"/>
    </row>
    <row r="25" spans="1:3" x14ac:dyDescent="0.3">
      <c r="B25" s="46"/>
    </row>
    <row r="28" spans="1:3" x14ac:dyDescent="0.3">
      <c r="B28" s="34"/>
    </row>
    <row r="29" spans="1:3" x14ac:dyDescent="0.3">
      <c r="B29" s="46"/>
    </row>
    <row r="33" spans="2:2" x14ac:dyDescent="0.3">
      <c r="B33" s="34"/>
    </row>
    <row r="34" spans="2:2" x14ac:dyDescent="0.3">
      <c r="B34" s="46"/>
    </row>
    <row r="36" spans="2:2" x14ac:dyDescent="0.3">
      <c r="B36" s="32"/>
    </row>
    <row r="37" spans="2:2" x14ac:dyDescent="0.3">
      <c r="B37" s="34"/>
    </row>
    <row r="38" spans="2:2" x14ac:dyDescent="0.3">
      <c r="B38" s="46"/>
    </row>
    <row r="41" spans="2:2" x14ac:dyDescent="0.3">
      <c r="B41" s="34"/>
    </row>
    <row r="46" spans="2:2" x14ac:dyDescent="0.3">
      <c r="B46" s="34"/>
    </row>
    <row r="50" spans="2:2" x14ac:dyDescent="0.3">
      <c r="B50" s="34"/>
    </row>
    <row r="51" spans="2:2" x14ac:dyDescent="0.3">
      <c r="B51" s="46"/>
    </row>
    <row r="54" spans="2:2" x14ac:dyDescent="0.3">
      <c r="B54" s="32"/>
    </row>
    <row r="55" spans="2:2" x14ac:dyDescent="0.3">
      <c r="B55" s="34"/>
    </row>
    <row r="56" spans="2:2" x14ac:dyDescent="0.3">
      <c r="B56" s="46"/>
    </row>
    <row r="61" spans="2:2" x14ac:dyDescent="0.3">
      <c r="B61" s="32"/>
    </row>
    <row r="62" spans="2:2" x14ac:dyDescent="0.3">
      <c r="B62" s="34"/>
    </row>
    <row r="63" spans="2:2" x14ac:dyDescent="0.3">
      <c r="B63" s="46"/>
    </row>
    <row r="68" spans="2:2" x14ac:dyDescent="0.3">
      <c r="B68" s="34"/>
    </row>
    <row r="69" spans="2:2" x14ac:dyDescent="0.3">
      <c r="B69" s="46"/>
    </row>
    <row r="71" spans="2:2" x14ac:dyDescent="0.3">
      <c r="B71" s="32"/>
    </row>
    <row r="77" spans="2:2" x14ac:dyDescent="0.3">
      <c r="B77" s="34"/>
    </row>
    <row r="81" spans="2:2" x14ac:dyDescent="0.3">
      <c r="B81" s="34"/>
    </row>
    <row r="82" spans="2:2" x14ac:dyDescent="0.3">
      <c r="B82" s="46"/>
    </row>
    <row r="86" spans="2:2" x14ac:dyDescent="0.3">
      <c r="B86" s="34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B6A60-4FAC-4781-8DB3-372B02CD94EE}">
  <sheetPr codeName="Hoja64"/>
  <dimension ref="A1:H104"/>
  <sheetViews>
    <sheetView view="pageBreakPreview" topLeftCell="A76" zoomScale="80" zoomScaleNormal="100" zoomScaleSheetLayoutView="80" workbookViewId="0">
      <selection activeCell="C105" sqref="C10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167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168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0.96000000000001151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45819</v>
      </c>
      <c r="B5" s="32" t="s">
        <v>21</v>
      </c>
      <c r="C5" s="24">
        <v>23.55</v>
      </c>
      <c r="D5" s="30"/>
      <c r="E5" s="30"/>
      <c r="F5" s="30"/>
      <c r="G5" s="22"/>
    </row>
    <row r="6" spans="1:8" hidden="1" x14ac:dyDescent="0.3">
      <c r="A6" s="21">
        <v>45819</v>
      </c>
      <c r="B6" s="34" t="s">
        <v>21</v>
      </c>
      <c r="C6" s="24">
        <v>91.62</v>
      </c>
    </row>
    <row r="7" spans="1:8" hidden="1" x14ac:dyDescent="0.3">
      <c r="A7" s="21">
        <v>45819</v>
      </c>
      <c r="B7" s="27" t="s">
        <v>4</v>
      </c>
      <c r="C7" s="24">
        <v>-59.8</v>
      </c>
    </row>
    <row r="8" spans="1:8" hidden="1" x14ac:dyDescent="0.3">
      <c r="A8" s="26">
        <v>45824</v>
      </c>
      <c r="B8" s="27" t="s">
        <v>4</v>
      </c>
      <c r="C8" s="24">
        <v>-51.88</v>
      </c>
    </row>
    <row r="9" spans="1:8" hidden="1" x14ac:dyDescent="0.3">
      <c r="A9" s="26">
        <v>45826</v>
      </c>
      <c r="B9" s="27" t="s">
        <v>4</v>
      </c>
      <c r="C9" s="24">
        <v>-57.84</v>
      </c>
    </row>
    <row r="10" spans="1:8" hidden="1" x14ac:dyDescent="0.3">
      <c r="A10" s="26">
        <v>45826</v>
      </c>
      <c r="B10" s="32" t="s">
        <v>21</v>
      </c>
      <c r="C10" s="24">
        <v>17.54</v>
      </c>
    </row>
    <row r="11" spans="1:8" hidden="1" x14ac:dyDescent="0.3">
      <c r="A11" s="26">
        <v>45826</v>
      </c>
      <c r="B11" s="34" t="s">
        <v>21</v>
      </c>
      <c r="C11" s="24">
        <v>122.57</v>
      </c>
    </row>
    <row r="12" spans="1:8" hidden="1" x14ac:dyDescent="0.3">
      <c r="A12" s="26">
        <v>45826</v>
      </c>
      <c r="B12" s="46" t="s">
        <v>21</v>
      </c>
      <c r="C12" s="24">
        <v>10.55</v>
      </c>
    </row>
    <row r="13" spans="1:8" hidden="1" x14ac:dyDescent="0.3">
      <c r="A13" s="26">
        <v>45828</v>
      </c>
      <c r="B13" s="27" t="s">
        <v>4</v>
      </c>
      <c r="C13" s="24">
        <v>-47.83</v>
      </c>
    </row>
    <row r="14" spans="1:8" hidden="1" x14ac:dyDescent="0.3">
      <c r="A14" s="26">
        <v>45831</v>
      </c>
      <c r="B14" s="27" t="s">
        <v>4</v>
      </c>
      <c r="C14" s="24">
        <v>-33.19</v>
      </c>
    </row>
    <row r="15" spans="1:8" hidden="1" x14ac:dyDescent="0.3">
      <c r="A15" s="26">
        <v>45834</v>
      </c>
      <c r="B15" s="27" t="s">
        <v>4</v>
      </c>
      <c r="C15" s="24">
        <v>-14.28</v>
      </c>
    </row>
    <row r="16" spans="1:8" hidden="1" x14ac:dyDescent="0.3">
      <c r="A16" s="26">
        <v>45833</v>
      </c>
      <c r="B16" s="34" t="s">
        <v>21</v>
      </c>
      <c r="C16" s="24">
        <v>63.94</v>
      </c>
    </row>
    <row r="17" spans="1:3" hidden="1" x14ac:dyDescent="0.3">
      <c r="A17" s="26">
        <v>45833</v>
      </c>
      <c r="B17" s="46" t="s">
        <v>21</v>
      </c>
      <c r="C17" s="24">
        <v>4.95</v>
      </c>
    </row>
    <row r="18" spans="1:3" hidden="1" x14ac:dyDescent="0.3">
      <c r="A18" s="26">
        <v>45834</v>
      </c>
      <c r="B18" s="27" t="s">
        <v>4</v>
      </c>
      <c r="C18" s="24">
        <v>-68.88</v>
      </c>
    </row>
    <row r="19" spans="1:3" hidden="1" x14ac:dyDescent="0.3">
      <c r="A19" s="26">
        <v>45840</v>
      </c>
      <c r="B19" s="32" t="s">
        <v>21</v>
      </c>
      <c r="C19" s="24">
        <v>7.5</v>
      </c>
    </row>
    <row r="20" spans="1:3" hidden="1" x14ac:dyDescent="0.3">
      <c r="A20" s="26">
        <v>45840</v>
      </c>
      <c r="B20" s="34" t="s">
        <v>21</v>
      </c>
      <c r="C20" s="24">
        <v>92.81</v>
      </c>
    </row>
    <row r="21" spans="1:3" hidden="1" x14ac:dyDescent="0.3">
      <c r="A21" s="26">
        <v>45840</v>
      </c>
      <c r="B21" s="46" t="s">
        <v>21</v>
      </c>
      <c r="C21" s="24">
        <v>9.9</v>
      </c>
    </row>
    <row r="22" spans="1:3" hidden="1" x14ac:dyDescent="0.3">
      <c r="A22" s="26">
        <v>45841</v>
      </c>
      <c r="B22" s="27" t="s">
        <v>4</v>
      </c>
      <c r="C22" s="24">
        <v>-53.22</v>
      </c>
    </row>
    <row r="23" spans="1:3" hidden="1" x14ac:dyDescent="0.3">
      <c r="A23" s="26">
        <v>45841</v>
      </c>
      <c r="B23" s="27" t="s">
        <v>4</v>
      </c>
      <c r="C23" s="24">
        <v>-52.84</v>
      </c>
    </row>
    <row r="24" spans="1:3" hidden="1" x14ac:dyDescent="0.3">
      <c r="A24" s="26">
        <v>45847</v>
      </c>
      <c r="B24" s="34" t="s">
        <v>21</v>
      </c>
      <c r="C24" s="24">
        <v>77.959999999999994</v>
      </c>
    </row>
    <row r="25" spans="1:3" hidden="1" x14ac:dyDescent="0.3">
      <c r="A25" s="26">
        <v>45847</v>
      </c>
      <c r="B25" s="46" t="s">
        <v>21</v>
      </c>
      <c r="C25" s="24">
        <v>15.92</v>
      </c>
    </row>
    <row r="26" spans="1:3" hidden="1" x14ac:dyDescent="0.3">
      <c r="A26" s="26">
        <v>45849</v>
      </c>
      <c r="B26" s="27" t="s">
        <v>4</v>
      </c>
      <c r="C26" s="24">
        <v>-61.18</v>
      </c>
    </row>
    <row r="27" spans="1:3" hidden="1" x14ac:dyDescent="0.3">
      <c r="A27" s="26">
        <v>45849</v>
      </c>
      <c r="B27" s="27" t="s">
        <v>4</v>
      </c>
      <c r="C27" s="24">
        <v>-29.72</v>
      </c>
    </row>
    <row r="28" spans="1:3" hidden="1" x14ac:dyDescent="0.3">
      <c r="A28" s="26">
        <v>45854</v>
      </c>
      <c r="B28" s="34" t="s">
        <v>21</v>
      </c>
      <c r="C28" s="24">
        <v>84.2</v>
      </c>
    </row>
    <row r="29" spans="1:3" hidden="1" x14ac:dyDescent="0.3">
      <c r="A29" s="26">
        <v>45854</v>
      </c>
      <c r="B29" s="46" t="s">
        <v>21</v>
      </c>
      <c r="C29" s="24">
        <v>4.95</v>
      </c>
    </row>
    <row r="30" spans="1:3" hidden="1" x14ac:dyDescent="0.3">
      <c r="A30" s="26">
        <v>45855</v>
      </c>
      <c r="B30" s="27" t="s">
        <v>4</v>
      </c>
      <c r="C30" s="24">
        <v>-63.88</v>
      </c>
    </row>
    <row r="31" spans="1:3" hidden="1" x14ac:dyDescent="0.3">
      <c r="A31" s="26">
        <v>45859</v>
      </c>
      <c r="B31" s="27" t="s">
        <v>4</v>
      </c>
      <c r="C31" s="24">
        <v>-33.409999999999997</v>
      </c>
    </row>
    <row r="32" spans="1:3" hidden="1" x14ac:dyDescent="0.3">
      <c r="A32" s="26">
        <v>45861</v>
      </c>
      <c r="B32" s="27" t="s">
        <v>4</v>
      </c>
      <c r="C32" s="24">
        <v>-83.04</v>
      </c>
    </row>
    <row r="33" spans="1:3" hidden="1" x14ac:dyDescent="0.3">
      <c r="A33" s="26">
        <v>45861</v>
      </c>
      <c r="B33" s="34" t="s">
        <v>21</v>
      </c>
      <c r="C33" s="24">
        <v>88.09</v>
      </c>
    </row>
    <row r="34" spans="1:3" hidden="1" x14ac:dyDescent="0.3">
      <c r="A34" s="26">
        <v>45861</v>
      </c>
      <c r="B34" s="46" t="s">
        <v>21</v>
      </c>
      <c r="C34" s="24">
        <v>3.3</v>
      </c>
    </row>
    <row r="35" spans="1:3" hidden="1" x14ac:dyDescent="0.3">
      <c r="A35" s="26">
        <v>45868</v>
      </c>
      <c r="B35" s="27" t="s">
        <v>4</v>
      </c>
      <c r="C35" s="24">
        <v>-8.35</v>
      </c>
    </row>
    <row r="36" spans="1:3" hidden="1" x14ac:dyDescent="0.3">
      <c r="A36" s="26">
        <v>45868</v>
      </c>
      <c r="B36" s="32" t="s">
        <v>21</v>
      </c>
      <c r="C36" s="24">
        <v>24.85</v>
      </c>
    </row>
    <row r="37" spans="1:3" hidden="1" x14ac:dyDescent="0.3">
      <c r="A37" s="26">
        <v>45868</v>
      </c>
      <c r="B37" s="34" t="s">
        <v>21</v>
      </c>
      <c r="C37" s="24">
        <v>50.98</v>
      </c>
    </row>
    <row r="38" spans="1:3" hidden="1" x14ac:dyDescent="0.3">
      <c r="A38" s="26">
        <v>45868</v>
      </c>
      <c r="B38" s="46" t="s">
        <v>21</v>
      </c>
      <c r="C38" s="24">
        <v>9.86</v>
      </c>
    </row>
    <row r="39" spans="1:3" hidden="1" x14ac:dyDescent="0.3">
      <c r="A39" s="26">
        <v>45873</v>
      </c>
      <c r="B39" s="27" t="s">
        <v>4</v>
      </c>
      <c r="C39" s="24">
        <v>-27.91</v>
      </c>
    </row>
    <row r="40" spans="1:3" hidden="1" x14ac:dyDescent="0.3">
      <c r="A40" s="26">
        <v>45873</v>
      </c>
      <c r="B40" s="27" t="s">
        <v>4</v>
      </c>
      <c r="C40" s="24">
        <v>-55.43</v>
      </c>
    </row>
    <row r="41" spans="1:3" hidden="1" x14ac:dyDescent="0.3">
      <c r="A41" s="26">
        <v>45875</v>
      </c>
      <c r="B41" s="34" t="s">
        <v>21</v>
      </c>
      <c r="C41" s="24">
        <v>75.13</v>
      </c>
    </row>
    <row r="42" spans="1:3" hidden="1" x14ac:dyDescent="0.3">
      <c r="A42" s="26">
        <v>45877</v>
      </c>
      <c r="B42" s="27" t="s">
        <v>4</v>
      </c>
      <c r="C42" s="24">
        <v>-19.22</v>
      </c>
    </row>
    <row r="43" spans="1:3" hidden="1" x14ac:dyDescent="0.3">
      <c r="A43" s="26">
        <v>45880</v>
      </c>
      <c r="B43" s="27" t="s">
        <v>4</v>
      </c>
      <c r="C43" s="24">
        <v>-19.829999999999998</v>
      </c>
    </row>
    <row r="44" spans="1:3" hidden="1" x14ac:dyDescent="0.3">
      <c r="A44" s="26">
        <v>45880</v>
      </c>
      <c r="B44" s="27" t="s">
        <v>4</v>
      </c>
      <c r="C44" s="24">
        <v>-11.44</v>
      </c>
    </row>
    <row r="45" spans="1:3" hidden="1" x14ac:dyDescent="0.3">
      <c r="A45" s="26">
        <v>45881</v>
      </c>
      <c r="B45" s="27" t="s">
        <v>4</v>
      </c>
      <c r="C45" s="24">
        <v>-25.7</v>
      </c>
    </row>
    <row r="46" spans="1:3" hidden="1" x14ac:dyDescent="0.3">
      <c r="A46" s="26">
        <v>45882</v>
      </c>
      <c r="B46" s="34" t="s">
        <v>21</v>
      </c>
      <c r="C46" s="24">
        <v>73.86</v>
      </c>
    </row>
    <row r="47" spans="1:3" hidden="1" x14ac:dyDescent="0.3">
      <c r="A47" s="26">
        <v>45884</v>
      </c>
      <c r="B47" s="27" t="s">
        <v>4</v>
      </c>
      <c r="C47" s="24">
        <v>-27.03</v>
      </c>
    </row>
    <row r="48" spans="1:3" hidden="1" x14ac:dyDescent="0.3">
      <c r="A48" s="26">
        <v>45887</v>
      </c>
      <c r="B48" s="27" t="s">
        <v>4</v>
      </c>
      <c r="C48" s="24">
        <v>-32.14</v>
      </c>
    </row>
    <row r="49" spans="1:3" hidden="1" x14ac:dyDescent="0.3">
      <c r="A49" s="26">
        <v>45888</v>
      </c>
      <c r="B49" s="27" t="s">
        <v>4</v>
      </c>
      <c r="C49" s="24">
        <v>-15.38</v>
      </c>
    </row>
    <row r="50" spans="1:3" x14ac:dyDescent="0.3">
      <c r="A50" s="26">
        <v>45889</v>
      </c>
      <c r="B50" s="34" t="s">
        <v>21</v>
      </c>
      <c r="C50" s="24">
        <v>57.81</v>
      </c>
    </row>
    <row r="51" spans="1:3" x14ac:dyDescent="0.3">
      <c r="A51" s="26">
        <v>45889</v>
      </c>
      <c r="B51" s="46" t="s">
        <v>21</v>
      </c>
      <c r="C51" s="24">
        <v>4.95</v>
      </c>
    </row>
    <row r="52" spans="1:3" x14ac:dyDescent="0.3">
      <c r="A52" s="26">
        <v>45891</v>
      </c>
      <c r="B52" s="27" t="s">
        <v>4</v>
      </c>
      <c r="C52" s="24">
        <v>-59.01</v>
      </c>
    </row>
    <row r="53" spans="1:3" x14ac:dyDescent="0.3">
      <c r="A53" s="26">
        <v>45898</v>
      </c>
      <c r="B53" s="27" t="s">
        <v>4</v>
      </c>
      <c r="C53" s="24">
        <v>-39.43</v>
      </c>
    </row>
    <row r="54" spans="1:3" x14ac:dyDescent="0.3">
      <c r="A54" s="26">
        <v>45897</v>
      </c>
      <c r="B54" s="32" t="s">
        <v>21</v>
      </c>
      <c r="C54" s="24">
        <v>9.84</v>
      </c>
    </row>
    <row r="55" spans="1:3" x14ac:dyDescent="0.3">
      <c r="A55" s="26">
        <v>45897</v>
      </c>
      <c r="B55" s="34" t="s">
        <v>21</v>
      </c>
      <c r="C55" s="24">
        <v>69.900000000000006</v>
      </c>
    </row>
    <row r="56" spans="1:3" x14ac:dyDescent="0.3">
      <c r="A56" s="26">
        <v>45897</v>
      </c>
      <c r="B56" s="46" t="s">
        <v>21</v>
      </c>
      <c r="C56" s="24">
        <v>3.54</v>
      </c>
    </row>
    <row r="57" spans="1:3" x14ac:dyDescent="0.3">
      <c r="A57" s="26">
        <v>45898</v>
      </c>
      <c r="B57" s="27" t="s">
        <v>4</v>
      </c>
      <c r="C57" s="24">
        <v>-22.44</v>
      </c>
    </row>
    <row r="58" spans="1:3" x14ac:dyDescent="0.3">
      <c r="A58" s="26">
        <v>45901</v>
      </c>
      <c r="B58" s="27" t="s">
        <v>4</v>
      </c>
      <c r="C58" s="24">
        <v>-11.71</v>
      </c>
    </row>
    <row r="59" spans="1:3" x14ac:dyDescent="0.3">
      <c r="A59" s="26">
        <v>45902</v>
      </c>
      <c r="B59" s="27" t="s">
        <v>4</v>
      </c>
      <c r="C59" s="24">
        <v>-13.63</v>
      </c>
    </row>
    <row r="60" spans="1:3" x14ac:dyDescent="0.3">
      <c r="A60" s="26">
        <v>45903</v>
      </c>
      <c r="B60" s="27" t="s">
        <v>4</v>
      </c>
      <c r="C60" s="24">
        <v>-27.19</v>
      </c>
    </row>
    <row r="61" spans="1:3" x14ac:dyDescent="0.3">
      <c r="A61" s="26">
        <v>45903</v>
      </c>
      <c r="B61" s="32" t="s">
        <v>21</v>
      </c>
      <c r="C61" s="24">
        <v>12</v>
      </c>
    </row>
    <row r="62" spans="1:3" x14ac:dyDescent="0.3">
      <c r="A62" s="26">
        <v>45903</v>
      </c>
      <c r="B62" s="34" t="s">
        <v>21</v>
      </c>
      <c r="C62" s="24">
        <v>97.72</v>
      </c>
    </row>
    <row r="63" spans="1:3" x14ac:dyDescent="0.3">
      <c r="A63" s="26">
        <v>45903</v>
      </c>
      <c r="B63" s="46" t="s">
        <v>21</v>
      </c>
      <c r="C63" s="24">
        <v>5.31</v>
      </c>
    </row>
    <row r="64" spans="1:3" x14ac:dyDescent="0.3">
      <c r="A64" s="26">
        <v>45904</v>
      </c>
      <c r="B64" s="27" t="s">
        <v>4</v>
      </c>
      <c r="C64" s="24">
        <v>-22.4</v>
      </c>
    </row>
    <row r="65" spans="1:3" x14ac:dyDescent="0.3">
      <c r="A65" s="26">
        <v>45905</v>
      </c>
      <c r="B65" s="27" t="s">
        <v>4</v>
      </c>
      <c r="C65" s="24">
        <v>-6.54</v>
      </c>
    </row>
    <row r="66" spans="1:3" x14ac:dyDescent="0.3">
      <c r="A66" s="26">
        <v>45908</v>
      </c>
      <c r="B66" s="27" t="s">
        <v>4</v>
      </c>
      <c r="C66" s="24">
        <v>-52.59</v>
      </c>
    </row>
    <row r="67" spans="1:3" x14ac:dyDescent="0.3">
      <c r="A67" s="26">
        <v>45910</v>
      </c>
      <c r="B67" s="27" t="s">
        <v>4</v>
      </c>
      <c r="C67" s="24">
        <v>-30</v>
      </c>
    </row>
    <row r="68" spans="1:3" x14ac:dyDescent="0.3">
      <c r="A68" s="26">
        <v>45910</v>
      </c>
      <c r="B68" s="34" t="s">
        <v>21</v>
      </c>
      <c r="C68" s="24">
        <v>56.78</v>
      </c>
    </row>
    <row r="69" spans="1:3" x14ac:dyDescent="0.3">
      <c r="A69" s="26">
        <v>45910</v>
      </c>
      <c r="B69" s="46" t="s">
        <v>21</v>
      </c>
      <c r="C69" s="24">
        <v>7.08</v>
      </c>
    </row>
    <row r="70" spans="1:3" x14ac:dyDescent="0.3">
      <c r="A70" s="26">
        <v>45911</v>
      </c>
      <c r="B70" s="27" t="s">
        <v>4</v>
      </c>
      <c r="C70" s="24">
        <v>-32.97</v>
      </c>
    </row>
    <row r="71" spans="1:3" x14ac:dyDescent="0.3">
      <c r="A71" s="26">
        <v>45918</v>
      </c>
      <c r="B71" s="32" t="s">
        <v>21</v>
      </c>
      <c r="C71" s="24">
        <v>66.56</v>
      </c>
    </row>
    <row r="72" spans="1:3" x14ac:dyDescent="0.3">
      <c r="A72" s="26">
        <v>45919</v>
      </c>
      <c r="B72" s="27" t="s">
        <v>4</v>
      </c>
      <c r="C72" s="24">
        <v>-7.86</v>
      </c>
    </row>
    <row r="73" spans="1:3" x14ac:dyDescent="0.3">
      <c r="A73" s="26">
        <v>45923</v>
      </c>
      <c r="B73" s="27" t="s">
        <v>4</v>
      </c>
      <c r="C73" s="24">
        <v>-11.88</v>
      </c>
    </row>
    <row r="74" spans="1:3" x14ac:dyDescent="0.3">
      <c r="A74" s="26">
        <v>45923</v>
      </c>
      <c r="B74" s="27" t="s">
        <v>4</v>
      </c>
      <c r="C74" s="24">
        <v>-17.809999999999999</v>
      </c>
    </row>
    <row r="75" spans="1:3" x14ac:dyDescent="0.3">
      <c r="A75" s="26">
        <v>45924</v>
      </c>
      <c r="B75" s="27" t="s">
        <v>4</v>
      </c>
      <c r="C75" s="24">
        <v>-17.29</v>
      </c>
    </row>
    <row r="76" spans="1:3" x14ac:dyDescent="0.3">
      <c r="A76" s="26">
        <v>45924</v>
      </c>
      <c r="B76" s="27" t="s">
        <v>4</v>
      </c>
      <c r="C76" s="24">
        <v>-12.35</v>
      </c>
    </row>
    <row r="77" spans="1:3" x14ac:dyDescent="0.3">
      <c r="A77" s="26">
        <v>45924</v>
      </c>
      <c r="B77" s="34" t="s">
        <v>21</v>
      </c>
      <c r="C77" s="24">
        <v>56.16</v>
      </c>
    </row>
    <row r="78" spans="1:3" x14ac:dyDescent="0.3">
      <c r="A78" s="26">
        <v>45926</v>
      </c>
      <c r="B78" s="27" t="s">
        <v>4</v>
      </c>
      <c r="C78" s="24">
        <v>-11.51</v>
      </c>
    </row>
    <row r="79" spans="1:3" x14ac:dyDescent="0.3">
      <c r="A79" s="26">
        <v>45929</v>
      </c>
      <c r="B79" s="27" t="s">
        <v>4</v>
      </c>
      <c r="C79" s="24">
        <v>-31.7</v>
      </c>
    </row>
    <row r="80" spans="1:3" x14ac:dyDescent="0.3">
      <c r="A80" s="26">
        <v>45931</v>
      </c>
      <c r="B80" s="27" t="s">
        <v>4</v>
      </c>
      <c r="C80" s="24">
        <v>-18.739999999999998</v>
      </c>
    </row>
    <row r="81" spans="1:3" x14ac:dyDescent="0.3">
      <c r="A81" s="26">
        <v>45931</v>
      </c>
      <c r="B81" s="34" t="s">
        <v>21</v>
      </c>
      <c r="C81" s="24">
        <v>86.19</v>
      </c>
    </row>
    <row r="82" spans="1:3" x14ac:dyDescent="0.3">
      <c r="A82" s="26">
        <v>45931</v>
      </c>
      <c r="B82" s="46" t="s">
        <v>21</v>
      </c>
      <c r="C82" s="24">
        <v>19.149999999999999</v>
      </c>
    </row>
    <row r="83" spans="1:3" x14ac:dyDescent="0.3">
      <c r="A83" s="26">
        <v>45932</v>
      </c>
      <c r="B83" s="27" t="s">
        <v>4</v>
      </c>
      <c r="C83" s="24">
        <v>-41.37</v>
      </c>
    </row>
    <row r="84" spans="1:3" x14ac:dyDescent="0.3">
      <c r="A84" s="26">
        <v>45933</v>
      </c>
      <c r="B84" s="27" t="s">
        <v>4</v>
      </c>
      <c r="C84" s="24">
        <v>-17.47</v>
      </c>
    </row>
    <row r="85" spans="1:3" x14ac:dyDescent="0.3">
      <c r="A85" s="26">
        <v>45936</v>
      </c>
      <c r="B85" s="27" t="s">
        <v>4</v>
      </c>
      <c r="C85" s="24">
        <v>-45.31</v>
      </c>
    </row>
    <row r="86" spans="1:3" x14ac:dyDescent="0.3">
      <c r="A86" s="26">
        <v>45938</v>
      </c>
      <c r="B86" s="34" t="s">
        <v>21</v>
      </c>
      <c r="C86" s="24">
        <v>23.4</v>
      </c>
    </row>
    <row r="87" spans="1:3" x14ac:dyDescent="0.3">
      <c r="A87" s="26">
        <v>45945</v>
      </c>
      <c r="B87" s="27" t="s">
        <v>4</v>
      </c>
      <c r="C87" s="24">
        <v>-30</v>
      </c>
    </row>
    <row r="88" spans="1:3" x14ac:dyDescent="0.3">
      <c r="A88" s="26">
        <v>45958</v>
      </c>
      <c r="B88" s="27" t="s">
        <v>4</v>
      </c>
      <c r="C88" s="24">
        <v>-73.19</v>
      </c>
    </row>
    <row r="89" spans="1:3" x14ac:dyDescent="0.3">
      <c r="A89" s="26">
        <v>45959</v>
      </c>
      <c r="B89" s="34" t="s">
        <v>21</v>
      </c>
      <c r="C89" s="24">
        <v>111.1</v>
      </c>
    </row>
    <row r="90" spans="1:3" x14ac:dyDescent="0.3">
      <c r="A90" s="26">
        <v>45964</v>
      </c>
      <c r="B90" s="27" t="s">
        <v>4</v>
      </c>
      <c r="C90" s="24">
        <v>-20.09</v>
      </c>
    </row>
    <row r="91" spans="1:3" x14ac:dyDescent="0.3">
      <c r="A91" s="26">
        <v>45965</v>
      </c>
      <c r="B91" s="27" t="s">
        <v>4</v>
      </c>
      <c r="C91" s="24">
        <v>-16.52</v>
      </c>
    </row>
    <row r="92" spans="1:3" x14ac:dyDescent="0.3">
      <c r="A92" s="26">
        <v>45966</v>
      </c>
      <c r="B92" s="34" t="s">
        <v>21</v>
      </c>
      <c r="C92" s="24">
        <v>38.28</v>
      </c>
    </row>
    <row r="93" spans="1:3" x14ac:dyDescent="0.3">
      <c r="A93" s="26">
        <v>45967</v>
      </c>
      <c r="B93" s="27" t="s">
        <v>4</v>
      </c>
      <c r="C93" s="24">
        <v>-37.57</v>
      </c>
    </row>
    <row r="94" spans="1:3" x14ac:dyDescent="0.3">
      <c r="A94" s="26">
        <v>45973</v>
      </c>
      <c r="B94" s="27" t="s">
        <v>1</v>
      </c>
      <c r="C94" s="24">
        <v>57.6</v>
      </c>
    </row>
    <row r="95" spans="1:3" x14ac:dyDescent="0.3">
      <c r="A95" s="26">
        <v>45974</v>
      </c>
      <c r="B95" s="27" t="s">
        <v>4</v>
      </c>
      <c r="C95" s="24">
        <v>-17.55</v>
      </c>
    </row>
    <row r="96" spans="1:3" x14ac:dyDescent="0.3">
      <c r="A96" s="26">
        <v>45979</v>
      </c>
      <c r="B96" s="27" t="s">
        <v>4</v>
      </c>
      <c r="C96" s="24">
        <v>-19</v>
      </c>
    </row>
    <row r="97" spans="1:3" x14ac:dyDescent="0.3">
      <c r="A97" s="26">
        <v>45985</v>
      </c>
      <c r="B97" s="27" t="s">
        <v>4</v>
      </c>
      <c r="C97" s="24">
        <v>-21.05</v>
      </c>
    </row>
    <row r="98" spans="1:3" x14ac:dyDescent="0.3">
      <c r="A98" s="26">
        <v>45987</v>
      </c>
      <c r="B98" s="27" t="s">
        <v>1</v>
      </c>
      <c r="C98" s="24">
        <v>38.28</v>
      </c>
    </row>
    <row r="99" spans="1:3" x14ac:dyDescent="0.3">
      <c r="A99" s="26">
        <v>45993</v>
      </c>
      <c r="B99" s="27" t="s">
        <v>4</v>
      </c>
      <c r="C99" s="24">
        <v>-12.13</v>
      </c>
    </row>
    <row r="100" spans="1:3" x14ac:dyDescent="0.3">
      <c r="A100" s="26">
        <v>45994</v>
      </c>
      <c r="B100" s="27" t="s">
        <v>4</v>
      </c>
      <c r="C100" s="24">
        <v>-26.16</v>
      </c>
    </row>
    <row r="101" spans="1:3" x14ac:dyDescent="0.3">
      <c r="A101" s="26">
        <v>46001</v>
      </c>
      <c r="B101" s="27" t="s">
        <v>1</v>
      </c>
      <c r="C101" s="24">
        <v>50.8</v>
      </c>
    </row>
    <row r="102" spans="1:3" x14ac:dyDescent="0.3">
      <c r="A102" s="26">
        <v>46003</v>
      </c>
      <c r="B102" s="27" t="s">
        <v>4</v>
      </c>
      <c r="C102" s="24">
        <v>-16.809999999999999</v>
      </c>
    </row>
    <row r="103" spans="1:3" x14ac:dyDescent="0.3">
      <c r="A103" s="26">
        <v>46003</v>
      </c>
      <c r="B103" s="27" t="s">
        <v>4</v>
      </c>
      <c r="C103" s="24">
        <v>-6.72</v>
      </c>
    </row>
    <row r="104" spans="1:3" x14ac:dyDescent="0.3">
      <c r="A104" s="26">
        <v>46009</v>
      </c>
      <c r="B104" s="27" t="s">
        <v>4</v>
      </c>
      <c r="C104" s="24">
        <v>-24.11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45FB-D4AB-4909-90B3-E68FDECCBC31}">
  <dimension ref="A1:H12"/>
  <sheetViews>
    <sheetView view="pageBreakPreview" zoomScale="80" zoomScaleNormal="100" zoomScaleSheetLayoutView="8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488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45961</v>
      </c>
      <c r="B5" s="27" t="s">
        <v>4</v>
      </c>
      <c r="C5" s="24">
        <v>-9.84</v>
      </c>
      <c r="D5" s="30"/>
      <c r="E5" s="30"/>
      <c r="F5" s="30"/>
      <c r="G5" s="22"/>
    </row>
    <row r="6" spans="1:8" x14ac:dyDescent="0.3">
      <c r="A6" s="21">
        <v>45961</v>
      </c>
      <c r="B6" s="35" t="s">
        <v>1</v>
      </c>
      <c r="C6" s="24">
        <v>9.84</v>
      </c>
    </row>
    <row r="7" spans="1:8" x14ac:dyDescent="0.3">
      <c r="A7" s="21"/>
      <c r="B7" s="46"/>
    </row>
    <row r="10" spans="1:8" x14ac:dyDescent="0.3">
      <c r="B10" s="31"/>
    </row>
    <row r="12" spans="1:8" x14ac:dyDescent="0.3">
      <c r="B12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559B6-9FE3-4DC1-A46D-CC680B8936A2}">
  <sheetPr codeName="Hoja160"/>
  <dimension ref="A1:H12"/>
  <sheetViews>
    <sheetView view="pageBreakPreview" zoomScale="80" zoomScaleNormal="100" zoomScaleSheetLayoutView="8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228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229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-1.9999999999999574E-2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45835</v>
      </c>
      <c r="B5" s="34" t="s">
        <v>21</v>
      </c>
      <c r="C5" s="24">
        <v>21.48</v>
      </c>
      <c r="D5" s="30"/>
      <c r="E5" s="30"/>
      <c r="F5" s="30"/>
      <c r="G5" s="22"/>
    </row>
    <row r="6" spans="1:8" x14ac:dyDescent="0.3">
      <c r="A6" s="21">
        <v>45842</v>
      </c>
      <c r="B6" s="27" t="s">
        <v>7</v>
      </c>
      <c r="C6" s="24">
        <v>-21.5</v>
      </c>
    </row>
    <row r="7" spans="1:8" x14ac:dyDescent="0.3">
      <c r="A7" s="21"/>
      <c r="B7" s="46" t="s">
        <v>21</v>
      </c>
    </row>
    <row r="8" spans="1:8" x14ac:dyDescent="0.3">
      <c r="B8" s="27" t="s">
        <v>4</v>
      </c>
    </row>
    <row r="10" spans="1:8" x14ac:dyDescent="0.3">
      <c r="B10" s="31"/>
    </row>
    <row r="12" spans="1:8" x14ac:dyDescent="0.3">
      <c r="B12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1B6A4-4230-4966-AFAD-39F393C90A93}">
  <dimension ref="A1:H18"/>
  <sheetViews>
    <sheetView view="pageBreakPreview" zoomScale="80" zoomScaleNormal="100" zoomScaleSheetLayoutView="80" workbookViewId="0">
      <selection activeCell="C19" sqref="C1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478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479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12.61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45945</v>
      </c>
      <c r="B5" s="34" t="s">
        <v>1</v>
      </c>
      <c r="C5" s="24">
        <v>67.11</v>
      </c>
      <c r="D5" s="30"/>
      <c r="E5" s="30"/>
      <c r="F5" s="30"/>
      <c r="G5" s="22"/>
    </row>
    <row r="6" spans="1:8" hidden="1" x14ac:dyDescent="0.3">
      <c r="A6" s="21">
        <v>45947</v>
      </c>
      <c r="B6" s="27" t="s">
        <v>4</v>
      </c>
      <c r="C6" s="24">
        <v>-60</v>
      </c>
    </row>
    <row r="7" spans="1:8" hidden="1" x14ac:dyDescent="0.3">
      <c r="A7" s="21">
        <v>45950</v>
      </c>
      <c r="B7" s="27" t="s">
        <v>4</v>
      </c>
      <c r="C7" s="24">
        <v>-7.11</v>
      </c>
    </row>
    <row r="8" spans="1:8" hidden="1" x14ac:dyDescent="0.3">
      <c r="A8" s="26">
        <v>45952</v>
      </c>
      <c r="B8" s="34" t="s">
        <v>1</v>
      </c>
      <c r="C8" s="24">
        <v>100.75</v>
      </c>
    </row>
    <row r="9" spans="1:8" hidden="1" x14ac:dyDescent="0.3">
      <c r="A9" s="26">
        <v>45960</v>
      </c>
      <c r="B9" s="27" t="s">
        <v>4</v>
      </c>
      <c r="C9" s="24">
        <v>-26.16</v>
      </c>
    </row>
    <row r="10" spans="1:8" hidden="1" x14ac:dyDescent="0.3">
      <c r="A10" s="26">
        <v>45961</v>
      </c>
      <c r="B10" s="31" t="s">
        <v>4</v>
      </c>
      <c r="C10" s="24">
        <v>-31</v>
      </c>
    </row>
    <row r="11" spans="1:8" hidden="1" x14ac:dyDescent="0.3">
      <c r="A11" s="26">
        <v>45964</v>
      </c>
      <c r="B11" s="27" t="s">
        <v>4</v>
      </c>
      <c r="C11" s="24">
        <v>-43.75</v>
      </c>
    </row>
    <row r="12" spans="1:8" x14ac:dyDescent="0.3">
      <c r="A12" s="26">
        <v>45966</v>
      </c>
      <c r="B12" s="34" t="s">
        <v>1</v>
      </c>
      <c r="C12" s="24">
        <v>136.51</v>
      </c>
    </row>
    <row r="13" spans="1:8" x14ac:dyDescent="0.3">
      <c r="A13" s="26">
        <v>45966</v>
      </c>
      <c r="B13" s="46" t="s">
        <v>1</v>
      </c>
      <c r="C13" s="24">
        <v>9.81</v>
      </c>
    </row>
    <row r="14" spans="1:8" x14ac:dyDescent="0.3">
      <c r="A14" s="26">
        <v>45978</v>
      </c>
      <c r="B14" s="27" t="s">
        <v>4</v>
      </c>
      <c r="C14" s="24">
        <v>-38.909999999999997</v>
      </c>
    </row>
    <row r="15" spans="1:8" x14ac:dyDescent="0.3">
      <c r="A15" s="26">
        <v>45978</v>
      </c>
      <c r="B15" s="27" t="s">
        <v>4</v>
      </c>
      <c r="C15" s="24">
        <v>-41.02</v>
      </c>
    </row>
    <row r="16" spans="1:8" x14ac:dyDescent="0.3">
      <c r="A16" s="26">
        <v>45979</v>
      </c>
      <c r="B16" s="27" t="s">
        <v>4</v>
      </c>
      <c r="C16" s="24">
        <v>-52.36</v>
      </c>
    </row>
    <row r="17" spans="1:3" x14ac:dyDescent="0.3">
      <c r="A17" s="26">
        <v>45987</v>
      </c>
      <c r="B17" s="27" t="s">
        <v>1</v>
      </c>
      <c r="C17" s="24">
        <v>120.94</v>
      </c>
    </row>
    <row r="18" spans="1:3" x14ac:dyDescent="0.3">
      <c r="A18" s="26">
        <v>45995</v>
      </c>
      <c r="B18" s="27" t="s">
        <v>257</v>
      </c>
      <c r="C18" s="24">
        <v>-122.2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D7A3E-AAE0-4EEC-B9D4-816AEF71C9EC}">
  <dimension ref="A1:H12"/>
  <sheetViews>
    <sheetView view="pageBreakPreview" zoomScale="80" zoomScaleNormal="100" zoomScaleSheetLayoutView="8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526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476.88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46013</v>
      </c>
      <c r="B5" s="27" t="s">
        <v>1</v>
      </c>
      <c r="C5" s="24">
        <v>476.88</v>
      </c>
      <c r="D5" s="30"/>
      <c r="E5" s="30"/>
      <c r="F5" s="30"/>
      <c r="G5" s="22"/>
    </row>
    <row r="6" spans="1:8" x14ac:dyDescent="0.3">
      <c r="A6" s="21"/>
    </row>
    <row r="7" spans="1:8" x14ac:dyDescent="0.3">
      <c r="A7" s="21"/>
    </row>
    <row r="10" spans="1:8" x14ac:dyDescent="0.3">
      <c r="B10" s="31"/>
    </row>
    <row r="12" spans="1:8" x14ac:dyDescent="0.3">
      <c r="B12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AD2D5-85ED-4572-8F08-E136971942DA}">
  <dimension ref="A1:H12"/>
  <sheetViews>
    <sheetView view="pageBreakPreview" zoomScale="80" zoomScaleNormal="100" zoomScaleSheetLayoutView="80" workbookViewId="0">
      <selection activeCell="B1" sqref="B1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550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17.28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46052</v>
      </c>
      <c r="B5" s="27" t="s">
        <v>1</v>
      </c>
      <c r="C5" s="24">
        <v>17.28</v>
      </c>
      <c r="D5" s="30"/>
      <c r="E5" s="30"/>
      <c r="F5" s="30"/>
      <c r="G5" s="22"/>
    </row>
    <row r="6" spans="1:8" x14ac:dyDescent="0.3">
      <c r="A6" s="21"/>
    </row>
    <row r="7" spans="1:8" x14ac:dyDescent="0.3">
      <c r="A7" s="21"/>
    </row>
    <row r="10" spans="1:8" x14ac:dyDescent="0.3">
      <c r="B10" s="31"/>
    </row>
    <row r="12" spans="1:8" x14ac:dyDescent="0.3">
      <c r="B12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13B0-5B71-4799-A659-D7FD5C434054}">
  <dimension ref="A1:H71"/>
  <sheetViews>
    <sheetView view="pageBreakPreview" topLeftCell="A43" zoomScale="80" zoomScaleNormal="100" zoomScaleSheetLayoutView="80" workbookViewId="0">
      <selection activeCell="C72" sqref="C7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363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52.630000000000052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45853</v>
      </c>
      <c r="B5" s="34" t="s">
        <v>21</v>
      </c>
      <c r="C5" s="24">
        <v>102.42</v>
      </c>
      <c r="D5" s="30"/>
      <c r="E5" s="30"/>
      <c r="F5" s="30"/>
      <c r="G5" s="22"/>
    </row>
    <row r="6" spans="1:8" x14ac:dyDescent="0.3">
      <c r="A6" s="21">
        <v>45862</v>
      </c>
      <c r="B6" s="27" t="s">
        <v>7</v>
      </c>
      <c r="C6" s="24">
        <v>-102.42</v>
      </c>
    </row>
    <row r="7" spans="1:8" x14ac:dyDescent="0.3">
      <c r="A7" s="21">
        <v>45862</v>
      </c>
      <c r="B7" s="32" t="s">
        <v>1</v>
      </c>
      <c r="C7" s="24">
        <v>22.8</v>
      </c>
    </row>
    <row r="8" spans="1:8" x14ac:dyDescent="0.3">
      <c r="A8" s="21">
        <v>45862</v>
      </c>
      <c r="B8" s="34" t="s">
        <v>21</v>
      </c>
      <c r="C8" s="24">
        <v>62.38</v>
      </c>
    </row>
    <row r="9" spans="1:8" x14ac:dyDescent="0.3">
      <c r="A9" s="21">
        <v>45862</v>
      </c>
      <c r="B9" s="46" t="s">
        <v>21</v>
      </c>
      <c r="C9" s="24">
        <v>6.78</v>
      </c>
    </row>
    <row r="10" spans="1:8" x14ac:dyDescent="0.3">
      <c r="A10" s="26">
        <v>45869</v>
      </c>
      <c r="B10" s="31" t="s">
        <v>4</v>
      </c>
      <c r="C10" s="24">
        <v>-91.96</v>
      </c>
    </row>
    <row r="11" spans="1:8" x14ac:dyDescent="0.3">
      <c r="A11" s="26">
        <v>45869</v>
      </c>
      <c r="B11" s="32" t="s">
        <v>1</v>
      </c>
      <c r="C11" s="24">
        <v>38.14</v>
      </c>
    </row>
    <row r="12" spans="1:8" x14ac:dyDescent="0.3">
      <c r="A12" s="26">
        <v>45869</v>
      </c>
      <c r="B12" s="34" t="s">
        <v>21</v>
      </c>
      <c r="C12" s="24">
        <v>86.16</v>
      </c>
    </row>
    <row r="13" spans="1:8" x14ac:dyDescent="0.3">
      <c r="A13" s="26">
        <v>45869</v>
      </c>
      <c r="B13" s="46" t="s">
        <v>21</v>
      </c>
      <c r="C13" s="24">
        <v>55.86</v>
      </c>
    </row>
    <row r="14" spans="1:8" x14ac:dyDescent="0.3">
      <c r="A14" s="26">
        <v>45876</v>
      </c>
      <c r="B14" s="27" t="s">
        <v>4</v>
      </c>
      <c r="C14" s="24">
        <v>-100</v>
      </c>
    </row>
    <row r="15" spans="1:8" x14ac:dyDescent="0.3">
      <c r="A15" s="26">
        <v>45876</v>
      </c>
      <c r="B15" s="27" t="s">
        <v>7</v>
      </c>
      <c r="C15" s="24">
        <v>-82.75</v>
      </c>
    </row>
    <row r="16" spans="1:8" x14ac:dyDescent="0.3">
      <c r="A16" s="26">
        <v>45876</v>
      </c>
      <c r="B16" s="34" t="s">
        <v>21</v>
      </c>
      <c r="C16" s="24">
        <v>40.799999999999997</v>
      </c>
    </row>
    <row r="17" spans="1:3" x14ac:dyDescent="0.3">
      <c r="A17" s="26">
        <v>45886</v>
      </c>
      <c r="B17" s="27" t="s">
        <v>4</v>
      </c>
      <c r="C17" s="24">
        <v>-40.799999999999997</v>
      </c>
    </row>
    <row r="18" spans="1:3" x14ac:dyDescent="0.3">
      <c r="A18" s="26">
        <v>45884</v>
      </c>
      <c r="B18" s="32" t="s">
        <v>1</v>
      </c>
      <c r="C18" s="24">
        <v>22.8</v>
      </c>
    </row>
    <row r="19" spans="1:3" x14ac:dyDescent="0.3">
      <c r="A19" s="26">
        <v>45884</v>
      </c>
      <c r="B19" s="34" t="s">
        <v>21</v>
      </c>
      <c r="C19" s="24">
        <v>47.35</v>
      </c>
    </row>
    <row r="20" spans="1:3" x14ac:dyDescent="0.3">
      <c r="A20" s="26">
        <v>45890</v>
      </c>
      <c r="B20" s="27" t="s">
        <v>4</v>
      </c>
      <c r="C20" s="24">
        <v>-70.150000000000006</v>
      </c>
    </row>
    <row r="21" spans="1:3" x14ac:dyDescent="0.3">
      <c r="A21" s="26">
        <v>45890</v>
      </c>
      <c r="B21" s="34" t="s">
        <v>21</v>
      </c>
      <c r="C21" s="24">
        <v>30.89</v>
      </c>
    </row>
    <row r="22" spans="1:3" x14ac:dyDescent="0.3">
      <c r="A22" s="26">
        <v>45890</v>
      </c>
      <c r="B22" s="32" t="s">
        <v>1</v>
      </c>
      <c r="C22" s="24">
        <v>7.5</v>
      </c>
    </row>
    <row r="23" spans="1:3" x14ac:dyDescent="0.3">
      <c r="A23" s="26">
        <v>45897</v>
      </c>
      <c r="B23" s="27" t="s">
        <v>4</v>
      </c>
      <c r="C23" s="24">
        <v>-38.39</v>
      </c>
    </row>
    <row r="24" spans="1:3" x14ac:dyDescent="0.3">
      <c r="A24" s="26">
        <v>45897</v>
      </c>
      <c r="B24" s="32" t="s">
        <v>1</v>
      </c>
      <c r="C24" s="24">
        <v>7.5</v>
      </c>
    </row>
    <row r="25" spans="1:3" x14ac:dyDescent="0.3">
      <c r="A25" s="26">
        <v>45897</v>
      </c>
      <c r="B25" s="34" t="s">
        <v>21</v>
      </c>
      <c r="C25" s="24">
        <v>25.03</v>
      </c>
    </row>
    <row r="26" spans="1:3" x14ac:dyDescent="0.3">
      <c r="A26" s="26">
        <v>45904</v>
      </c>
      <c r="B26" s="27" t="s">
        <v>4</v>
      </c>
      <c r="C26" s="24">
        <v>-31.51</v>
      </c>
    </row>
    <row r="27" spans="1:3" x14ac:dyDescent="0.3">
      <c r="A27" s="26">
        <v>45911</v>
      </c>
      <c r="B27" s="32" t="s">
        <v>1</v>
      </c>
      <c r="C27" s="24">
        <v>17.34</v>
      </c>
    </row>
    <row r="28" spans="1:3" x14ac:dyDescent="0.3">
      <c r="A28" s="26">
        <v>45911</v>
      </c>
      <c r="B28" s="34" t="s">
        <v>21</v>
      </c>
      <c r="C28" s="24">
        <v>53.53</v>
      </c>
    </row>
    <row r="29" spans="1:3" x14ac:dyDescent="0.3">
      <c r="A29" s="26">
        <v>45911</v>
      </c>
      <c r="B29" s="46" t="s">
        <v>21</v>
      </c>
      <c r="C29" s="24">
        <v>20.76</v>
      </c>
    </row>
    <row r="30" spans="1:3" x14ac:dyDescent="0.3">
      <c r="A30" s="26">
        <v>45918</v>
      </c>
      <c r="B30" s="27" t="s">
        <v>4</v>
      </c>
      <c r="C30" s="24">
        <v>-91.63</v>
      </c>
    </row>
    <row r="31" spans="1:3" x14ac:dyDescent="0.3">
      <c r="A31" s="26">
        <v>45918</v>
      </c>
      <c r="B31" s="32" t="s">
        <v>1</v>
      </c>
      <c r="C31" s="24">
        <v>15.3</v>
      </c>
    </row>
    <row r="32" spans="1:3" x14ac:dyDescent="0.3">
      <c r="A32" s="26">
        <v>45918</v>
      </c>
      <c r="B32" s="34" t="s">
        <v>21</v>
      </c>
      <c r="C32" s="24">
        <v>43.14</v>
      </c>
    </row>
    <row r="33" spans="1:3" x14ac:dyDescent="0.3">
      <c r="A33" s="26">
        <v>45925</v>
      </c>
      <c r="B33" s="27" t="s">
        <v>4</v>
      </c>
      <c r="C33" s="24">
        <v>-58.44</v>
      </c>
    </row>
    <row r="34" spans="1:3" x14ac:dyDescent="0.3">
      <c r="A34" s="26">
        <v>45925</v>
      </c>
      <c r="B34" s="32" t="s">
        <v>1</v>
      </c>
      <c r="C34" s="24">
        <v>45.64</v>
      </c>
    </row>
    <row r="35" spans="1:3" x14ac:dyDescent="0.3">
      <c r="A35" s="26">
        <v>45930</v>
      </c>
      <c r="B35" s="27" t="s">
        <v>4</v>
      </c>
      <c r="C35" s="24">
        <v>-45.64</v>
      </c>
    </row>
    <row r="36" spans="1:3" x14ac:dyDescent="0.3">
      <c r="A36" s="26">
        <v>45932</v>
      </c>
      <c r="B36" s="32" t="s">
        <v>1</v>
      </c>
      <c r="C36" s="24">
        <v>24.84</v>
      </c>
    </row>
    <row r="37" spans="1:3" x14ac:dyDescent="0.3">
      <c r="A37" s="26">
        <v>45932</v>
      </c>
      <c r="B37" s="34" t="s">
        <v>21</v>
      </c>
      <c r="C37" s="24">
        <v>7.2</v>
      </c>
    </row>
    <row r="38" spans="1:3" x14ac:dyDescent="0.3">
      <c r="A38" s="26">
        <v>45936</v>
      </c>
      <c r="B38" s="27" t="s">
        <v>4</v>
      </c>
      <c r="C38" s="24">
        <v>-32.04</v>
      </c>
    </row>
    <row r="39" spans="1:3" x14ac:dyDescent="0.3">
      <c r="A39" s="26">
        <v>45939</v>
      </c>
      <c r="B39" s="32" t="s">
        <v>1</v>
      </c>
      <c r="C39" s="24">
        <v>25.14</v>
      </c>
    </row>
    <row r="40" spans="1:3" x14ac:dyDescent="0.3">
      <c r="A40" s="26">
        <v>45939</v>
      </c>
      <c r="B40" s="34" t="s">
        <v>21</v>
      </c>
      <c r="C40" s="24">
        <v>30.55</v>
      </c>
    </row>
    <row r="41" spans="1:3" x14ac:dyDescent="0.3">
      <c r="A41" s="26">
        <v>45943</v>
      </c>
      <c r="B41" s="27" t="s">
        <v>4</v>
      </c>
      <c r="C41" s="24">
        <v>-55.69</v>
      </c>
    </row>
    <row r="42" spans="1:3" x14ac:dyDescent="0.3">
      <c r="A42" s="26">
        <v>45946</v>
      </c>
      <c r="B42" s="32" t="s">
        <v>1</v>
      </c>
      <c r="C42" s="24">
        <v>22.8</v>
      </c>
    </row>
    <row r="43" spans="1:3" x14ac:dyDescent="0.3">
      <c r="A43" s="26">
        <v>45947</v>
      </c>
      <c r="B43" s="34" t="s">
        <v>21</v>
      </c>
      <c r="C43" s="24">
        <v>48.21</v>
      </c>
    </row>
    <row r="44" spans="1:3" x14ac:dyDescent="0.3">
      <c r="A44" s="26">
        <v>45950</v>
      </c>
      <c r="B44" s="27" t="s">
        <v>4</v>
      </c>
      <c r="C44" s="24">
        <v>-71.010000000000005</v>
      </c>
    </row>
    <row r="45" spans="1:3" x14ac:dyDescent="0.3">
      <c r="A45" s="26">
        <v>45953</v>
      </c>
      <c r="B45" s="32" t="s">
        <v>1</v>
      </c>
      <c r="C45" s="24">
        <v>22.5</v>
      </c>
    </row>
    <row r="46" spans="1:3" x14ac:dyDescent="0.3">
      <c r="A46" s="26">
        <v>45953</v>
      </c>
      <c r="B46" s="34" t="s">
        <v>21</v>
      </c>
      <c r="C46" s="24">
        <v>29.82</v>
      </c>
    </row>
    <row r="47" spans="1:3" x14ac:dyDescent="0.3">
      <c r="A47" s="26">
        <v>45960</v>
      </c>
      <c r="B47" s="27" t="s">
        <v>4</v>
      </c>
      <c r="C47" s="24">
        <v>-52.32</v>
      </c>
    </row>
    <row r="48" spans="1:3" x14ac:dyDescent="0.3">
      <c r="A48" s="26">
        <v>45960</v>
      </c>
      <c r="B48" s="32" t="s">
        <v>1</v>
      </c>
      <c r="C48" s="24">
        <v>15</v>
      </c>
    </row>
    <row r="49" spans="1:3" x14ac:dyDescent="0.3">
      <c r="A49" s="26">
        <v>45960</v>
      </c>
      <c r="B49" s="34" t="s">
        <v>21</v>
      </c>
      <c r="C49" s="24">
        <v>36.4</v>
      </c>
    </row>
    <row r="50" spans="1:3" x14ac:dyDescent="0.3">
      <c r="A50" s="26">
        <v>45964</v>
      </c>
      <c r="B50" s="27" t="s">
        <v>4</v>
      </c>
      <c r="C50" s="24">
        <v>-48.77</v>
      </c>
    </row>
    <row r="51" spans="1:3" x14ac:dyDescent="0.3">
      <c r="A51" s="26">
        <v>45967</v>
      </c>
      <c r="B51" s="32" t="s">
        <v>1</v>
      </c>
      <c r="C51" s="24">
        <v>15</v>
      </c>
    </row>
    <row r="52" spans="1:3" x14ac:dyDescent="0.3">
      <c r="A52" s="26">
        <v>45967</v>
      </c>
      <c r="B52" s="34" t="s">
        <v>21</v>
      </c>
      <c r="C52" s="24">
        <v>108.1</v>
      </c>
    </row>
    <row r="53" spans="1:3" x14ac:dyDescent="0.3">
      <c r="A53" s="26">
        <v>45974</v>
      </c>
      <c r="B53" s="27" t="s">
        <v>4</v>
      </c>
      <c r="C53" s="24">
        <v>-117.74</v>
      </c>
    </row>
    <row r="54" spans="1:3" x14ac:dyDescent="0.3">
      <c r="A54" s="26">
        <v>45974</v>
      </c>
      <c r="B54" s="27" t="s">
        <v>7</v>
      </c>
      <c r="C54" s="24">
        <v>-5.35</v>
      </c>
    </row>
    <row r="55" spans="1:3" x14ac:dyDescent="0.3">
      <c r="A55" s="26">
        <v>45974</v>
      </c>
      <c r="B55" s="27" t="s">
        <v>1</v>
      </c>
      <c r="C55" s="24">
        <v>70.650000000000006</v>
      </c>
    </row>
    <row r="56" spans="1:3" x14ac:dyDescent="0.3">
      <c r="A56" s="26">
        <v>45981</v>
      </c>
      <c r="B56" s="27" t="s">
        <v>4</v>
      </c>
      <c r="C56" s="24">
        <v>-70.650000000000006</v>
      </c>
    </row>
    <row r="57" spans="1:3" x14ac:dyDescent="0.3">
      <c r="A57" s="26">
        <v>45981</v>
      </c>
      <c r="B57" s="27" t="s">
        <v>1</v>
      </c>
      <c r="C57" s="24">
        <v>67.12</v>
      </c>
    </row>
    <row r="58" spans="1:3" x14ac:dyDescent="0.3">
      <c r="A58" s="26">
        <v>45986</v>
      </c>
      <c r="B58" s="27" t="s">
        <v>4</v>
      </c>
      <c r="C58" s="24">
        <v>-67.12</v>
      </c>
    </row>
    <row r="59" spans="1:3" x14ac:dyDescent="0.3">
      <c r="A59" s="26">
        <v>45988</v>
      </c>
      <c r="B59" s="27" t="s">
        <v>1</v>
      </c>
      <c r="C59" s="24">
        <v>95.93</v>
      </c>
    </row>
    <row r="60" spans="1:3" x14ac:dyDescent="0.3">
      <c r="A60" s="26">
        <v>45995</v>
      </c>
      <c r="B60" s="27" t="s">
        <v>4</v>
      </c>
      <c r="C60" s="24">
        <v>-95.93</v>
      </c>
    </row>
    <row r="61" spans="1:3" x14ac:dyDescent="0.3">
      <c r="A61" s="26">
        <v>46003</v>
      </c>
      <c r="B61" s="27" t="s">
        <v>1</v>
      </c>
      <c r="C61" s="24">
        <v>74.180000000000007</v>
      </c>
    </row>
    <row r="62" spans="1:3" x14ac:dyDescent="0.3">
      <c r="A62" s="26">
        <v>46007</v>
      </c>
      <c r="B62" s="27" t="s">
        <v>4</v>
      </c>
      <c r="C62" s="24">
        <v>-74.180000000000007</v>
      </c>
    </row>
    <row r="63" spans="1:3" x14ac:dyDescent="0.3">
      <c r="A63" s="26">
        <v>46017</v>
      </c>
      <c r="B63" s="27" t="s">
        <v>1</v>
      </c>
      <c r="C63" s="24">
        <v>136.76</v>
      </c>
    </row>
    <row r="64" spans="1:3" x14ac:dyDescent="0.3">
      <c r="A64" s="26">
        <v>46024</v>
      </c>
      <c r="B64" s="27" t="s">
        <v>4</v>
      </c>
      <c r="C64" s="24">
        <v>-136.76</v>
      </c>
    </row>
    <row r="65" spans="1:3" x14ac:dyDescent="0.3">
      <c r="A65" s="26">
        <v>46031</v>
      </c>
      <c r="B65" s="27" t="s">
        <v>1</v>
      </c>
      <c r="C65" s="24">
        <v>69.239999999999995</v>
      </c>
    </row>
    <row r="66" spans="1:3" x14ac:dyDescent="0.3">
      <c r="A66" s="26">
        <v>46034</v>
      </c>
      <c r="B66" s="27" t="s">
        <v>4</v>
      </c>
      <c r="C66" s="24">
        <v>-69.239999999999995</v>
      </c>
    </row>
    <row r="67" spans="1:3" x14ac:dyDescent="0.3">
      <c r="A67" s="26">
        <v>46037</v>
      </c>
      <c r="B67" s="27" t="s">
        <v>1</v>
      </c>
      <c r="C67" s="24">
        <v>31.24</v>
      </c>
    </row>
    <row r="68" spans="1:3" x14ac:dyDescent="0.3">
      <c r="A68" s="26">
        <v>46042</v>
      </c>
      <c r="B68" s="27" t="s">
        <v>4</v>
      </c>
      <c r="C68" s="24">
        <v>-31.24</v>
      </c>
    </row>
    <row r="69" spans="1:3" x14ac:dyDescent="0.3">
      <c r="A69" s="26">
        <v>46048</v>
      </c>
      <c r="B69" s="27" t="s">
        <v>1</v>
      </c>
      <c r="C69" s="24">
        <v>28.25</v>
      </c>
    </row>
    <row r="70" spans="1:3" x14ac:dyDescent="0.3">
      <c r="A70" s="26">
        <v>46049</v>
      </c>
      <c r="B70" s="27" t="s">
        <v>4</v>
      </c>
      <c r="C70" s="24">
        <v>-28.25</v>
      </c>
    </row>
    <row r="71" spans="1:3" x14ac:dyDescent="0.3">
      <c r="A71" s="26">
        <v>46051</v>
      </c>
      <c r="B71" s="27" t="s">
        <v>1</v>
      </c>
      <c r="C71" s="24">
        <v>51.56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32FB-9A52-44B0-A997-5071A59603A2}">
  <sheetPr codeName="Hoja65"/>
  <dimension ref="A1:I50"/>
  <sheetViews>
    <sheetView view="pageBreakPreview" zoomScale="80" zoomScaleNormal="100" zoomScaleSheetLayoutView="80" workbookViewId="0">
      <selection activeCell="C51" sqref="C51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43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 t="s">
        <v>260</v>
      </c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1.279999999999994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45814</v>
      </c>
      <c r="B5" s="28" t="s">
        <v>4</v>
      </c>
      <c r="C5" s="24">
        <v>-91.93</v>
      </c>
      <c r="D5" s="30"/>
      <c r="E5" s="30"/>
      <c r="F5" s="30"/>
      <c r="G5" s="22"/>
    </row>
    <row r="6" spans="1:9" hidden="1" x14ac:dyDescent="0.3">
      <c r="A6" s="26">
        <v>45813</v>
      </c>
      <c r="B6" s="32" t="s">
        <v>21</v>
      </c>
      <c r="C6" s="24">
        <v>28.65</v>
      </c>
    </row>
    <row r="7" spans="1:9" hidden="1" x14ac:dyDescent="0.3">
      <c r="A7" s="26">
        <v>45813</v>
      </c>
      <c r="B7" s="34" t="s">
        <v>21</v>
      </c>
      <c r="C7" s="24">
        <v>100.33</v>
      </c>
    </row>
    <row r="8" spans="1:9" hidden="1" x14ac:dyDescent="0.3">
      <c r="A8" s="26">
        <v>45821</v>
      </c>
      <c r="B8" s="27" t="s">
        <v>4</v>
      </c>
      <c r="C8" s="24">
        <v>-36.78</v>
      </c>
    </row>
    <row r="9" spans="1:9" hidden="1" x14ac:dyDescent="0.3">
      <c r="A9" s="26">
        <v>45826</v>
      </c>
      <c r="B9" s="34" t="s">
        <v>21</v>
      </c>
      <c r="C9" s="24">
        <v>69.959999999999994</v>
      </c>
      <c r="I9" s="25"/>
    </row>
    <row r="10" spans="1:9" hidden="1" x14ac:dyDescent="0.3">
      <c r="A10" s="26">
        <v>45831</v>
      </c>
      <c r="B10" s="31" t="s">
        <v>4</v>
      </c>
      <c r="C10" s="24">
        <v>-47.41</v>
      </c>
    </row>
    <row r="11" spans="1:9" hidden="1" x14ac:dyDescent="0.3">
      <c r="A11" s="26">
        <v>45833</v>
      </c>
      <c r="B11" s="34" t="s">
        <v>21</v>
      </c>
      <c r="C11" s="24">
        <v>25.56</v>
      </c>
    </row>
    <row r="12" spans="1:9" hidden="1" x14ac:dyDescent="0.3">
      <c r="A12" s="26">
        <v>45852</v>
      </c>
      <c r="B12" s="31" t="s">
        <v>4</v>
      </c>
      <c r="C12" s="24">
        <v>-25.36</v>
      </c>
    </row>
    <row r="13" spans="1:9" hidden="1" x14ac:dyDescent="0.3">
      <c r="A13" s="26">
        <v>45854</v>
      </c>
      <c r="B13" s="27" t="s">
        <v>4</v>
      </c>
      <c r="C13" s="24">
        <v>-22.54</v>
      </c>
    </row>
    <row r="14" spans="1:9" hidden="1" x14ac:dyDescent="0.3">
      <c r="A14" s="26">
        <v>45861</v>
      </c>
      <c r="B14" s="27" t="s">
        <v>4</v>
      </c>
      <c r="C14" s="24">
        <v>-87.16</v>
      </c>
    </row>
    <row r="15" spans="1:9" hidden="1" x14ac:dyDescent="0.3">
      <c r="A15" s="26">
        <v>45861</v>
      </c>
      <c r="B15" s="32" t="s">
        <v>21</v>
      </c>
      <c r="C15" s="24">
        <v>7.8</v>
      </c>
    </row>
    <row r="16" spans="1:9" hidden="1" x14ac:dyDescent="0.3">
      <c r="A16" s="26">
        <v>45861</v>
      </c>
      <c r="B16" s="34" t="s">
        <v>21</v>
      </c>
      <c r="C16" s="24">
        <v>79.36</v>
      </c>
    </row>
    <row r="17" spans="1:3" hidden="1" x14ac:dyDescent="0.3">
      <c r="A17" s="26">
        <v>45875</v>
      </c>
      <c r="B17" s="32" t="s">
        <v>21</v>
      </c>
      <c r="C17" s="24">
        <v>15.85</v>
      </c>
    </row>
    <row r="18" spans="1:3" hidden="1" x14ac:dyDescent="0.3">
      <c r="A18" s="26">
        <v>45875</v>
      </c>
      <c r="B18" s="34" t="s">
        <v>21</v>
      </c>
      <c r="C18" s="24">
        <v>34.83</v>
      </c>
    </row>
    <row r="19" spans="1:3" hidden="1" x14ac:dyDescent="0.3">
      <c r="A19" s="26">
        <v>45883</v>
      </c>
      <c r="B19" s="27" t="s">
        <v>4</v>
      </c>
      <c r="C19" s="24">
        <v>-50.68</v>
      </c>
    </row>
    <row r="20" spans="1:3" hidden="1" x14ac:dyDescent="0.3">
      <c r="A20" s="26">
        <v>45889</v>
      </c>
      <c r="B20" s="32" t="s">
        <v>21</v>
      </c>
      <c r="C20" s="24">
        <v>9.84</v>
      </c>
    </row>
    <row r="21" spans="1:3" hidden="1" x14ac:dyDescent="0.3">
      <c r="A21" s="26">
        <v>45889</v>
      </c>
      <c r="B21" s="34" t="s">
        <v>21</v>
      </c>
      <c r="C21" s="24">
        <v>71.790000000000006</v>
      </c>
    </row>
    <row r="22" spans="1:3" hidden="1" x14ac:dyDescent="0.3">
      <c r="A22" s="26">
        <v>45889</v>
      </c>
      <c r="B22" s="46" t="s">
        <v>21</v>
      </c>
      <c r="C22" s="24">
        <v>12.86</v>
      </c>
    </row>
    <row r="23" spans="1:3" hidden="1" x14ac:dyDescent="0.3">
      <c r="A23" s="26">
        <v>45894</v>
      </c>
      <c r="B23" s="27" t="s">
        <v>4</v>
      </c>
      <c r="C23" s="24">
        <v>-93.67</v>
      </c>
    </row>
    <row r="24" spans="1:3" hidden="1" x14ac:dyDescent="0.3">
      <c r="A24" s="26">
        <v>45903</v>
      </c>
      <c r="B24" s="27" t="s">
        <v>4</v>
      </c>
      <c r="C24" s="24">
        <v>-22.85</v>
      </c>
    </row>
    <row r="25" spans="1:3" hidden="1" x14ac:dyDescent="0.3">
      <c r="A25" s="26">
        <v>45903</v>
      </c>
      <c r="B25" s="32" t="s">
        <v>21</v>
      </c>
      <c r="C25" s="24">
        <v>9</v>
      </c>
    </row>
    <row r="26" spans="1:3" hidden="1" x14ac:dyDescent="0.3">
      <c r="A26" s="26">
        <v>45903</v>
      </c>
      <c r="B26" s="34" t="s">
        <v>21</v>
      </c>
      <c r="C26" s="24">
        <v>118.48</v>
      </c>
    </row>
    <row r="27" spans="1:3" hidden="1" x14ac:dyDescent="0.3">
      <c r="A27" s="26">
        <v>45903</v>
      </c>
      <c r="B27" s="46" t="s">
        <v>21</v>
      </c>
      <c r="C27" s="24">
        <v>15.84</v>
      </c>
    </row>
    <row r="28" spans="1:3" hidden="1" x14ac:dyDescent="0.3">
      <c r="A28" s="26">
        <v>45905</v>
      </c>
      <c r="B28" s="27" t="s">
        <v>4</v>
      </c>
      <c r="C28" s="24">
        <v>-39</v>
      </c>
    </row>
    <row r="29" spans="1:3" hidden="1" x14ac:dyDescent="0.3">
      <c r="A29" s="26">
        <v>45909</v>
      </c>
      <c r="B29" s="27" t="s">
        <v>4</v>
      </c>
      <c r="C29" s="24">
        <v>-40</v>
      </c>
    </row>
    <row r="30" spans="1:3" hidden="1" x14ac:dyDescent="0.3">
      <c r="A30" s="26">
        <v>45915</v>
      </c>
      <c r="B30" s="27" t="s">
        <v>4</v>
      </c>
      <c r="C30" s="24">
        <v>-42.22</v>
      </c>
    </row>
    <row r="31" spans="1:3" hidden="1" x14ac:dyDescent="0.3">
      <c r="A31" s="26">
        <v>45917</v>
      </c>
      <c r="B31" s="34" t="s">
        <v>21</v>
      </c>
      <c r="C31" s="24">
        <v>62.68</v>
      </c>
    </row>
    <row r="32" spans="1:3" hidden="1" x14ac:dyDescent="0.3">
      <c r="A32" s="26">
        <v>45929</v>
      </c>
      <c r="B32" s="27" t="s">
        <v>4</v>
      </c>
      <c r="C32" s="24">
        <v>-45.55</v>
      </c>
    </row>
    <row r="33" spans="1:3" hidden="1" x14ac:dyDescent="0.3">
      <c r="A33" s="26">
        <v>45929</v>
      </c>
      <c r="B33" s="27" t="s">
        <v>4</v>
      </c>
      <c r="C33" s="24">
        <v>-16.63</v>
      </c>
    </row>
    <row r="34" spans="1:3" hidden="1" x14ac:dyDescent="0.3">
      <c r="A34" s="26">
        <v>45945</v>
      </c>
      <c r="B34" s="34" t="s">
        <v>21</v>
      </c>
      <c r="C34" s="24">
        <v>105.68</v>
      </c>
    </row>
    <row r="35" spans="1:3" hidden="1" x14ac:dyDescent="0.3">
      <c r="A35" s="26">
        <v>45950</v>
      </c>
      <c r="B35" s="27" t="s">
        <v>4</v>
      </c>
      <c r="C35" s="24">
        <v>-106.73</v>
      </c>
    </row>
    <row r="36" spans="1:3" hidden="1" x14ac:dyDescent="0.3">
      <c r="A36" s="26">
        <v>45959</v>
      </c>
      <c r="B36" s="32" t="s">
        <v>21</v>
      </c>
      <c r="C36" s="24">
        <v>26.22</v>
      </c>
    </row>
    <row r="37" spans="1:3" hidden="1" x14ac:dyDescent="0.3">
      <c r="A37" s="26">
        <v>45959</v>
      </c>
      <c r="B37" s="34" t="s">
        <v>21</v>
      </c>
      <c r="C37" s="24">
        <v>2.19</v>
      </c>
    </row>
    <row r="38" spans="1:3" hidden="1" x14ac:dyDescent="0.3">
      <c r="A38" s="26">
        <v>45965</v>
      </c>
      <c r="B38" s="27" t="s">
        <v>4</v>
      </c>
      <c r="C38" s="24">
        <v>-28.41</v>
      </c>
    </row>
    <row r="39" spans="1:3" hidden="1" x14ac:dyDescent="0.3">
      <c r="A39" s="26">
        <v>45980</v>
      </c>
      <c r="B39" s="27" t="s">
        <v>1</v>
      </c>
      <c r="C39" s="24">
        <v>114.12</v>
      </c>
    </row>
    <row r="40" spans="1:3" hidden="1" x14ac:dyDescent="0.3">
      <c r="A40" s="26">
        <v>45985</v>
      </c>
      <c r="B40" s="27" t="s">
        <v>4</v>
      </c>
      <c r="C40" s="24">
        <v>-49.36</v>
      </c>
    </row>
    <row r="41" spans="1:3" hidden="1" x14ac:dyDescent="0.3">
      <c r="A41" s="26">
        <v>45989</v>
      </c>
      <c r="B41" s="27" t="s">
        <v>4</v>
      </c>
      <c r="C41" s="24">
        <v>-28.49</v>
      </c>
    </row>
    <row r="42" spans="1:3" hidden="1" x14ac:dyDescent="0.3">
      <c r="A42" s="26">
        <v>45992</v>
      </c>
      <c r="B42" s="27" t="s">
        <v>4</v>
      </c>
      <c r="C42" s="24">
        <v>-36.270000000000003</v>
      </c>
    </row>
    <row r="43" spans="1:3" x14ac:dyDescent="0.3">
      <c r="A43" s="26">
        <v>45994</v>
      </c>
      <c r="B43" s="27" t="s">
        <v>1</v>
      </c>
      <c r="C43" s="24">
        <v>99.08</v>
      </c>
    </row>
    <row r="44" spans="1:3" x14ac:dyDescent="0.3">
      <c r="A44" s="26">
        <v>46029</v>
      </c>
      <c r="B44" s="27" t="s">
        <v>4</v>
      </c>
      <c r="C44" s="24">
        <v>-82.37</v>
      </c>
    </row>
    <row r="45" spans="1:3" x14ac:dyDescent="0.3">
      <c r="A45" s="26">
        <v>46030</v>
      </c>
      <c r="B45" s="27" t="s">
        <v>4</v>
      </c>
      <c r="C45" s="24">
        <v>-15.43</v>
      </c>
    </row>
    <row r="46" spans="1:3" x14ac:dyDescent="0.3">
      <c r="A46" s="26">
        <v>46029</v>
      </c>
      <c r="B46" s="27" t="s">
        <v>1</v>
      </c>
      <c r="C46" s="24">
        <v>122.13</v>
      </c>
    </row>
    <row r="47" spans="1:3" x14ac:dyDescent="0.3">
      <c r="A47" s="26">
        <v>46037</v>
      </c>
      <c r="B47" s="27" t="s">
        <v>538</v>
      </c>
      <c r="C47" s="24">
        <v>-32.43</v>
      </c>
    </row>
    <row r="48" spans="1:3" x14ac:dyDescent="0.3">
      <c r="A48" s="26">
        <v>46042</v>
      </c>
      <c r="B48" s="27" t="s">
        <v>4</v>
      </c>
      <c r="C48" s="24">
        <v>-18.579999999999998</v>
      </c>
    </row>
    <row r="49" spans="1:3" x14ac:dyDescent="0.3">
      <c r="A49" s="26">
        <v>46045</v>
      </c>
      <c r="B49" s="27" t="s">
        <v>4</v>
      </c>
      <c r="C49" s="24">
        <v>-29.49</v>
      </c>
    </row>
    <row r="50" spans="1:3" x14ac:dyDescent="0.3">
      <c r="A50" s="26">
        <v>46049</v>
      </c>
      <c r="B50" s="27" t="s">
        <v>4</v>
      </c>
      <c r="C50" s="24">
        <v>-41.63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83F9-528B-472C-919F-96963ED723C6}">
  <sheetPr codeName="Hoja161"/>
  <dimension ref="A1:H23"/>
  <sheetViews>
    <sheetView view="pageBreakPreview" zoomScale="80" zoomScaleNormal="100" zoomScaleSheetLayoutView="80" workbookViewId="0">
      <selection activeCell="C24" sqref="C24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224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-1.1699999999999982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45821</v>
      </c>
      <c r="B5" s="32" t="s">
        <v>21</v>
      </c>
      <c r="C5" s="24">
        <v>15.85</v>
      </c>
      <c r="D5" s="30"/>
      <c r="E5" s="30"/>
      <c r="F5" s="30"/>
      <c r="G5" s="22"/>
    </row>
    <row r="6" spans="1:8" x14ac:dyDescent="0.3">
      <c r="A6" s="21">
        <v>45821</v>
      </c>
      <c r="B6" s="34" t="s">
        <v>21</v>
      </c>
      <c r="C6" s="24">
        <v>41.84</v>
      </c>
    </row>
    <row r="7" spans="1:8" x14ac:dyDescent="0.3">
      <c r="A7" s="21">
        <v>45827</v>
      </c>
      <c r="B7" s="27" t="s">
        <v>7</v>
      </c>
      <c r="C7" s="24">
        <v>-57.69</v>
      </c>
    </row>
    <row r="8" spans="1:8" x14ac:dyDescent="0.3">
      <c r="A8" s="26">
        <v>45869</v>
      </c>
      <c r="B8" s="32" t="s">
        <v>21</v>
      </c>
      <c r="C8" s="24">
        <v>15.85</v>
      </c>
    </row>
    <row r="9" spans="1:8" x14ac:dyDescent="0.3">
      <c r="A9" s="26">
        <v>45876</v>
      </c>
      <c r="B9" s="27" t="s">
        <v>4</v>
      </c>
      <c r="C9" s="24">
        <v>-15.85</v>
      </c>
    </row>
    <row r="10" spans="1:8" x14ac:dyDescent="0.3">
      <c r="A10" s="26">
        <v>45883</v>
      </c>
      <c r="B10" s="31" t="s">
        <v>1</v>
      </c>
      <c r="C10" s="24">
        <v>20.8</v>
      </c>
    </row>
    <row r="11" spans="1:8" x14ac:dyDescent="0.3">
      <c r="A11" s="26">
        <v>45890</v>
      </c>
      <c r="B11" s="27" t="s">
        <v>7</v>
      </c>
      <c r="C11" s="24">
        <v>-20.8</v>
      </c>
    </row>
    <row r="12" spans="1:8" x14ac:dyDescent="0.3">
      <c r="A12" s="26">
        <v>45890</v>
      </c>
      <c r="B12" s="32" t="s">
        <v>21</v>
      </c>
      <c r="C12" s="24">
        <v>7.5</v>
      </c>
    </row>
    <row r="13" spans="1:8" x14ac:dyDescent="0.3">
      <c r="A13" s="26">
        <v>45905</v>
      </c>
      <c r="B13" s="27" t="s">
        <v>7</v>
      </c>
      <c r="C13" s="24">
        <v>-7.58</v>
      </c>
    </row>
    <row r="14" spans="1:8" x14ac:dyDescent="0.3">
      <c r="A14" s="26">
        <v>45905</v>
      </c>
      <c r="B14" s="32" t="s">
        <v>21</v>
      </c>
      <c r="C14" s="24">
        <v>24.84</v>
      </c>
    </row>
    <row r="15" spans="1:8" x14ac:dyDescent="0.3">
      <c r="A15" s="26">
        <v>45911</v>
      </c>
      <c r="B15" s="27" t="s">
        <v>4</v>
      </c>
      <c r="C15" s="24">
        <v>-24.76</v>
      </c>
    </row>
    <row r="16" spans="1:8" x14ac:dyDescent="0.3">
      <c r="A16" s="26">
        <v>45930</v>
      </c>
      <c r="B16" s="32" t="s">
        <v>21</v>
      </c>
      <c r="C16" s="24">
        <v>15</v>
      </c>
    </row>
    <row r="17" spans="1:3" x14ac:dyDescent="0.3">
      <c r="A17" s="26">
        <v>45939</v>
      </c>
      <c r="B17" s="27" t="s">
        <v>7</v>
      </c>
      <c r="C17" s="24">
        <v>-15</v>
      </c>
    </row>
    <row r="18" spans="1:3" x14ac:dyDescent="0.3">
      <c r="A18" s="26">
        <v>45939</v>
      </c>
      <c r="B18" s="27" t="s">
        <v>1</v>
      </c>
      <c r="C18" s="24">
        <v>23</v>
      </c>
    </row>
    <row r="19" spans="1:3" x14ac:dyDescent="0.3">
      <c r="A19" s="26">
        <v>45946</v>
      </c>
      <c r="B19" s="27" t="s">
        <v>7</v>
      </c>
      <c r="C19" s="24">
        <v>-23</v>
      </c>
    </row>
    <row r="20" spans="1:3" x14ac:dyDescent="0.3">
      <c r="A20" s="26">
        <v>45953</v>
      </c>
      <c r="B20" s="27" t="s">
        <v>1</v>
      </c>
      <c r="C20" s="24">
        <v>23</v>
      </c>
    </row>
    <row r="21" spans="1:3" x14ac:dyDescent="0.3">
      <c r="A21" s="26">
        <v>45967</v>
      </c>
      <c r="B21" s="27" t="s">
        <v>4</v>
      </c>
      <c r="C21" s="24">
        <v>-24.17</v>
      </c>
    </row>
    <row r="22" spans="1:3" x14ac:dyDescent="0.3">
      <c r="A22" s="26">
        <v>45996</v>
      </c>
      <c r="B22" s="27" t="s">
        <v>1</v>
      </c>
      <c r="C22" s="24">
        <v>23</v>
      </c>
    </row>
    <row r="23" spans="1:3" x14ac:dyDescent="0.3">
      <c r="A23" s="26">
        <v>46038</v>
      </c>
      <c r="B23" s="27" t="s">
        <v>4</v>
      </c>
      <c r="C23" s="24">
        <v>-23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24DA-AFA8-4887-8EFB-684637405974}">
  <sheetPr codeName="Hoja67"/>
  <dimension ref="A1:H122"/>
  <sheetViews>
    <sheetView view="pageBreakPreview" zoomScale="80" zoomScaleNormal="100" zoomScaleSheetLayoutView="80" workbookViewId="0">
      <selection activeCell="C123" sqref="C12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186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117.70999999999994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45819</v>
      </c>
      <c r="B5" s="32" t="s">
        <v>21</v>
      </c>
      <c r="C5" s="24">
        <v>9.84</v>
      </c>
      <c r="D5" s="30"/>
      <c r="E5" s="30"/>
      <c r="F5" s="30"/>
      <c r="G5" s="22"/>
    </row>
    <row r="6" spans="1:8" hidden="1" x14ac:dyDescent="0.3">
      <c r="A6" s="21">
        <v>45819</v>
      </c>
      <c r="B6" s="34" t="s">
        <v>21</v>
      </c>
      <c r="C6" s="24">
        <v>144.63999999999999</v>
      </c>
    </row>
    <row r="7" spans="1:8" hidden="1" x14ac:dyDescent="0.3">
      <c r="A7" s="21">
        <v>45819</v>
      </c>
      <c r="B7" s="46" t="s">
        <v>21</v>
      </c>
      <c r="C7" s="24">
        <v>4.46</v>
      </c>
    </row>
    <row r="8" spans="1:8" hidden="1" x14ac:dyDescent="0.3">
      <c r="A8" s="26">
        <v>45820</v>
      </c>
      <c r="B8" s="27" t="s">
        <v>4</v>
      </c>
      <c r="C8" s="24">
        <v>-29.9</v>
      </c>
    </row>
    <row r="9" spans="1:8" hidden="1" x14ac:dyDescent="0.3">
      <c r="A9" s="26">
        <v>45825</v>
      </c>
      <c r="B9" s="27" t="s">
        <v>4</v>
      </c>
      <c r="C9" s="24">
        <v>-129.05000000000001</v>
      </c>
    </row>
    <row r="10" spans="1:8" hidden="1" x14ac:dyDescent="0.3">
      <c r="A10" s="26">
        <v>45826</v>
      </c>
      <c r="B10" s="34" t="s">
        <v>21</v>
      </c>
      <c r="C10" s="24">
        <v>147.80000000000001</v>
      </c>
    </row>
    <row r="11" spans="1:8" hidden="1" x14ac:dyDescent="0.3">
      <c r="A11" s="26">
        <v>45826</v>
      </c>
      <c r="B11" s="46" t="s">
        <v>21</v>
      </c>
      <c r="C11" s="24">
        <v>5.93</v>
      </c>
    </row>
    <row r="12" spans="1:8" hidden="1" x14ac:dyDescent="0.3">
      <c r="A12" s="26">
        <v>45832</v>
      </c>
      <c r="B12" s="31" t="s">
        <v>4</v>
      </c>
      <c r="C12" s="24">
        <v>-70.17</v>
      </c>
    </row>
    <row r="13" spans="1:8" hidden="1" x14ac:dyDescent="0.3">
      <c r="A13" s="26">
        <v>45833</v>
      </c>
      <c r="B13" s="27" t="s">
        <v>4</v>
      </c>
      <c r="C13" s="24">
        <v>-15.17</v>
      </c>
    </row>
    <row r="14" spans="1:8" hidden="1" x14ac:dyDescent="0.3">
      <c r="A14" s="26">
        <v>45833</v>
      </c>
      <c r="B14" s="34" t="s">
        <v>21</v>
      </c>
      <c r="C14" s="24">
        <v>108.15</v>
      </c>
    </row>
    <row r="15" spans="1:8" hidden="1" x14ac:dyDescent="0.3">
      <c r="A15" s="26">
        <v>45834</v>
      </c>
      <c r="B15" s="27" t="s">
        <v>4</v>
      </c>
      <c r="C15" s="24">
        <v>-31.08</v>
      </c>
    </row>
    <row r="16" spans="1:8" hidden="1" x14ac:dyDescent="0.3">
      <c r="A16" s="26">
        <v>45838</v>
      </c>
      <c r="B16" s="27" t="s">
        <v>4</v>
      </c>
      <c r="C16" s="24">
        <v>-37.31</v>
      </c>
    </row>
    <row r="17" spans="1:3" hidden="1" x14ac:dyDescent="0.3">
      <c r="A17" s="26">
        <v>45838</v>
      </c>
      <c r="B17" s="27" t="s">
        <v>4</v>
      </c>
      <c r="C17" s="24">
        <v>-45.53</v>
      </c>
    </row>
    <row r="18" spans="1:3" hidden="1" x14ac:dyDescent="0.3">
      <c r="A18" s="26">
        <v>45840</v>
      </c>
      <c r="B18" s="27" t="s">
        <v>4</v>
      </c>
      <c r="C18" s="24">
        <v>-22.94</v>
      </c>
    </row>
    <row r="19" spans="1:3" hidden="1" x14ac:dyDescent="0.3">
      <c r="A19" s="26">
        <v>45840</v>
      </c>
      <c r="B19" s="32" t="s">
        <v>21</v>
      </c>
      <c r="C19" s="24">
        <v>25.69</v>
      </c>
    </row>
    <row r="20" spans="1:3" hidden="1" x14ac:dyDescent="0.3">
      <c r="A20" s="26">
        <v>45840</v>
      </c>
      <c r="B20" s="34" t="s">
        <v>21</v>
      </c>
      <c r="C20" s="24">
        <v>149.26</v>
      </c>
    </row>
    <row r="21" spans="1:3" hidden="1" x14ac:dyDescent="0.3">
      <c r="A21" s="26">
        <v>45840</v>
      </c>
      <c r="B21" s="46" t="s">
        <v>21</v>
      </c>
      <c r="C21" s="24">
        <v>41.74</v>
      </c>
    </row>
    <row r="22" spans="1:3" hidden="1" x14ac:dyDescent="0.3">
      <c r="A22" s="26">
        <v>45841</v>
      </c>
      <c r="B22" s="27" t="s">
        <v>4</v>
      </c>
      <c r="C22" s="24">
        <v>-39.69</v>
      </c>
    </row>
    <row r="23" spans="1:3" hidden="1" x14ac:dyDescent="0.3">
      <c r="A23" s="26">
        <v>45848</v>
      </c>
      <c r="B23" s="34" t="s">
        <v>21</v>
      </c>
      <c r="C23" s="24">
        <v>6.42</v>
      </c>
    </row>
    <row r="24" spans="1:3" hidden="1" x14ac:dyDescent="0.3">
      <c r="A24" s="26">
        <v>45848</v>
      </c>
      <c r="B24" s="46" t="s">
        <v>21</v>
      </c>
      <c r="C24" s="24">
        <v>19.260000000000002</v>
      </c>
    </row>
    <row r="25" spans="1:3" hidden="1" x14ac:dyDescent="0.3">
      <c r="A25" s="26">
        <v>45848</v>
      </c>
      <c r="B25" s="27" t="s">
        <v>4</v>
      </c>
      <c r="C25" s="24">
        <v>-59.83</v>
      </c>
    </row>
    <row r="26" spans="1:3" hidden="1" x14ac:dyDescent="0.3">
      <c r="A26" s="26">
        <v>45852</v>
      </c>
      <c r="B26" s="27" t="s">
        <v>4</v>
      </c>
      <c r="C26" s="24">
        <v>-60.7</v>
      </c>
    </row>
    <row r="27" spans="1:3" hidden="1" x14ac:dyDescent="0.3">
      <c r="A27" s="26">
        <v>45854</v>
      </c>
      <c r="B27" s="27" t="s">
        <v>4</v>
      </c>
      <c r="C27" s="24">
        <v>-15.41</v>
      </c>
    </row>
    <row r="28" spans="1:3" hidden="1" x14ac:dyDescent="0.3">
      <c r="A28" s="26">
        <v>45854</v>
      </c>
      <c r="B28" s="27" t="s">
        <v>4</v>
      </c>
      <c r="C28" s="24">
        <v>-17.12</v>
      </c>
    </row>
    <row r="29" spans="1:3" hidden="1" x14ac:dyDescent="0.3">
      <c r="A29" s="26">
        <v>45855</v>
      </c>
      <c r="B29" s="27" t="s">
        <v>4</v>
      </c>
      <c r="C29" s="24">
        <v>-44.29</v>
      </c>
    </row>
    <row r="30" spans="1:3" hidden="1" x14ac:dyDescent="0.3">
      <c r="A30" s="26">
        <v>45859</v>
      </c>
      <c r="B30" s="27" t="s">
        <v>4</v>
      </c>
      <c r="C30" s="24">
        <v>-45.06</v>
      </c>
    </row>
    <row r="31" spans="1:3" hidden="1" x14ac:dyDescent="0.3">
      <c r="A31" s="26">
        <v>45861</v>
      </c>
      <c r="B31" s="34" t="s">
        <v>21</v>
      </c>
      <c r="C31" s="24">
        <v>81.37</v>
      </c>
    </row>
    <row r="32" spans="1:3" hidden="1" x14ac:dyDescent="0.3">
      <c r="A32" s="26">
        <v>45861</v>
      </c>
      <c r="B32" s="46" t="s">
        <v>21</v>
      </c>
      <c r="C32" s="24">
        <v>4.95</v>
      </c>
    </row>
    <row r="33" spans="1:3" hidden="1" x14ac:dyDescent="0.3">
      <c r="A33" s="26">
        <v>45866</v>
      </c>
      <c r="B33" s="27" t="s">
        <v>4</v>
      </c>
      <c r="C33" s="24">
        <v>-61.39</v>
      </c>
    </row>
    <row r="34" spans="1:3" hidden="1" x14ac:dyDescent="0.3">
      <c r="A34" s="26">
        <v>45867</v>
      </c>
      <c r="B34" s="27" t="s">
        <v>4</v>
      </c>
      <c r="C34" s="24">
        <v>-27.7</v>
      </c>
    </row>
    <row r="35" spans="1:3" hidden="1" x14ac:dyDescent="0.3">
      <c r="A35" s="26">
        <v>45869</v>
      </c>
      <c r="B35" s="32" t="s">
        <v>21</v>
      </c>
      <c r="C35" s="24">
        <v>9.84</v>
      </c>
    </row>
    <row r="36" spans="1:3" hidden="1" x14ac:dyDescent="0.3">
      <c r="A36" s="26">
        <v>45869</v>
      </c>
      <c r="B36" s="34" t="s">
        <v>21</v>
      </c>
      <c r="C36" s="24">
        <v>93.14</v>
      </c>
    </row>
    <row r="37" spans="1:3" hidden="1" x14ac:dyDescent="0.3">
      <c r="A37" s="26">
        <v>45874</v>
      </c>
      <c r="B37" s="27" t="s">
        <v>4</v>
      </c>
      <c r="C37" s="24">
        <v>-31.68</v>
      </c>
    </row>
    <row r="38" spans="1:3" hidden="1" x14ac:dyDescent="0.3">
      <c r="A38" s="26">
        <v>45874</v>
      </c>
      <c r="B38" s="27" t="s">
        <v>4</v>
      </c>
      <c r="C38" s="24">
        <v>-25.96</v>
      </c>
    </row>
    <row r="39" spans="1:3" hidden="1" x14ac:dyDescent="0.3">
      <c r="A39" s="26">
        <v>45875</v>
      </c>
      <c r="B39" s="27" t="s">
        <v>4</v>
      </c>
      <c r="C39" s="24">
        <v>-45.35</v>
      </c>
    </row>
    <row r="40" spans="1:3" hidden="1" x14ac:dyDescent="0.3">
      <c r="A40" s="26">
        <v>45876</v>
      </c>
      <c r="B40" s="32" t="s">
        <v>21</v>
      </c>
      <c r="C40" s="24">
        <v>4.5</v>
      </c>
    </row>
    <row r="41" spans="1:3" hidden="1" x14ac:dyDescent="0.3">
      <c r="A41" s="26">
        <v>45876</v>
      </c>
      <c r="B41" s="34" t="s">
        <v>21</v>
      </c>
      <c r="C41" s="24">
        <v>75.27</v>
      </c>
    </row>
    <row r="42" spans="1:3" hidden="1" x14ac:dyDescent="0.3">
      <c r="A42" s="26">
        <v>45876</v>
      </c>
      <c r="B42" s="46" t="s">
        <v>21</v>
      </c>
      <c r="C42" s="24">
        <v>24.65</v>
      </c>
    </row>
    <row r="43" spans="1:3" hidden="1" x14ac:dyDescent="0.3">
      <c r="A43" s="26">
        <v>45882</v>
      </c>
      <c r="B43" s="27" t="s">
        <v>4</v>
      </c>
      <c r="C43" s="24">
        <v>-18.72</v>
      </c>
    </row>
    <row r="44" spans="1:3" hidden="1" x14ac:dyDescent="0.3">
      <c r="A44" s="26">
        <v>45883</v>
      </c>
      <c r="B44" s="32" t="s">
        <v>21</v>
      </c>
      <c r="C44" s="24">
        <v>9.84</v>
      </c>
    </row>
    <row r="45" spans="1:3" hidden="1" x14ac:dyDescent="0.3">
      <c r="A45" s="26">
        <v>45883</v>
      </c>
      <c r="B45" s="34" t="s">
        <v>21</v>
      </c>
      <c r="C45" s="24">
        <v>32.020000000000003</v>
      </c>
    </row>
    <row r="46" spans="1:3" hidden="1" x14ac:dyDescent="0.3">
      <c r="A46" s="26">
        <v>45888</v>
      </c>
      <c r="B46" s="27" t="s">
        <v>4</v>
      </c>
      <c r="C46" s="24">
        <v>-32.869999999999997</v>
      </c>
    </row>
    <row r="47" spans="1:3" hidden="1" x14ac:dyDescent="0.3">
      <c r="A47" s="26">
        <v>45889</v>
      </c>
      <c r="B47" s="27" t="s">
        <v>4</v>
      </c>
      <c r="C47" s="24">
        <v>-52.83</v>
      </c>
    </row>
    <row r="48" spans="1:3" hidden="1" x14ac:dyDescent="0.3">
      <c r="A48" s="26">
        <v>45890</v>
      </c>
      <c r="B48" s="46" t="s">
        <v>21</v>
      </c>
      <c r="C48" s="24">
        <v>20.71</v>
      </c>
    </row>
    <row r="49" spans="1:3" hidden="1" x14ac:dyDescent="0.3">
      <c r="A49" s="26">
        <v>45890</v>
      </c>
      <c r="B49" s="34" t="s">
        <v>21</v>
      </c>
      <c r="C49" s="24">
        <v>47.01</v>
      </c>
    </row>
    <row r="50" spans="1:3" hidden="1" x14ac:dyDescent="0.3">
      <c r="A50" s="26">
        <v>45890</v>
      </c>
      <c r="B50" s="32" t="s">
        <v>21</v>
      </c>
      <c r="C50" s="24">
        <v>15.85</v>
      </c>
    </row>
    <row r="51" spans="1:3" hidden="1" x14ac:dyDescent="0.3">
      <c r="A51" s="26">
        <v>45894</v>
      </c>
      <c r="B51" s="27" t="s">
        <v>4</v>
      </c>
      <c r="C51" s="24">
        <v>-18.190000000000001</v>
      </c>
    </row>
    <row r="52" spans="1:3" hidden="1" x14ac:dyDescent="0.3">
      <c r="A52" s="26">
        <v>45895</v>
      </c>
      <c r="B52" s="27" t="s">
        <v>4</v>
      </c>
      <c r="C52" s="24">
        <v>-20.440000000000001</v>
      </c>
    </row>
    <row r="53" spans="1:3" hidden="1" x14ac:dyDescent="0.3">
      <c r="A53" s="26">
        <v>45896</v>
      </c>
      <c r="B53" s="27" t="s">
        <v>4</v>
      </c>
      <c r="C53" s="24">
        <v>-53.33</v>
      </c>
    </row>
    <row r="54" spans="1:3" hidden="1" x14ac:dyDescent="0.3">
      <c r="A54" s="26">
        <v>45897</v>
      </c>
      <c r="B54" s="27" t="s">
        <v>4</v>
      </c>
      <c r="C54" s="24">
        <v>-23.67</v>
      </c>
    </row>
    <row r="55" spans="1:3" hidden="1" x14ac:dyDescent="0.3">
      <c r="A55" s="26">
        <v>45897</v>
      </c>
      <c r="B55" s="27" t="s">
        <v>4</v>
      </c>
      <c r="C55" s="24">
        <v>-9.8000000000000007</v>
      </c>
    </row>
    <row r="56" spans="1:3" hidden="1" x14ac:dyDescent="0.3">
      <c r="A56" s="26">
        <v>45897</v>
      </c>
      <c r="B56" s="32" t="s">
        <v>21</v>
      </c>
      <c r="C56" s="24">
        <v>19.68</v>
      </c>
    </row>
    <row r="57" spans="1:3" hidden="1" x14ac:dyDescent="0.3">
      <c r="A57" s="26">
        <v>45897</v>
      </c>
      <c r="B57" s="34" t="s">
        <v>21</v>
      </c>
      <c r="C57" s="24">
        <v>57.24</v>
      </c>
    </row>
    <row r="58" spans="1:3" hidden="1" x14ac:dyDescent="0.3">
      <c r="A58" s="26">
        <v>45903</v>
      </c>
      <c r="B58" s="27" t="s">
        <v>4</v>
      </c>
      <c r="C58" s="24">
        <v>-32.49</v>
      </c>
    </row>
    <row r="59" spans="1:3" hidden="1" x14ac:dyDescent="0.3">
      <c r="A59" s="26">
        <v>45904</v>
      </c>
      <c r="B59" s="32" t="s">
        <v>21</v>
      </c>
      <c r="C59" s="24">
        <v>9.89</v>
      </c>
    </row>
    <row r="60" spans="1:3" hidden="1" x14ac:dyDescent="0.3">
      <c r="A60" s="26">
        <v>45904</v>
      </c>
      <c r="B60" s="34" t="s">
        <v>21</v>
      </c>
      <c r="C60" s="24">
        <v>60.64</v>
      </c>
    </row>
    <row r="61" spans="1:3" hidden="1" x14ac:dyDescent="0.3">
      <c r="A61" s="26">
        <v>45904</v>
      </c>
      <c r="B61" s="46" t="s">
        <v>21</v>
      </c>
      <c r="C61" s="24">
        <v>33.81</v>
      </c>
    </row>
    <row r="62" spans="1:3" hidden="1" x14ac:dyDescent="0.3">
      <c r="A62" s="26">
        <v>45904</v>
      </c>
      <c r="B62" s="27" t="s">
        <v>1</v>
      </c>
      <c r="C62" s="24">
        <v>23.24</v>
      </c>
    </row>
    <row r="63" spans="1:3" hidden="1" x14ac:dyDescent="0.3">
      <c r="A63" s="26">
        <v>45905</v>
      </c>
      <c r="B63" s="27" t="s">
        <v>4</v>
      </c>
      <c r="C63" s="24">
        <v>-44.12</v>
      </c>
    </row>
    <row r="64" spans="1:3" hidden="1" x14ac:dyDescent="0.3">
      <c r="A64" s="26">
        <v>45910</v>
      </c>
      <c r="B64" s="27" t="s">
        <v>4</v>
      </c>
      <c r="C64" s="24">
        <v>-41.57</v>
      </c>
    </row>
    <row r="65" spans="1:3" hidden="1" x14ac:dyDescent="0.3">
      <c r="A65" s="26">
        <v>45911</v>
      </c>
      <c r="B65" s="27" t="s">
        <v>4</v>
      </c>
      <c r="C65" s="24">
        <v>-45.33</v>
      </c>
    </row>
    <row r="66" spans="1:3" hidden="1" x14ac:dyDescent="0.3">
      <c r="A66" s="26">
        <v>45911</v>
      </c>
      <c r="B66" s="32" t="s">
        <v>21</v>
      </c>
      <c r="C66" s="24">
        <v>9.84</v>
      </c>
    </row>
    <row r="67" spans="1:3" hidden="1" x14ac:dyDescent="0.3">
      <c r="A67" s="26">
        <v>45911</v>
      </c>
      <c r="B67" s="34" t="s">
        <v>21</v>
      </c>
      <c r="C67" s="24">
        <v>20.170000000000002</v>
      </c>
    </row>
    <row r="68" spans="1:3" hidden="1" x14ac:dyDescent="0.3">
      <c r="A68" s="26">
        <v>45916</v>
      </c>
      <c r="B68" s="27" t="s">
        <v>4</v>
      </c>
      <c r="C68" s="24">
        <v>-21.81</v>
      </c>
    </row>
    <row r="69" spans="1:3" hidden="1" x14ac:dyDescent="0.3">
      <c r="A69" s="26">
        <v>45918</v>
      </c>
      <c r="B69" s="27" t="s">
        <v>4</v>
      </c>
      <c r="C69" s="24">
        <v>-15.92</v>
      </c>
    </row>
    <row r="70" spans="1:3" hidden="1" x14ac:dyDescent="0.3">
      <c r="A70" s="26">
        <v>45918</v>
      </c>
      <c r="B70" s="27" t="s">
        <v>4</v>
      </c>
      <c r="C70" s="24">
        <v>-18.329999999999998</v>
      </c>
    </row>
    <row r="71" spans="1:3" hidden="1" x14ac:dyDescent="0.3">
      <c r="A71" s="26">
        <v>45918</v>
      </c>
      <c r="B71" s="32" t="s">
        <v>21</v>
      </c>
      <c r="C71" s="24">
        <v>15.85</v>
      </c>
    </row>
    <row r="72" spans="1:3" hidden="1" x14ac:dyDescent="0.3">
      <c r="A72" s="26">
        <v>45918</v>
      </c>
      <c r="B72" s="34" t="s">
        <v>21</v>
      </c>
      <c r="C72" s="24">
        <v>58.29</v>
      </c>
    </row>
    <row r="73" spans="1:3" hidden="1" x14ac:dyDescent="0.3">
      <c r="A73" s="26">
        <v>45918</v>
      </c>
      <c r="B73" s="46" t="s">
        <v>21</v>
      </c>
      <c r="C73" s="24">
        <v>10.38</v>
      </c>
    </row>
    <row r="74" spans="1:3" hidden="1" x14ac:dyDescent="0.3">
      <c r="A74" s="26">
        <v>45925</v>
      </c>
      <c r="B74" s="27" t="s">
        <v>4</v>
      </c>
      <c r="C74" s="24">
        <v>-22.11</v>
      </c>
    </row>
    <row r="75" spans="1:3" hidden="1" x14ac:dyDescent="0.3">
      <c r="A75" s="26">
        <v>45925</v>
      </c>
      <c r="B75" s="32" t="s">
        <v>21</v>
      </c>
      <c r="C75" s="24">
        <v>9.84</v>
      </c>
    </row>
    <row r="76" spans="1:3" hidden="1" x14ac:dyDescent="0.3">
      <c r="A76" s="26">
        <v>45925</v>
      </c>
      <c r="B76" s="34" t="s">
        <v>21</v>
      </c>
      <c r="C76" s="24">
        <v>47.62</v>
      </c>
    </row>
    <row r="77" spans="1:3" hidden="1" x14ac:dyDescent="0.3">
      <c r="A77" s="26">
        <v>45925</v>
      </c>
      <c r="B77" s="46" t="s">
        <v>21</v>
      </c>
      <c r="C77" s="24">
        <v>10.38</v>
      </c>
    </row>
    <row r="78" spans="1:3" hidden="1" x14ac:dyDescent="0.3">
      <c r="A78" s="26">
        <v>45931</v>
      </c>
      <c r="B78" s="27" t="s">
        <v>4</v>
      </c>
      <c r="C78" s="24">
        <v>-42.08</v>
      </c>
    </row>
    <row r="79" spans="1:3" hidden="1" x14ac:dyDescent="0.3">
      <c r="A79" s="26">
        <v>45932</v>
      </c>
      <c r="B79" s="27" t="s">
        <v>4</v>
      </c>
      <c r="C79" s="24">
        <v>-22.06</v>
      </c>
    </row>
    <row r="80" spans="1:3" hidden="1" x14ac:dyDescent="0.3">
      <c r="A80" s="26">
        <v>45932</v>
      </c>
      <c r="B80" s="34" t="s">
        <v>21</v>
      </c>
      <c r="C80" s="24">
        <v>31</v>
      </c>
    </row>
    <row r="81" spans="1:3" hidden="1" x14ac:dyDescent="0.3">
      <c r="A81" s="26">
        <v>45932</v>
      </c>
      <c r="B81" s="46" t="s">
        <v>21</v>
      </c>
      <c r="C81" s="24">
        <v>18.28</v>
      </c>
    </row>
    <row r="82" spans="1:3" hidden="1" x14ac:dyDescent="0.3">
      <c r="A82" s="26">
        <v>45936</v>
      </c>
      <c r="B82" s="27" t="s">
        <v>4</v>
      </c>
      <c r="C82" s="24">
        <v>-16.18</v>
      </c>
    </row>
    <row r="83" spans="1:3" hidden="1" x14ac:dyDescent="0.3">
      <c r="A83" s="26">
        <v>45939</v>
      </c>
      <c r="B83" s="34" t="s">
        <v>21</v>
      </c>
      <c r="C83" s="24">
        <v>57.78</v>
      </c>
    </row>
    <row r="84" spans="1:3" hidden="1" x14ac:dyDescent="0.3">
      <c r="A84" s="26">
        <v>45939</v>
      </c>
      <c r="B84" s="46" t="s">
        <v>21</v>
      </c>
      <c r="C84" s="24">
        <v>10.38</v>
      </c>
    </row>
    <row r="85" spans="1:3" hidden="1" x14ac:dyDescent="0.3">
      <c r="A85" s="26">
        <v>45944</v>
      </c>
      <c r="B85" s="27" t="s">
        <v>4</v>
      </c>
      <c r="C85" s="24">
        <v>-24.23</v>
      </c>
    </row>
    <row r="86" spans="1:3" hidden="1" x14ac:dyDescent="0.3">
      <c r="A86" s="26">
        <v>45950</v>
      </c>
      <c r="B86" s="27" t="s">
        <v>4</v>
      </c>
      <c r="C86" s="24">
        <v>-121.55</v>
      </c>
    </row>
    <row r="87" spans="1:3" hidden="1" x14ac:dyDescent="0.3">
      <c r="A87" s="26">
        <v>45951</v>
      </c>
      <c r="B87" s="27" t="s">
        <v>4</v>
      </c>
      <c r="C87" s="24">
        <v>-39.44</v>
      </c>
    </row>
    <row r="88" spans="1:3" hidden="1" x14ac:dyDescent="0.3">
      <c r="A88" s="26">
        <v>45953</v>
      </c>
      <c r="B88" s="32" t="s">
        <v>21</v>
      </c>
      <c r="C88" s="24">
        <v>26.22</v>
      </c>
    </row>
    <row r="89" spans="1:3" hidden="1" x14ac:dyDescent="0.3">
      <c r="A89" s="26">
        <v>45953</v>
      </c>
      <c r="B89" s="34" t="s">
        <v>21</v>
      </c>
      <c r="C89" s="24">
        <v>47.35</v>
      </c>
    </row>
    <row r="90" spans="1:3" hidden="1" x14ac:dyDescent="0.3">
      <c r="A90" s="26">
        <v>45960</v>
      </c>
      <c r="B90" s="27" t="s">
        <v>4</v>
      </c>
      <c r="C90" s="24">
        <v>-10.82</v>
      </c>
    </row>
    <row r="91" spans="1:3" hidden="1" x14ac:dyDescent="0.3">
      <c r="A91" s="26">
        <v>45961</v>
      </c>
      <c r="B91" s="27" t="s">
        <v>4</v>
      </c>
      <c r="C91" s="24">
        <v>-57.37</v>
      </c>
    </row>
    <row r="92" spans="1:3" x14ac:dyDescent="0.3">
      <c r="A92" s="26">
        <v>45960</v>
      </c>
      <c r="B92" s="34" t="s">
        <v>21</v>
      </c>
      <c r="C92" s="24">
        <v>153.41999999999999</v>
      </c>
    </row>
    <row r="93" spans="1:3" x14ac:dyDescent="0.3">
      <c r="A93" s="26">
        <v>45967</v>
      </c>
      <c r="B93" s="32" t="s">
        <v>21</v>
      </c>
      <c r="C93" s="24">
        <v>16.38</v>
      </c>
    </row>
    <row r="94" spans="1:3" x14ac:dyDescent="0.3">
      <c r="A94" s="26">
        <v>45967</v>
      </c>
      <c r="B94" s="34" t="s">
        <v>21</v>
      </c>
      <c r="C94" s="24">
        <v>161.4</v>
      </c>
    </row>
    <row r="95" spans="1:3" x14ac:dyDescent="0.3">
      <c r="A95" s="26">
        <v>45967</v>
      </c>
      <c r="B95" s="46" t="s">
        <v>21</v>
      </c>
      <c r="C95" s="24">
        <v>20.92</v>
      </c>
    </row>
    <row r="96" spans="1:3" x14ac:dyDescent="0.3">
      <c r="A96" s="26">
        <v>45974</v>
      </c>
      <c r="B96" s="27" t="s">
        <v>4</v>
      </c>
      <c r="C96" s="24">
        <v>-8.34</v>
      </c>
    </row>
    <row r="97" spans="1:3" x14ac:dyDescent="0.3">
      <c r="A97" s="26">
        <v>45974</v>
      </c>
      <c r="B97" s="27" t="s">
        <v>4</v>
      </c>
      <c r="C97" s="24">
        <v>-35</v>
      </c>
    </row>
    <row r="98" spans="1:3" x14ac:dyDescent="0.3">
      <c r="A98" s="26">
        <v>45974</v>
      </c>
      <c r="B98" s="27" t="s">
        <v>4</v>
      </c>
      <c r="C98" s="24">
        <v>-33.18</v>
      </c>
    </row>
    <row r="99" spans="1:3" x14ac:dyDescent="0.3">
      <c r="A99" s="26">
        <v>45980</v>
      </c>
      <c r="B99" s="27" t="s">
        <v>4</v>
      </c>
      <c r="C99" s="24">
        <v>-28.18</v>
      </c>
    </row>
    <row r="100" spans="1:3" x14ac:dyDescent="0.3">
      <c r="A100" s="26">
        <v>45981</v>
      </c>
      <c r="B100" s="27" t="s">
        <v>4</v>
      </c>
      <c r="C100" s="24">
        <v>-41.61</v>
      </c>
    </row>
    <row r="101" spans="1:3" x14ac:dyDescent="0.3">
      <c r="A101" s="26">
        <v>45982</v>
      </c>
      <c r="B101" s="27" t="s">
        <v>4</v>
      </c>
      <c r="C101" s="24">
        <v>-27.73</v>
      </c>
    </row>
    <row r="102" spans="1:3" x14ac:dyDescent="0.3">
      <c r="A102" s="26">
        <v>45987</v>
      </c>
      <c r="B102" s="27" t="s">
        <v>4</v>
      </c>
      <c r="C102" s="24">
        <v>-74.72</v>
      </c>
    </row>
    <row r="103" spans="1:3" x14ac:dyDescent="0.3">
      <c r="A103" s="26">
        <v>45988</v>
      </c>
      <c r="B103" s="27" t="s">
        <v>1</v>
      </c>
      <c r="C103" s="24">
        <v>79.209999999999994</v>
      </c>
    </row>
    <row r="104" spans="1:3" x14ac:dyDescent="0.3">
      <c r="A104" s="26">
        <v>45993</v>
      </c>
      <c r="B104" s="27" t="s">
        <v>4</v>
      </c>
      <c r="C104" s="24">
        <v>-52.57</v>
      </c>
    </row>
    <row r="105" spans="1:3" x14ac:dyDescent="0.3">
      <c r="A105" s="26">
        <v>45993</v>
      </c>
      <c r="B105" s="27" t="s">
        <v>4</v>
      </c>
      <c r="C105" s="24">
        <v>-23.04</v>
      </c>
    </row>
    <row r="106" spans="1:3" x14ac:dyDescent="0.3">
      <c r="A106" s="26">
        <v>45995</v>
      </c>
      <c r="B106" s="27" t="s">
        <v>4</v>
      </c>
      <c r="C106" s="24">
        <v>-19.850000000000001</v>
      </c>
    </row>
    <row r="107" spans="1:3" x14ac:dyDescent="0.3">
      <c r="A107" s="26">
        <v>45995</v>
      </c>
      <c r="B107" s="27" t="s">
        <v>4</v>
      </c>
      <c r="C107" s="24">
        <v>-16.59</v>
      </c>
    </row>
    <row r="108" spans="1:3" x14ac:dyDescent="0.3">
      <c r="A108" s="26">
        <v>45995</v>
      </c>
      <c r="B108" s="27" t="s">
        <v>4</v>
      </c>
      <c r="C108" s="24">
        <v>-55.58</v>
      </c>
    </row>
    <row r="109" spans="1:3" x14ac:dyDescent="0.3">
      <c r="A109" s="26">
        <v>45995</v>
      </c>
      <c r="B109" s="27" t="s">
        <v>1</v>
      </c>
      <c r="C109" s="24">
        <v>139.07</v>
      </c>
    </row>
    <row r="110" spans="1:3" x14ac:dyDescent="0.3">
      <c r="A110" s="26">
        <v>45998</v>
      </c>
      <c r="B110" s="27" t="s">
        <v>4</v>
      </c>
      <c r="C110" s="24">
        <v>-75.599999999999994</v>
      </c>
    </row>
    <row r="111" spans="1:3" x14ac:dyDescent="0.3">
      <c r="A111" s="26">
        <v>46002</v>
      </c>
      <c r="B111" s="27" t="s">
        <v>1</v>
      </c>
      <c r="C111" s="24">
        <v>165.34</v>
      </c>
    </row>
    <row r="112" spans="1:3" x14ac:dyDescent="0.3">
      <c r="A112" s="26">
        <v>46008</v>
      </c>
      <c r="B112" s="27" t="s">
        <v>4</v>
      </c>
      <c r="C112" s="24">
        <v>-243.38</v>
      </c>
    </row>
    <row r="113" spans="1:3" x14ac:dyDescent="0.3">
      <c r="A113" s="26">
        <v>46009</v>
      </c>
      <c r="B113" s="27" t="s">
        <v>1</v>
      </c>
      <c r="C113" s="24">
        <v>122.64</v>
      </c>
    </row>
    <row r="114" spans="1:3" x14ac:dyDescent="0.3">
      <c r="A114" s="26">
        <v>46017</v>
      </c>
      <c r="B114" s="27" t="s">
        <v>4</v>
      </c>
      <c r="C114" s="24">
        <v>-34.32</v>
      </c>
    </row>
    <row r="115" spans="1:3" x14ac:dyDescent="0.3">
      <c r="A115" s="26">
        <v>46020</v>
      </c>
      <c r="B115" s="27" t="s">
        <v>4</v>
      </c>
      <c r="C115" s="24">
        <v>-67.8</v>
      </c>
    </row>
    <row r="116" spans="1:3" x14ac:dyDescent="0.3">
      <c r="A116" s="26">
        <v>46021</v>
      </c>
      <c r="B116" s="27" t="s">
        <v>4</v>
      </c>
      <c r="C116" s="24">
        <v>-20.52</v>
      </c>
    </row>
    <row r="117" spans="1:3" x14ac:dyDescent="0.3">
      <c r="A117" s="26">
        <v>46030</v>
      </c>
      <c r="B117" s="27" t="s">
        <v>1</v>
      </c>
      <c r="C117" s="24">
        <v>45.72</v>
      </c>
    </row>
    <row r="118" spans="1:3" x14ac:dyDescent="0.3">
      <c r="A118" s="26">
        <v>46037</v>
      </c>
      <c r="B118" s="27" t="s">
        <v>4</v>
      </c>
      <c r="C118" s="24">
        <v>-45.67</v>
      </c>
    </row>
    <row r="119" spans="1:3" x14ac:dyDescent="0.3">
      <c r="A119" s="26">
        <v>46037</v>
      </c>
      <c r="B119" s="27" t="s">
        <v>1</v>
      </c>
      <c r="C119" s="24">
        <v>143.63999999999999</v>
      </c>
    </row>
    <row r="120" spans="1:3" x14ac:dyDescent="0.3">
      <c r="A120" s="26">
        <v>46044</v>
      </c>
      <c r="B120" s="27" t="s">
        <v>4</v>
      </c>
      <c r="C120" s="24">
        <v>-38.58</v>
      </c>
    </row>
    <row r="121" spans="1:3" x14ac:dyDescent="0.3">
      <c r="A121" s="26">
        <v>46048</v>
      </c>
      <c r="B121" s="27" t="s">
        <v>4</v>
      </c>
      <c r="C121" s="24">
        <v>-105.11</v>
      </c>
    </row>
    <row r="122" spans="1:3" x14ac:dyDescent="0.3">
      <c r="A122" s="26">
        <v>46051</v>
      </c>
      <c r="B122" s="27" t="s">
        <v>1</v>
      </c>
      <c r="C122" s="24">
        <v>117.71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1410A-17EF-4021-9B7B-86CCD5178698}">
  <sheetPr codeName="Hoja162"/>
  <dimension ref="A1:H1048576"/>
  <sheetViews>
    <sheetView view="pageBreakPreview" zoomScale="80" zoomScaleNormal="100" zoomScaleSheetLayoutView="80" workbookViewId="0">
      <selection activeCell="B32" sqref="B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231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232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26.389999999999983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45821</v>
      </c>
      <c r="B5" s="32" t="s">
        <v>21</v>
      </c>
      <c r="C5" s="24">
        <v>25.85</v>
      </c>
      <c r="D5" s="30"/>
      <c r="E5" s="30"/>
      <c r="F5" s="30"/>
      <c r="G5" s="22"/>
    </row>
    <row r="6" spans="1:8" hidden="1" x14ac:dyDescent="0.3">
      <c r="A6" s="21">
        <v>45828</v>
      </c>
      <c r="B6" s="27" t="s">
        <v>4</v>
      </c>
      <c r="C6" s="24">
        <v>-15.85</v>
      </c>
    </row>
    <row r="7" spans="1:8" hidden="1" x14ac:dyDescent="0.3">
      <c r="A7" s="21">
        <v>45828</v>
      </c>
      <c r="B7" s="27" t="s">
        <v>4</v>
      </c>
      <c r="C7" s="24">
        <v>-10</v>
      </c>
    </row>
    <row r="8" spans="1:8" hidden="1" x14ac:dyDescent="0.3">
      <c r="A8" s="21">
        <v>45828</v>
      </c>
      <c r="B8" s="32" t="s">
        <v>21</v>
      </c>
      <c r="C8" s="24">
        <v>10</v>
      </c>
    </row>
    <row r="9" spans="1:8" hidden="1" x14ac:dyDescent="0.3">
      <c r="A9" s="26">
        <v>45849</v>
      </c>
      <c r="B9" s="27" t="s">
        <v>4</v>
      </c>
      <c r="C9" s="24">
        <v>-10</v>
      </c>
    </row>
    <row r="10" spans="1:8" hidden="1" x14ac:dyDescent="0.3">
      <c r="A10" s="26">
        <v>45849</v>
      </c>
      <c r="B10" s="32" t="s">
        <v>21</v>
      </c>
      <c r="C10" s="24">
        <v>9.6</v>
      </c>
    </row>
    <row r="11" spans="1:8" hidden="1" x14ac:dyDescent="0.3">
      <c r="A11" s="26">
        <v>45863</v>
      </c>
      <c r="B11" s="32" t="s">
        <v>21</v>
      </c>
      <c r="C11" s="24">
        <v>25.45</v>
      </c>
      <c r="E11" s="25">
        <v>1</v>
      </c>
    </row>
    <row r="12" spans="1:8" hidden="1" x14ac:dyDescent="0.3">
      <c r="A12" s="26">
        <v>45870</v>
      </c>
      <c r="B12" s="31" t="s">
        <v>7</v>
      </c>
      <c r="C12" s="24">
        <v>-35.06</v>
      </c>
    </row>
    <row r="13" spans="1:8" hidden="1" x14ac:dyDescent="0.3">
      <c r="A13" s="26">
        <v>45870</v>
      </c>
      <c r="B13" s="32" t="s">
        <v>21</v>
      </c>
      <c r="C13" s="24">
        <v>25.45</v>
      </c>
    </row>
    <row r="14" spans="1:8" hidden="1" x14ac:dyDescent="0.3">
      <c r="A14" s="26">
        <v>45877</v>
      </c>
      <c r="B14" s="27" t="s">
        <v>7</v>
      </c>
      <c r="C14" s="24">
        <v>-25.48</v>
      </c>
    </row>
    <row r="15" spans="1:8" hidden="1" x14ac:dyDescent="0.3">
      <c r="A15" s="26">
        <v>45877</v>
      </c>
      <c r="B15" s="32" t="s">
        <v>21</v>
      </c>
      <c r="C15" s="24">
        <v>19.2</v>
      </c>
    </row>
    <row r="16" spans="1:8" hidden="1" x14ac:dyDescent="0.3">
      <c r="A16" s="26">
        <v>45891</v>
      </c>
      <c r="B16" s="27" t="s">
        <v>7</v>
      </c>
      <c r="C16" s="24">
        <v>-19.190000000000001</v>
      </c>
    </row>
    <row r="17" spans="1:5" hidden="1" x14ac:dyDescent="0.3">
      <c r="A17" s="26">
        <v>45891</v>
      </c>
      <c r="B17" s="32" t="s">
        <v>21</v>
      </c>
      <c r="C17" s="24">
        <v>25.45</v>
      </c>
      <c r="D17" s="25">
        <v>-1</v>
      </c>
    </row>
    <row r="18" spans="1:5" hidden="1" x14ac:dyDescent="0.3">
      <c r="A18" s="26">
        <v>45905</v>
      </c>
      <c r="B18" s="27" t="s">
        <v>7</v>
      </c>
      <c r="C18" s="24">
        <v>-25.45</v>
      </c>
    </row>
    <row r="19" spans="1:5" hidden="1" x14ac:dyDescent="0.3">
      <c r="A19" s="26">
        <v>45905</v>
      </c>
      <c r="B19" s="32" t="s">
        <v>21</v>
      </c>
      <c r="C19" s="24">
        <v>25.45</v>
      </c>
    </row>
    <row r="20" spans="1:5" hidden="1" x14ac:dyDescent="0.3">
      <c r="A20" s="26">
        <v>45912</v>
      </c>
      <c r="B20" s="27" t="s">
        <v>7</v>
      </c>
      <c r="C20" s="24">
        <v>-9.61</v>
      </c>
    </row>
    <row r="21" spans="1:5" hidden="1" x14ac:dyDescent="0.3">
      <c r="A21" s="26">
        <v>45912</v>
      </c>
      <c r="B21" s="32" t="s">
        <v>21</v>
      </c>
      <c r="C21" s="24">
        <v>9.6</v>
      </c>
    </row>
    <row r="22" spans="1:5" hidden="1" x14ac:dyDescent="0.3">
      <c r="A22" s="26">
        <v>45926</v>
      </c>
      <c r="B22" s="27" t="s">
        <v>7</v>
      </c>
      <c r="C22" s="24">
        <v>-24.41</v>
      </c>
    </row>
    <row r="23" spans="1:5" hidden="1" x14ac:dyDescent="0.3">
      <c r="A23" s="26">
        <v>45926</v>
      </c>
      <c r="B23" s="32" t="s">
        <v>21</v>
      </c>
      <c r="C23" s="24">
        <v>35.049999999999997</v>
      </c>
      <c r="E23" s="25">
        <v>-1</v>
      </c>
    </row>
    <row r="24" spans="1:5" hidden="1" x14ac:dyDescent="0.3">
      <c r="A24" s="26">
        <v>45947</v>
      </c>
      <c r="B24" s="27" t="s">
        <v>7</v>
      </c>
      <c r="C24" s="24">
        <v>-31.53</v>
      </c>
    </row>
    <row r="25" spans="1:5" hidden="1" x14ac:dyDescent="0.3">
      <c r="A25" s="26">
        <v>45947</v>
      </c>
      <c r="B25" s="32" t="s">
        <v>21</v>
      </c>
      <c r="C25" s="24">
        <v>25.98</v>
      </c>
    </row>
    <row r="26" spans="1:5" hidden="1" x14ac:dyDescent="0.3">
      <c r="A26" s="26">
        <v>45968</v>
      </c>
      <c r="B26" s="27" t="s">
        <v>7</v>
      </c>
      <c r="C26" s="24">
        <v>-30.5</v>
      </c>
    </row>
    <row r="27" spans="1:5" hidden="1" x14ac:dyDescent="0.3">
      <c r="A27" s="26">
        <v>45968</v>
      </c>
      <c r="B27" s="32" t="s">
        <v>21</v>
      </c>
      <c r="C27" s="24">
        <v>26.38</v>
      </c>
    </row>
    <row r="28" spans="1:5" hidden="1" x14ac:dyDescent="0.3">
      <c r="A28" s="26">
        <v>45982</v>
      </c>
      <c r="B28" s="27" t="s">
        <v>7</v>
      </c>
      <c r="C28" s="24">
        <v>-10</v>
      </c>
    </row>
    <row r="29" spans="1:5" hidden="1" x14ac:dyDescent="0.3">
      <c r="A29" s="26">
        <v>45982</v>
      </c>
      <c r="B29" s="27" t="s">
        <v>1</v>
      </c>
      <c r="C29" s="24">
        <v>10</v>
      </c>
    </row>
    <row r="30" spans="1:5" hidden="1" x14ac:dyDescent="0.3">
      <c r="A30" s="26">
        <v>45989</v>
      </c>
      <c r="B30" s="27" t="s">
        <v>7</v>
      </c>
      <c r="C30" s="24">
        <v>-26.39</v>
      </c>
    </row>
    <row r="31" spans="1:5" x14ac:dyDescent="0.3">
      <c r="A31" s="26">
        <v>45989</v>
      </c>
      <c r="B31" s="27" t="s">
        <v>1</v>
      </c>
      <c r="C31" s="24">
        <v>36.380000000000003</v>
      </c>
    </row>
    <row r="32" spans="1:5" x14ac:dyDescent="0.3">
      <c r="A32" s="26">
        <v>46031</v>
      </c>
      <c r="B32" s="27" t="s">
        <v>7</v>
      </c>
      <c r="C32" s="24">
        <v>-36.36</v>
      </c>
    </row>
    <row r="33" spans="1:4" x14ac:dyDescent="0.3">
      <c r="A33" s="26">
        <v>46031</v>
      </c>
      <c r="B33" s="27" t="s">
        <v>1</v>
      </c>
      <c r="C33" s="24">
        <v>26.38</v>
      </c>
      <c r="D33" s="25">
        <v>1</v>
      </c>
    </row>
    <row r="1048576" spans="1:1" x14ac:dyDescent="0.3">
      <c r="A1048576" s="2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1AEF4-9A65-4315-BF5B-8743E9123676}">
  <dimension ref="A1:H1048576"/>
  <sheetViews>
    <sheetView view="pageBreakPreview" zoomScale="80" zoomScaleNormal="100" zoomScaleSheetLayoutView="8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418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45896</v>
      </c>
      <c r="B5" s="27" t="s">
        <v>4</v>
      </c>
      <c r="C5" s="24">
        <v>-9</v>
      </c>
      <c r="D5" s="30"/>
      <c r="E5" s="30"/>
      <c r="F5" s="30"/>
      <c r="G5" s="22"/>
    </row>
    <row r="6" spans="1:8" x14ac:dyDescent="0.3">
      <c r="A6" s="26">
        <v>45897</v>
      </c>
      <c r="B6" s="32" t="s">
        <v>21</v>
      </c>
      <c r="C6" s="24">
        <v>18</v>
      </c>
    </row>
    <row r="7" spans="1:8" x14ac:dyDescent="0.3">
      <c r="A7" s="21">
        <v>45917</v>
      </c>
      <c r="B7" s="27" t="s">
        <v>4</v>
      </c>
      <c r="C7" s="24">
        <v>-15.85</v>
      </c>
    </row>
    <row r="8" spans="1:8" x14ac:dyDescent="0.3">
      <c r="A8" s="21">
        <v>45918</v>
      </c>
      <c r="B8" s="32" t="s">
        <v>1</v>
      </c>
      <c r="C8" s="24">
        <v>9</v>
      </c>
    </row>
    <row r="9" spans="1:8" x14ac:dyDescent="0.3">
      <c r="A9" s="26">
        <v>45983</v>
      </c>
      <c r="B9" s="27" t="s">
        <v>4</v>
      </c>
      <c r="C9" s="24">
        <v>-27.53</v>
      </c>
    </row>
    <row r="10" spans="1:8" x14ac:dyDescent="0.3">
      <c r="A10" s="26">
        <v>45983</v>
      </c>
      <c r="B10" s="27" t="s">
        <v>4</v>
      </c>
      <c r="C10" s="24">
        <v>-46</v>
      </c>
    </row>
    <row r="11" spans="1:8" x14ac:dyDescent="0.3">
      <c r="A11" s="26">
        <v>45982</v>
      </c>
      <c r="B11" s="31" t="s">
        <v>1</v>
      </c>
      <c r="C11" s="24">
        <v>71.38</v>
      </c>
    </row>
    <row r="12" spans="1:8" x14ac:dyDescent="0.3">
      <c r="B12" s="31"/>
    </row>
    <row r="13" spans="1:8" x14ac:dyDescent="0.3">
      <c r="B13" s="32"/>
    </row>
    <row r="15" spans="1:8" x14ac:dyDescent="0.3">
      <c r="B15" s="32"/>
    </row>
    <row r="17" spans="2:2" x14ac:dyDescent="0.3">
      <c r="B17" s="32"/>
    </row>
    <row r="1048576" spans="1:1" x14ac:dyDescent="0.3">
      <c r="A1048576" s="2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6BAD4-438B-41F0-8598-34C1CF8976CA}">
  <dimension ref="A1:H1048576"/>
  <sheetViews>
    <sheetView view="pageBreakPreview" zoomScale="80" zoomScaleNormal="100" zoomScaleSheetLayoutView="80" workbookViewId="0">
      <selection activeCell="C9" sqref="C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522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-0.5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46009</v>
      </c>
      <c r="B5" s="27" t="s">
        <v>21</v>
      </c>
      <c r="C5" s="24">
        <v>15</v>
      </c>
      <c r="D5" s="30"/>
      <c r="E5" s="30"/>
      <c r="F5" s="30"/>
      <c r="G5" s="22"/>
    </row>
    <row r="6" spans="1:8" x14ac:dyDescent="0.3">
      <c r="A6" s="26">
        <v>46030</v>
      </c>
      <c r="B6" s="27" t="s">
        <v>7</v>
      </c>
      <c r="C6" s="24">
        <v>-15</v>
      </c>
    </row>
    <row r="7" spans="1:8" x14ac:dyDescent="0.3">
      <c r="A7" s="26">
        <v>46030</v>
      </c>
      <c r="B7" s="27" t="s">
        <v>1</v>
      </c>
      <c r="C7" s="24">
        <v>7.5</v>
      </c>
    </row>
    <row r="8" spans="1:8" x14ac:dyDescent="0.3">
      <c r="A8" s="21">
        <v>46037</v>
      </c>
      <c r="B8" s="27" t="s">
        <v>7</v>
      </c>
      <c r="C8" s="24">
        <v>-8</v>
      </c>
    </row>
    <row r="11" spans="1:8" x14ac:dyDescent="0.3">
      <c r="B11" s="31"/>
    </row>
    <row r="12" spans="1:8" x14ac:dyDescent="0.3">
      <c r="B12" s="31"/>
    </row>
    <row r="13" spans="1:8" x14ac:dyDescent="0.3">
      <c r="B13" s="32"/>
    </row>
    <row r="15" spans="1:8" x14ac:dyDescent="0.3">
      <c r="B15" s="32"/>
    </row>
    <row r="17" spans="2:2" x14ac:dyDescent="0.3">
      <c r="B17" s="32"/>
    </row>
    <row r="1048576" spans="1:1" x14ac:dyDescent="0.3">
      <c r="A1048576" s="2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32B6E-632D-4751-87AB-4991FBAFD241}">
  <dimension ref="A1:H1048576"/>
  <sheetViews>
    <sheetView view="pageBreakPreview" zoomScale="80" zoomScaleNormal="100" zoomScaleSheetLayoutView="80" workbookViewId="0">
      <selection activeCell="C9" sqref="C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531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532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1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46029</v>
      </c>
      <c r="B5" s="27" t="s">
        <v>21</v>
      </c>
      <c r="C5" s="24">
        <v>46.69</v>
      </c>
      <c r="D5" s="30">
        <v>1</v>
      </c>
      <c r="E5" s="30"/>
      <c r="F5" s="30"/>
      <c r="G5" s="22"/>
    </row>
    <row r="6" spans="1:8" x14ac:dyDescent="0.3">
      <c r="A6" s="26">
        <v>46036</v>
      </c>
      <c r="B6" s="27" t="s">
        <v>4</v>
      </c>
      <c r="C6" s="24">
        <v>-46.69</v>
      </c>
    </row>
    <row r="7" spans="1:8" x14ac:dyDescent="0.3">
      <c r="A7" s="21">
        <v>46036</v>
      </c>
      <c r="B7" s="27" t="s">
        <v>1</v>
      </c>
      <c r="C7" s="24">
        <v>19.75</v>
      </c>
    </row>
    <row r="8" spans="1:8" x14ac:dyDescent="0.3">
      <c r="A8" s="21">
        <v>46050</v>
      </c>
      <c r="B8" s="27" t="s">
        <v>4</v>
      </c>
      <c r="C8" s="24">
        <v>-19.75</v>
      </c>
    </row>
    <row r="11" spans="1:8" x14ac:dyDescent="0.3">
      <c r="B11" s="31"/>
    </row>
    <row r="12" spans="1:8" x14ac:dyDescent="0.3">
      <c r="B12" s="31"/>
    </row>
    <row r="13" spans="1:8" x14ac:dyDescent="0.3">
      <c r="B13" s="32"/>
    </row>
    <row r="15" spans="1:8" x14ac:dyDescent="0.3">
      <c r="B15" s="32"/>
    </row>
    <row r="17" spans="2:2" x14ac:dyDescent="0.3">
      <c r="B17" s="32"/>
    </row>
    <row r="1048576" spans="1:1" x14ac:dyDescent="0.3">
      <c r="A1048576" s="2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542-C82F-49FD-8371-F69EEE6AAAEC}">
  <dimension ref="A1:H1048576"/>
  <sheetViews>
    <sheetView view="pageBreakPreview" zoomScale="80" zoomScaleNormal="100" zoomScaleSheetLayoutView="8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505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53.73</v>
      </c>
      <c r="D3" s="20">
        <f>SUM(D$4:D$1048576)</f>
        <v>1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45988</v>
      </c>
      <c r="B5" s="27" t="s">
        <v>21</v>
      </c>
      <c r="C5" s="24">
        <v>53.73</v>
      </c>
      <c r="D5" s="30">
        <v>1</v>
      </c>
      <c r="E5" s="30"/>
      <c r="F5" s="30"/>
      <c r="G5" s="22"/>
    </row>
    <row r="6" spans="1:8" x14ac:dyDescent="0.3">
      <c r="B6" s="32"/>
    </row>
    <row r="7" spans="1:8" x14ac:dyDescent="0.3">
      <c r="A7" s="21"/>
    </row>
    <row r="8" spans="1:8" x14ac:dyDescent="0.3">
      <c r="A8" s="21"/>
      <c r="B8" s="32"/>
    </row>
    <row r="11" spans="1:8" x14ac:dyDescent="0.3">
      <c r="B11" s="31"/>
    </row>
    <row r="12" spans="1:8" x14ac:dyDescent="0.3">
      <c r="B12" s="31"/>
    </row>
    <row r="13" spans="1:8" x14ac:dyDescent="0.3">
      <c r="B13" s="32"/>
    </row>
    <row r="15" spans="1:8" x14ac:dyDescent="0.3">
      <c r="B15" s="32"/>
    </row>
    <row r="17" spans="2:2" x14ac:dyDescent="0.3">
      <c r="B17" s="32"/>
    </row>
    <row r="1048576" spans="1:1" x14ac:dyDescent="0.3">
      <c r="A1048576" s="2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DF85E-F75A-45A5-AE4B-B6EC3DF95F14}">
  <sheetPr codeName="Hoja163"/>
  <dimension ref="A1:H44"/>
  <sheetViews>
    <sheetView view="pageBreakPreview" zoomScale="80" zoomScaleNormal="100" zoomScaleSheetLayoutView="80" workbookViewId="0">
      <selection activeCell="B45" sqref="B4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242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266.4799999999999</v>
      </c>
      <c r="D3" s="20">
        <f>SUM(D$4:D$1048576)</f>
        <v>1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45821</v>
      </c>
      <c r="B5" s="34" t="s">
        <v>21</v>
      </c>
      <c r="C5" s="24">
        <v>76.5</v>
      </c>
      <c r="D5" s="30"/>
      <c r="E5" s="30"/>
      <c r="F5" s="30"/>
      <c r="G5" s="22"/>
    </row>
    <row r="6" spans="1:8" hidden="1" x14ac:dyDescent="0.3">
      <c r="A6" s="21">
        <v>45826</v>
      </c>
      <c r="B6" s="35" t="s">
        <v>1</v>
      </c>
      <c r="C6" s="24">
        <v>52.3</v>
      </c>
    </row>
    <row r="7" spans="1:8" hidden="1" x14ac:dyDescent="0.3">
      <c r="A7" s="21">
        <v>45826</v>
      </c>
      <c r="B7" s="34" t="s">
        <v>21</v>
      </c>
      <c r="C7" s="24">
        <v>118.48</v>
      </c>
    </row>
    <row r="8" spans="1:8" hidden="1" x14ac:dyDescent="0.3">
      <c r="A8" s="21">
        <v>45826</v>
      </c>
      <c r="B8" s="46" t="s">
        <v>21</v>
      </c>
      <c r="C8" s="24">
        <v>8.16</v>
      </c>
    </row>
    <row r="9" spans="1:8" hidden="1" x14ac:dyDescent="0.3">
      <c r="A9" s="26">
        <v>45834</v>
      </c>
      <c r="B9" s="27" t="s">
        <v>4</v>
      </c>
      <c r="C9" s="24">
        <v>-71.03</v>
      </c>
    </row>
    <row r="10" spans="1:8" hidden="1" x14ac:dyDescent="0.3">
      <c r="A10" s="26">
        <v>45847</v>
      </c>
      <c r="B10" s="31" t="s">
        <v>4</v>
      </c>
      <c r="C10" s="24">
        <v>-149.44999999999999</v>
      </c>
    </row>
    <row r="11" spans="1:8" hidden="1" x14ac:dyDescent="0.3">
      <c r="A11" s="26">
        <v>45848</v>
      </c>
      <c r="B11" s="35" t="s">
        <v>1</v>
      </c>
      <c r="C11" s="24">
        <v>40.69</v>
      </c>
    </row>
    <row r="12" spans="1:8" hidden="1" x14ac:dyDescent="0.3">
      <c r="A12" s="26">
        <v>45848</v>
      </c>
      <c r="B12" s="34" t="s">
        <v>21</v>
      </c>
      <c r="C12" s="24">
        <v>126.55</v>
      </c>
    </row>
    <row r="13" spans="1:8" hidden="1" x14ac:dyDescent="0.3">
      <c r="A13" s="26">
        <v>45854</v>
      </c>
      <c r="B13" s="27" t="s">
        <v>4</v>
      </c>
      <c r="C13" s="24">
        <v>-34.99</v>
      </c>
    </row>
    <row r="14" spans="1:8" hidden="1" x14ac:dyDescent="0.3">
      <c r="A14" s="26">
        <v>45855</v>
      </c>
      <c r="B14" s="27" t="s">
        <v>4</v>
      </c>
      <c r="C14" s="24">
        <v>-100.12</v>
      </c>
    </row>
    <row r="15" spans="1:8" hidden="1" x14ac:dyDescent="0.3">
      <c r="A15" s="26">
        <v>45855</v>
      </c>
      <c r="B15" s="27" t="s">
        <v>4</v>
      </c>
      <c r="C15" s="24">
        <v>-27</v>
      </c>
    </row>
    <row r="16" spans="1:8" hidden="1" x14ac:dyDescent="0.3">
      <c r="A16" s="26">
        <v>45855</v>
      </c>
      <c r="B16" s="35" t="s">
        <v>1</v>
      </c>
      <c r="C16" s="24">
        <v>4.5999999999999996</v>
      </c>
    </row>
    <row r="17" spans="1:4" hidden="1" x14ac:dyDescent="0.3">
      <c r="A17" s="26">
        <v>45855</v>
      </c>
      <c r="B17" s="34" t="s">
        <v>21</v>
      </c>
      <c r="C17" s="24">
        <v>83.58</v>
      </c>
    </row>
    <row r="18" spans="1:4" hidden="1" x14ac:dyDescent="0.3">
      <c r="A18" s="26">
        <v>45877</v>
      </c>
      <c r="B18" s="27" t="s">
        <v>4</v>
      </c>
      <c r="C18" s="24">
        <v>-84.57</v>
      </c>
    </row>
    <row r="19" spans="1:4" hidden="1" x14ac:dyDescent="0.3">
      <c r="A19" s="26">
        <v>45877</v>
      </c>
      <c r="B19" s="27" t="s">
        <v>4</v>
      </c>
      <c r="C19" s="24">
        <v>-2.92</v>
      </c>
    </row>
    <row r="20" spans="1:4" hidden="1" x14ac:dyDescent="0.3">
      <c r="A20" s="26">
        <v>45883</v>
      </c>
      <c r="B20" s="35" t="s">
        <v>1</v>
      </c>
      <c r="C20" s="24">
        <v>10.3</v>
      </c>
    </row>
    <row r="21" spans="1:4" hidden="1" x14ac:dyDescent="0.3">
      <c r="A21" s="26">
        <v>45883</v>
      </c>
      <c r="B21" s="34" t="s">
        <v>21</v>
      </c>
      <c r="C21" s="24">
        <v>74.459999999999994</v>
      </c>
    </row>
    <row r="22" spans="1:4" hidden="1" x14ac:dyDescent="0.3">
      <c r="A22" s="26">
        <v>45915</v>
      </c>
      <c r="B22" s="27" t="s">
        <v>4</v>
      </c>
      <c r="C22" s="24">
        <v>-125.9</v>
      </c>
    </row>
    <row r="23" spans="1:4" hidden="1" x14ac:dyDescent="0.3">
      <c r="A23" s="26">
        <v>45918</v>
      </c>
      <c r="B23" s="34" t="s">
        <v>21</v>
      </c>
      <c r="C23" s="24">
        <v>163.28</v>
      </c>
    </row>
    <row r="24" spans="1:4" hidden="1" x14ac:dyDescent="0.3">
      <c r="A24" s="26">
        <v>45929</v>
      </c>
      <c r="B24" s="27" t="s">
        <v>4</v>
      </c>
      <c r="C24" s="24">
        <v>-113.86</v>
      </c>
    </row>
    <row r="25" spans="1:4" hidden="1" x14ac:dyDescent="0.3">
      <c r="A25" s="26">
        <v>45932</v>
      </c>
      <c r="B25" s="27" t="s">
        <v>4</v>
      </c>
      <c r="C25" s="24">
        <v>-49.06</v>
      </c>
    </row>
    <row r="26" spans="1:4" hidden="1" x14ac:dyDescent="0.3">
      <c r="A26" s="26">
        <v>45932</v>
      </c>
      <c r="B26" s="35" t="s">
        <v>1</v>
      </c>
      <c r="C26" s="24">
        <v>40.64</v>
      </c>
      <c r="D26" s="25">
        <v>1</v>
      </c>
    </row>
    <row r="27" spans="1:4" hidden="1" x14ac:dyDescent="0.3">
      <c r="A27" s="26">
        <v>45932</v>
      </c>
      <c r="B27" s="34" t="s">
        <v>21</v>
      </c>
      <c r="C27" s="24">
        <v>200.64</v>
      </c>
    </row>
    <row r="28" spans="1:4" hidden="1" x14ac:dyDescent="0.3">
      <c r="A28" s="26">
        <v>45947</v>
      </c>
      <c r="B28" s="27" t="s">
        <v>4</v>
      </c>
      <c r="C28" s="24">
        <v>-198.78</v>
      </c>
    </row>
    <row r="29" spans="1:4" hidden="1" x14ac:dyDescent="0.3">
      <c r="A29" s="26">
        <v>45947</v>
      </c>
      <c r="B29" s="34" t="s">
        <v>21</v>
      </c>
      <c r="C29" s="24">
        <v>179.7</v>
      </c>
    </row>
    <row r="30" spans="1:4" hidden="1" x14ac:dyDescent="0.3">
      <c r="A30" s="26">
        <v>45948</v>
      </c>
      <c r="B30" s="27" t="s">
        <v>4</v>
      </c>
      <c r="C30" s="24">
        <v>-43.44</v>
      </c>
    </row>
    <row r="31" spans="1:4" hidden="1" x14ac:dyDescent="0.3">
      <c r="A31" s="26">
        <v>45959</v>
      </c>
      <c r="B31" s="27" t="s">
        <v>4</v>
      </c>
      <c r="C31" s="24">
        <v>-179.28</v>
      </c>
    </row>
    <row r="32" spans="1:4" x14ac:dyDescent="0.3">
      <c r="A32" s="26">
        <v>45961</v>
      </c>
      <c r="B32" s="34" t="s">
        <v>21</v>
      </c>
      <c r="C32" s="24">
        <v>276.06</v>
      </c>
    </row>
    <row r="33" spans="1:3" x14ac:dyDescent="0.3">
      <c r="A33" s="26">
        <v>45975</v>
      </c>
      <c r="B33" s="27" t="s">
        <v>4</v>
      </c>
      <c r="C33" s="24">
        <v>-100</v>
      </c>
    </row>
    <row r="34" spans="1:3" x14ac:dyDescent="0.3">
      <c r="A34" s="26">
        <v>45989</v>
      </c>
      <c r="B34" s="27" t="s">
        <v>4</v>
      </c>
      <c r="C34" s="24">
        <v>-40.71</v>
      </c>
    </row>
    <row r="35" spans="1:3" x14ac:dyDescent="0.3">
      <c r="A35" s="26">
        <v>45995</v>
      </c>
      <c r="B35" s="27" t="s">
        <v>4</v>
      </c>
      <c r="C35" s="24">
        <v>-135.35</v>
      </c>
    </row>
    <row r="36" spans="1:3" x14ac:dyDescent="0.3">
      <c r="A36" s="26">
        <v>45996</v>
      </c>
      <c r="B36" s="27" t="s">
        <v>1</v>
      </c>
      <c r="C36" s="24">
        <v>499.76</v>
      </c>
    </row>
    <row r="37" spans="1:3" x14ac:dyDescent="0.3">
      <c r="A37" s="26">
        <v>45996</v>
      </c>
      <c r="B37" s="27" t="s">
        <v>503</v>
      </c>
      <c r="C37" s="24">
        <v>-22.8</v>
      </c>
    </row>
    <row r="38" spans="1:3" x14ac:dyDescent="0.3">
      <c r="A38" s="26">
        <v>46010</v>
      </c>
      <c r="B38" s="27" t="s">
        <v>1</v>
      </c>
      <c r="C38" s="24">
        <v>180.08</v>
      </c>
    </row>
    <row r="39" spans="1:3" x14ac:dyDescent="0.3">
      <c r="A39" s="26">
        <v>46014</v>
      </c>
      <c r="B39" s="27" t="s">
        <v>4</v>
      </c>
      <c r="C39" s="24">
        <v>-173.34</v>
      </c>
    </row>
    <row r="40" spans="1:3" x14ac:dyDescent="0.3">
      <c r="A40" s="26">
        <v>46017</v>
      </c>
      <c r="B40" s="27" t="s">
        <v>503</v>
      </c>
      <c r="C40" s="24">
        <v>-22.8</v>
      </c>
    </row>
    <row r="41" spans="1:3" x14ac:dyDescent="0.3">
      <c r="A41" s="26">
        <v>46017</v>
      </c>
      <c r="B41" s="27" t="s">
        <v>1</v>
      </c>
      <c r="C41" s="24">
        <v>180</v>
      </c>
    </row>
    <row r="42" spans="1:3" x14ac:dyDescent="0.3">
      <c r="A42" s="26">
        <v>46029</v>
      </c>
      <c r="B42" s="27" t="s">
        <v>4</v>
      </c>
      <c r="C42" s="24">
        <v>-99.11</v>
      </c>
    </row>
    <row r="43" spans="1:3" x14ac:dyDescent="0.3">
      <c r="A43" s="26">
        <v>46030</v>
      </c>
      <c r="B43" s="27" t="s">
        <v>4</v>
      </c>
      <c r="C43" s="24">
        <v>-541.15</v>
      </c>
    </row>
    <row r="44" spans="1:3" x14ac:dyDescent="0.3">
      <c r="A44" s="26">
        <v>46031</v>
      </c>
      <c r="B44" s="27" t="s">
        <v>1</v>
      </c>
      <c r="C44" s="24">
        <v>266.36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A178-DD9E-4661-B41E-3DC788C23027}">
  <sheetPr codeName="Hoja68"/>
  <dimension ref="A1:K96"/>
  <sheetViews>
    <sheetView view="pageBreakPreview" topLeftCell="A70" zoomScale="80" zoomScaleNormal="100" zoomScaleSheetLayoutView="80" workbookViewId="0">
      <selection activeCell="C97" sqref="C9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441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1668.4599999999996</v>
      </c>
      <c r="D3" s="20">
        <f>SUM(D$4:D$1048576)</f>
        <v>22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45815</v>
      </c>
      <c r="B5" s="31" t="s">
        <v>21</v>
      </c>
      <c r="C5" s="24">
        <v>465.8</v>
      </c>
      <c r="D5" s="30">
        <v>14</v>
      </c>
      <c r="E5" s="30"/>
      <c r="F5" s="30"/>
      <c r="G5" s="22"/>
    </row>
    <row r="6" spans="1:8" x14ac:dyDescent="0.3">
      <c r="A6" s="21">
        <v>45815</v>
      </c>
      <c r="B6" s="72" t="s">
        <v>21</v>
      </c>
      <c r="C6" s="24">
        <v>50.45</v>
      </c>
    </row>
    <row r="7" spans="1:8" x14ac:dyDescent="0.3">
      <c r="A7" s="26">
        <v>45821</v>
      </c>
      <c r="B7" s="27" t="s">
        <v>4</v>
      </c>
      <c r="C7" s="24">
        <v>-395.72</v>
      </c>
    </row>
    <row r="8" spans="1:8" x14ac:dyDescent="0.3">
      <c r="A8" s="26">
        <v>45821</v>
      </c>
      <c r="B8" s="27" t="s">
        <v>1</v>
      </c>
      <c r="C8" s="24">
        <v>445.7</v>
      </c>
      <c r="D8" s="25">
        <v>-14</v>
      </c>
    </row>
    <row r="9" spans="1:8" x14ac:dyDescent="0.3">
      <c r="A9" s="26">
        <v>45827</v>
      </c>
      <c r="B9" s="27" t="s">
        <v>4</v>
      </c>
      <c r="C9" s="24">
        <v>-525.37</v>
      </c>
    </row>
    <row r="10" spans="1:8" x14ac:dyDescent="0.3">
      <c r="A10" s="26">
        <v>45828</v>
      </c>
      <c r="B10" s="31" t="s">
        <v>1</v>
      </c>
      <c r="C10" s="24">
        <v>597.5</v>
      </c>
    </row>
    <row r="11" spans="1:8" x14ac:dyDescent="0.3">
      <c r="A11" s="26">
        <v>45828</v>
      </c>
      <c r="B11" s="72" t="s">
        <v>21</v>
      </c>
      <c r="C11" s="24">
        <v>31.7</v>
      </c>
    </row>
    <row r="12" spans="1:8" x14ac:dyDescent="0.3">
      <c r="A12" s="26">
        <v>45834</v>
      </c>
      <c r="B12" s="31" t="s">
        <v>4</v>
      </c>
      <c r="C12" s="24">
        <v>-500.15</v>
      </c>
    </row>
    <row r="13" spans="1:8" x14ac:dyDescent="0.3">
      <c r="A13" s="26">
        <v>45834</v>
      </c>
      <c r="B13" s="27" t="s">
        <v>1</v>
      </c>
      <c r="C13" s="24">
        <v>475.8</v>
      </c>
    </row>
    <row r="14" spans="1:8" x14ac:dyDescent="0.3">
      <c r="A14" s="26">
        <v>45845</v>
      </c>
      <c r="B14" s="27" t="s">
        <v>4</v>
      </c>
      <c r="C14" s="24">
        <v>-448.76</v>
      </c>
    </row>
    <row r="15" spans="1:8" x14ac:dyDescent="0.3">
      <c r="A15" s="26">
        <v>45847</v>
      </c>
      <c r="B15" s="27" t="s">
        <v>1</v>
      </c>
      <c r="C15" s="24">
        <v>119.6</v>
      </c>
    </row>
    <row r="16" spans="1:8" x14ac:dyDescent="0.3">
      <c r="A16" s="26">
        <v>45848</v>
      </c>
      <c r="B16" s="27" t="s">
        <v>4</v>
      </c>
      <c r="C16" s="24">
        <v>-99.34</v>
      </c>
    </row>
    <row r="17" spans="1:3" x14ac:dyDescent="0.3">
      <c r="A17" s="26">
        <v>45848</v>
      </c>
      <c r="B17" s="27" t="s">
        <v>1</v>
      </c>
      <c r="C17" s="24">
        <v>579.79999999999995</v>
      </c>
    </row>
    <row r="18" spans="1:3" x14ac:dyDescent="0.3">
      <c r="A18" s="26">
        <v>45854</v>
      </c>
      <c r="B18" s="27" t="s">
        <v>4</v>
      </c>
      <c r="C18" s="24">
        <v>-100</v>
      </c>
    </row>
    <row r="19" spans="1:3" x14ac:dyDescent="0.3">
      <c r="A19" s="26">
        <v>45854</v>
      </c>
      <c r="B19" s="27" t="s">
        <v>4</v>
      </c>
      <c r="C19" s="24">
        <v>-299.99</v>
      </c>
    </row>
    <row r="20" spans="1:3" x14ac:dyDescent="0.3">
      <c r="A20" s="26">
        <v>45855</v>
      </c>
      <c r="B20" s="27" t="s">
        <v>4</v>
      </c>
      <c r="C20" s="24">
        <v>-100</v>
      </c>
    </row>
    <row r="21" spans="1:3" x14ac:dyDescent="0.3">
      <c r="A21" s="26">
        <v>45855</v>
      </c>
      <c r="B21" s="27" t="s">
        <v>1</v>
      </c>
      <c r="C21" s="24">
        <v>336.9</v>
      </c>
    </row>
    <row r="22" spans="1:3" x14ac:dyDescent="0.3">
      <c r="A22" s="26">
        <v>45863</v>
      </c>
      <c r="B22" s="27" t="s">
        <v>4</v>
      </c>
      <c r="C22" s="24">
        <v>-147.34</v>
      </c>
    </row>
    <row r="23" spans="1:3" x14ac:dyDescent="0.3">
      <c r="A23" s="26">
        <v>45869</v>
      </c>
      <c r="B23" s="27" t="s">
        <v>4</v>
      </c>
      <c r="C23" s="24">
        <v>-100.01</v>
      </c>
    </row>
    <row r="24" spans="1:3" x14ac:dyDescent="0.3">
      <c r="A24" s="26">
        <v>45870</v>
      </c>
      <c r="B24" s="27" t="s">
        <v>1</v>
      </c>
      <c r="C24" s="24">
        <v>624</v>
      </c>
    </row>
    <row r="25" spans="1:3" x14ac:dyDescent="0.3">
      <c r="A25" s="26">
        <v>45874</v>
      </c>
      <c r="B25" s="27" t="s">
        <v>4</v>
      </c>
      <c r="C25" s="24">
        <v>-197.47</v>
      </c>
    </row>
    <row r="26" spans="1:3" x14ac:dyDescent="0.3">
      <c r="A26" s="26">
        <v>45881</v>
      </c>
      <c r="B26" s="27" t="s">
        <v>4</v>
      </c>
      <c r="C26" s="24">
        <v>-99.95</v>
      </c>
    </row>
    <row r="27" spans="1:3" x14ac:dyDescent="0.3">
      <c r="A27" s="26">
        <v>45884</v>
      </c>
      <c r="B27" s="27" t="s">
        <v>4</v>
      </c>
      <c r="C27" s="24">
        <v>-599.96</v>
      </c>
    </row>
    <row r="28" spans="1:3" x14ac:dyDescent="0.3">
      <c r="A28" s="26">
        <v>45884</v>
      </c>
      <c r="B28" s="27" t="s">
        <v>1</v>
      </c>
      <c r="C28" s="24">
        <v>589.79999999999995</v>
      </c>
    </row>
    <row r="29" spans="1:3" x14ac:dyDescent="0.3">
      <c r="A29" s="26">
        <v>45887</v>
      </c>
      <c r="B29" s="27" t="s">
        <v>4</v>
      </c>
      <c r="C29" s="24">
        <v>-99.98</v>
      </c>
    </row>
    <row r="30" spans="1:3" x14ac:dyDescent="0.3">
      <c r="A30" s="26">
        <v>45889</v>
      </c>
      <c r="B30" s="27" t="s">
        <v>4</v>
      </c>
      <c r="C30" s="24">
        <v>-399.98</v>
      </c>
    </row>
    <row r="31" spans="1:3" x14ac:dyDescent="0.3">
      <c r="A31" s="26">
        <v>45890</v>
      </c>
      <c r="B31" s="27" t="s">
        <v>1</v>
      </c>
      <c r="C31" s="24">
        <v>683.8</v>
      </c>
    </row>
    <row r="32" spans="1:3" x14ac:dyDescent="0.3">
      <c r="A32" s="26">
        <v>45895</v>
      </c>
      <c r="B32" s="27" t="s">
        <v>4</v>
      </c>
      <c r="C32" s="24">
        <v>-99.97</v>
      </c>
    </row>
    <row r="33" spans="1:4" x14ac:dyDescent="0.3">
      <c r="A33" s="26">
        <v>45898</v>
      </c>
      <c r="B33" s="27" t="s">
        <v>4</v>
      </c>
      <c r="C33" s="24">
        <v>-499.72</v>
      </c>
    </row>
    <row r="34" spans="1:4" x14ac:dyDescent="0.3">
      <c r="A34" s="26">
        <v>45898</v>
      </c>
      <c r="B34" s="27" t="s">
        <v>1</v>
      </c>
      <c r="C34" s="24">
        <v>502.2</v>
      </c>
    </row>
    <row r="35" spans="1:4" x14ac:dyDescent="0.3">
      <c r="A35" s="26">
        <v>45904</v>
      </c>
      <c r="B35" s="27" t="s">
        <v>4</v>
      </c>
      <c r="C35" s="24">
        <v>-696.48</v>
      </c>
    </row>
    <row r="36" spans="1:4" x14ac:dyDescent="0.3">
      <c r="A36" s="26">
        <v>45904</v>
      </c>
      <c r="B36" s="27" t="s">
        <v>1</v>
      </c>
      <c r="C36" s="24">
        <v>1290.3</v>
      </c>
      <c r="D36" s="25">
        <v>19</v>
      </c>
    </row>
    <row r="37" spans="1:4" x14ac:dyDescent="0.3">
      <c r="A37" s="26">
        <v>45910</v>
      </c>
      <c r="B37" s="27" t="s">
        <v>4</v>
      </c>
      <c r="C37" s="24">
        <v>-999.53</v>
      </c>
    </row>
    <row r="38" spans="1:4" x14ac:dyDescent="0.3">
      <c r="A38" s="26">
        <v>45912</v>
      </c>
      <c r="B38" s="27" t="s">
        <v>1</v>
      </c>
      <c r="C38" s="24">
        <v>450.9</v>
      </c>
      <c r="D38" s="25">
        <v>-19</v>
      </c>
    </row>
    <row r="39" spans="1:4" x14ac:dyDescent="0.3">
      <c r="A39" s="26">
        <v>45912</v>
      </c>
      <c r="B39" s="72" t="s">
        <v>21</v>
      </c>
      <c r="C39" s="24">
        <v>42.55</v>
      </c>
    </row>
    <row r="40" spans="1:4" x14ac:dyDescent="0.3">
      <c r="A40" s="26">
        <v>45918</v>
      </c>
      <c r="B40" s="27" t="s">
        <v>4</v>
      </c>
      <c r="C40" s="24">
        <v>-543.85</v>
      </c>
    </row>
    <row r="41" spans="1:4" x14ac:dyDescent="0.3">
      <c r="A41" s="26">
        <v>45919</v>
      </c>
      <c r="B41" s="27" t="s">
        <v>1</v>
      </c>
      <c r="C41" s="24">
        <v>314.39999999999998</v>
      </c>
    </row>
    <row r="42" spans="1:4" x14ac:dyDescent="0.3">
      <c r="A42" s="26">
        <v>45926</v>
      </c>
      <c r="B42" s="27" t="s">
        <v>4</v>
      </c>
      <c r="C42" s="24">
        <v>-535.29</v>
      </c>
    </row>
    <row r="43" spans="1:4" x14ac:dyDescent="0.3">
      <c r="A43" s="26">
        <v>45926</v>
      </c>
      <c r="B43" s="27" t="s">
        <v>1</v>
      </c>
      <c r="C43" s="24">
        <v>534.9</v>
      </c>
    </row>
    <row r="44" spans="1:4" x14ac:dyDescent="0.3">
      <c r="A44" s="26">
        <v>45929</v>
      </c>
      <c r="B44" s="27" t="s">
        <v>4</v>
      </c>
      <c r="C44" s="24">
        <v>-62.4</v>
      </c>
    </row>
    <row r="45" spans="1:4" x14ac:dyDescent="0.3">
      <c r="A45" s="26">
        <v>45929</v>
      </c>
      <c r="B45" s="27" t="s">
        <v>4</v>
      </c>
      <c r="C45" s="24">
        <v>-39.85</v>
      </c>
    </row>
    <row r="46" spans="1:4" x14ac:dyDescent="0.3">
      <c r="A46" s="26">
        <v>45931</v>
      </c>
      <c r="B46" s="27" t="s">
        <v>4</v>
      </c>
      <c r="C46" s="24">
        <v>-83.32</v>
      </c>
    </row>
    <row r="47" spans="1:4" x14ac:dyDescent="0.3">
      <c r="A47" s="26">
        <v>45932</v>
      </c>
      <c r="B47" s="27" t="s">
        <v>4</v>
      </c>
      <c r="C47" s="24">
        <v>-399.99</v>
      </c>
    </row>
    <row r="48" spans="1:4" x14ac:dyDescent="0.3">
      <c r="A48" s="26">
        <v>45933</v>
      </c>
      <c r="B48" s="27" t="s">
        <v>1</v>
      </c>
      <c r="C48" s="24">
        <v>520</v>
      </c>
      <c r="D48" s="25">
        <v>3</v>
      </c>
    </row>
    <row r="49" spans="1:4" x14ac:dyDescent="0.3">
      <c r="A49" s="26">
        <v>45937</v>
      </c>
      <c r="B49" s="27" t="s">
        <v>4</v>
      </c>
      <c r="C49" s="24">
        <v>-53.39</v>
      </c>
    </row>
    <row r="50" spans="1:4" x14ac:dyDescent="0.3">
      <c r="A50" s="26">
        <v>45940</v>
      </c>
      <c r="B50" s="27" t="s">
        <v>4</v>
      </c>
      <c r="C50" s="24">
        <v>-499.23</v>
      </c>
    </row>
    <row r="51" spans="1:4" x14ac:dyDescent="0.3">
      <c r="A51" s="26">
        <v>45940</v>
      </c>
      <c r="B51" s="27" t="s">
        <v>1</v>
      </c>
      <c r="C51" s="24">
        <v>484.44</v>
      </c>
      <c r="D51" s="25">
        <v>-3</v>
      </c>
    </row>
    <row r="52" spans="1:4" x14ac:dyDescent="0.3">
      <c r="A52" s="26">
        <v>45946</v>
      </c>
      <c r="B52" s="27" t="s">
        <v>4</v>
      </c>
      <c r="C52" s="24">
        <v>-99.77</v>
      </c>
    </row>
    <row r="53" spans="1:4" x14ac:dyDescent="0.3">
      <c r="A53" s="26">
        <v>45947</v>
      </c>
      <c r="B53" s="27" t="s">
        <v>4</v>
      </c>
      <c r="C53" s="24">
        <v>-298.91000000000003</v>
      </c>
    </row>
    <row r="54" spans="1:4" x14ac:dyDescent="0.3">
      <c r="A54" s="26">
        <v>45947</v>
      </c>
      <c r="B54" s="27" t="s">
        <v>1</v>
      </c>
      <c r="C54" s="24">
        <v>658.82</v>
      </c>
      <c r="D54" s="25">
        <v>1</v>
      </c>
    </row>
    <row r="55" spans="1:4" x14ac:dyDescent="0.3">
      <c r="A55" s="26">
        <v>45953</v>
      </c>
      <c r="B55" s="27" t="s">
        <v>4</v>
      </c>
      <c r="C55" s="24">
        <v>-200.02</v>
      </c>
    </row>
    <row r="56" spans="1:4" x14ac:dyDescent="0.3">
      <c r="A56" s="26">
        <v>45954</v>
      </c>
      <c r="B56" s="27" t="s">
        <v>4</v>
      </c>
      <c r="C56" s="24">
        <v>-99.8</v>
      </c>
    </row>
    <row r="57" spans="1:4" x14ac:dyDescent="0.3">
      <c r="A57" s="26">
        <v>45954</v>
      </c>
      <c r="B57" s="27" t="s">
        <v>1</v>
      </c>
      <c r="C57" s="24">
        <v>689.23</v>
      </c>
    </row>
    <row r="58" spans="1:4" x14ac:dyDescent="0.3">
      <c r="A58" s="26">
        <v>45957</v>
      </c>
      <c r="B58" s="27" t="s">
        <v>4</v>
      </c>
      <c r="C58" s="24">
        <v>-138.65</v>
      </c>
    </row>
    <row r="59" spans="1:4" x14ac:dyDescent="0.3">
      <c r="A59" s="26">
        <v>45960</v>
      </c>
      <c r="B59" s="27" t="s">
        <v>1</v>
      </c>
      <c r="C59" s="24">
        <v>879.12</v>
      </c>
    </row>
    <row r="60" spans="1:4" x14ac:dyDescent="0.3">
      <c r="A60" s="26">
        <v>45960</v>
      </c>
      <c r="B60" s="72" t="s">
        <v>21</v>
      </c>
      <c r="C60" s="24">
        <v>32.76</v>
      </c>
    </row>
    <row r="61" spans="1:4" x14ac:dyDescent="0.3">
      <c r="A61" s="26">
        <v>45961</v>
      </c>
      <c r="B61" s="27" t="s">
        <v>4</v>
      </c>
      <c r="C61" s="24">
        <v>-598.07000000000005</v>
      </c>
    </row>
    <row r="62" spans="1:4" x14ac:dyDescent="0.3">
      <c r="A62" s="26">
        <v>45967</v>
      </c>
      <c r="B62" s="27" t="s">
        <v>4</v>
      </c>
      <c r="C62" s="24">
        <v>-878.9</v>
      </c>
    </row>
    <row r="63" spans="1:4" x14ac:dyDescent="0.3">
      <c r="A63" s="26">
        <v>45967</v>
      </c>
      <c r="B63" s="27" t="s">
        <v>1</v>
      </c>
      <c r="C63" s="24">
        <v>790.24</v>
      </c>
    </row>
    <row r="64" spans="1:4" x14ac:dyDescent="0.3">
      <c r="A64" s="26">
        <v>45968</v>
      </c>
      <c r="B64" s="27" t="s">
        <v>4</v>
      </c>
      <c r="C64" s="24">
        <v>-99.97</v>
      </c>
    </row>
    <row r="65" spans="1:11" x14ac:dyDescent="0.3">
      <c r="A65" s="26">
        <v>45973</v>
      </c>
      <c r="B65" s="27" t="s">
        <v>4</v>
      </c>
      <c r="C65" s="24">
        <v>-499.9</v>
      </c>
    </row>
    <row r="66" spans="1:11" x14ac:dyDescent="0.3">
      <c r="A66" s="26">
        <v>45973</v>
      </c>
      <c r="B66" s="27" t="s">
        <v>4</v>
      </c>
      <c r="C66" s="24">
        <v>-99.96</v>
      </c>
    </row>
    <row r="67" spans="1:11" x14ac:dyDescent="0.3">
      <c r="A67" s="26">
        <v>45973</v>
      </c>
      <c r="B67" s="27" t="s">
        <v>4</v>
      </c>
      <c r="C67" s="24">
        <v>-99.98</v>
      </c>
    </row>
    <row r="68" spans="1:11" x14ac:dyDescent="0.3">
      <c r="A68" s="26">
        <v>45974</v>
      </c>
      <c r="B68" s="27" t="s">
        <v>1</v>
      </c>
      <c r="C68" s="24">
        <v>593.88</v>
      </c>
      <c r="D68" s="25">
        <v>3</v>
      </c>
      <c r="K68" s="18">
        <v>-2855</v>
      </c>
    </row>
    <row r="69" spans="1:11" x14ac:dyDescent="0.3">
      <c r="A69" s="26">
        <v>45979</v>
      </c>
      <c r="B69" s="27" t="s">
        <v>4</v>
      </c>
      <c r="C69" s="24">
        <v>-149.99</v>
      </c>
      <c r="K69" s="18">
        <v>99.97</v>
      </c>
    </row>
    <row r="70" spans="1:11" x14ac:dyDescent="0.3">
      <c r="A70" s="26">
        <v>45981</v>
      </c>
      <c r="B70" s="27" t="s">
        <v>1</v>
      </c>
      <c r="C70" s="24">
        <v>690</v>
      </c>
    </row>
    <row r="71" spans="1:11" x14ac:dyDescent="0.3">
      <c r="A71" s="26">
        <v>45987</v>
      </c>
      <c r="B71" s="27" t="s">
        <v>4</v>
      </c>
      <c r="C71" s="24">
        <v>-597.59</v>
      </c>
    </row>
    <row r="72" spans="1:11" x14ac:dyDescent="0.3">
      <c r="A72" s="26">
        <v>45989</v>
      </c>
      <c r="B72" s="27" t="s">
        <v>1</v>
      </c>
      <c r="C72" s="24">
        <v>559.4</v>
      </c>
      <c r="D72" s="25">
        <v>1</v>
      </c>
    </row>
    <row r="73" spans="1:11" x14ac:dyDescent="0.3">
      <c r="A73" s="26">
        <v>45993</v>
      </c>
      <c r="B73" s="27" t="s">
        <v>4</v>
      </c>
      <c r="C73" s="24">
        <v>-303.14</v>
      </c>
    </row>
    <row r="74" spans="1:11" x14ac:dyDescent="0.3">
      <c r="A74" s="26">
        <v>45994</v>
      </c>
      <c r="B74" s="27" t="s">
        <v>4</v>
      </c>
      <c r="C74" s="24">
        <v>-699.44</v>
      </c>
    </row>
    <row r="75" spans="1:11" x14ac:dyDescent="0.3">
      <c r="A75" s="26">
        <v>45996</v>
      </c>
      <c r="B75" s="27" t="s">
        <v>4</v>
      </c>
      <c r="C75" s="24">
        <v>-196.18</v>
      </c>
    </row>
    <row r="76" spans="1:11" x14ac:dyDescent="0.3">
      <c r="A76" s="26">
        <v>45996</v>
      </c>
      <c r="B76" s="27" t="s">
        <v>1</v>
      </c>
      <c r="C76" s="24">
        <v>918.48</v>
      </c>
      <c r="D76" s="25">
        <v>10</v>
      </c>
    </row>
    <row r="77" spans="1:11" x14ac:dyDescent="0.3">
      <c r="A77" s="26">
        <v>46003</v>
      </c>
      <c r="B77" s="27" t="s">
        <v>1</v>
      </c>
      <c r="C77" s="24">
        <v>690</v>
      </c>
    </row>
    <row r="78" spans="1:11" x14ac:dyDescent="0.3">
      <c r="A78" s="26">
        <v>46009</v>
      </c>
      <c r="B78" s="27" t="s">
        <v>4</v>
      </c>
      <c r="C78" s="24">
        <v>-399.55</v>
      </c>
    </row>
    <row r="79" spans="1:11" x14ac:dyDescent="0.3">
      <c r="A79" s="26">
        <v>46009</v>
      </c>
      <c r="B79" s="27" t="s">
        <v>4</v>
      </c>
      <c r="C79" s="24">
        <v>-746.97</v>
      </c>
    </row>
    <row r="80" spans="1:11" x14ac:dyDescent="0.3">
      <c r="A80" s="26">
        <v>46009</v>
      </c>
      <c r="B80" s="27" t="s">
        <v>1</v>
      </c>
      <c r="C80" s="24">
        <v>1650.11</v>
      </c>
      <c r="D80" s="25">
        <v>32</v>
      </c>
    </row>
    <row r="81" spans="1:4" x14ac:dyDescent="0.3">
      <c r="A81" s="26">
        <v>46014</v>
      </c>
      <c r="B81" s="27" t="s">
        <v>1</v>
      </c>
      <c r="C81" s="24">
        <v>575</v>
      </c>
      <c r="D81" s="25">
        <v>-28</v>
      </c>
    </row>
    <row r="82" spans="1:4" x14ac:dyDescent="0.3">
      <c r="A82" s="26">
        <v>46017</v>
      </c>
      <c r="B82" s="27" t="s">
        <v>4</v>
      </c>
      <c r="C82" s="24">
        <v>-797.37</v>
      </c>
    </row>
    <row r="83" spans="1:4" x14ac:dyDescent="0.3">
      <c r="A83" s="26">
        <v>46017</v>
      </c>
      <c r="B83" s="27" t="s">
        <v>4</v>
      </c>
      <c r="C83" s="24">
        <v>-300</v>
      </c>
    </row>
    <row r="84" spans="1:4" x14ac:dyDescent="0.3">
      <c r="A84" s="26">
        <v>46020</v>
      </c>
      <c r="B84" s="27" t="s">
        <v>4</v>
      </c>
      <c r="C84" s="24">
        <v>-697.77</v>
      </c>
    </row>
    <row r="85" spans="1:4" x14ac:dyDescent="0.3">
      <c r="A85" s="26">
        <v>46021</v>
      </c>
      <c r="B85" s="27" t="s">
        <v>1</v>
      </c>
      <c r="C85" s="24">
        <v>1161.53</v>
      </c>
      <c r="D85" s="25">
        <v>20</v>
      </c>
    </row>
    <row r="86" spans="1:4" x14ac:dyDescent="0.3">
      <c r="A86" s="26">
        <v>46027</v>
      </c>
      <c r="B86" s="27" t="s">
        <v>4</v>
      </c>
      <c r="C86" s="24">
        <v>-299.49</v>
      </c>
    </row>
    <row r="87" spans="1:4" x14ac:dyDescent="0.3">
      <c r="A87" s="26">
        <v>46017</v>
      </c>
      <c r="B87" s="27" t="s">
        <v>1</v>
      </c>
      <c r="C87" s="24">
        <v>879.74</v>
      </c>
      <c r="D87" s="25">
        <v>17</v>
      </c>
    </row>
    <row r="88" spans="1:4" x14ac:dyDescent="0.3">
      <c r="A88" s="26">
        <v>46029</v>
      </c>
      <c r="B88" s="27" t="s">
        <v>4</v>
      </c>
      <c r="C88" s="24">
        <v>-1201.29</v>
      </c>
    </row>
    <row r="89" spans="1:4" x14ac:dyDescent="0.3">
      <c r="A89" s="26">
        <v>46029</v>
      </c>
      <c r="B89" s="27" t="s">
        <v>4</v>
      </c>
      <c r="C89" s="24">
        <v>-1100</v>
      </c>
    </row>
    <row r="90" spans="1:4" x14ac:dyDescent="0.3">
      <c r="A90" s="26">
        <v>46036</v>
      </c>
      <c r="B90" s="27" t="s">
        <v>4</v>
      </c>
      <c r="C90" s="24">
        <v>-297.20999999999998</v>
      </c>
    </row>
    <row r="91" spans="1:4" x14ac:dyDescent="0.3">
      <c r="A91" s="26">
        <v>46036</v>
      </c>
      <c r="B91" s="27" t="s">
        <v>1</v>
      </c>
      <c r="C91" s="24">
        <v>461.28</v>
      </c>
      <c r="D91" s="25">
        <v>-26</v>
      </c>
    </row>
    <row r="92" spans="1:4" x14ac:dyDescent="0.3">
      <c r="A92" s="26">
        <v>46042</v>
      </c>
      <c r="B92" s="27" t="s">
        <v>4</v>
      </c>
      <c r="C92" s="24">
        <v>-100.14</v>
      </c>
    </row>
    <row r="93" spans="1:4" x14ac:dyDescent="0.3">
      <c r="A93" s="26">
        <v>46043</v>
      </c>
      <c r="B93" s="27" t="s">
        <v>514</v>
      </c>
      <c r="C93" s="24">
        <v>370.87</v>
      </c>
      <c r="D93" s="25">
        <v>-8</v>
      </c>
    </row>
    <row r="94" spans="1:4" x14ac:dyDescent="0.3">
      <c r="A94" s="26">
        <v>46045</v>
      </c>
      <c r="B94" s="27" t="s">
        <v>4</v>
      </c>
      <c r="C94" s="24">
        <v>-99.8</v>
      </c>
    </row>
    <row r="95" spans="1:4" x14ac:dyDescent="0.3">
      <c r="A95" s="26">
        <v>46052</v>
      </c>
      <c r="B95" s="27" t="s">
        <v>1</v>
      </c>
      <c r="C95" s="24">
        <v>148.36000000000001</v>
      </c>
    </row>
    <row r="96" spans="1:4" x14ac:dyDescent="0.3">
      <c r="A96" s="26">
        <v>46055</v>
      </c>
      <c r="B96" s="27" t="s">
        <v>1</v>
      </c>
      <c r="C96" s="24">
        <v>506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DE167-45F9-4E4C-9CB1-04C37D67CA02}">
  <dimension ref="A1:H20"/>
  <sheetViews>
    <sheetView view="pageBreakPreview" zoomScale="80" zoomScaleNormal="100" zoomScaleSheetLayoutView="80" workbookViewId="0">
      <selection activeCell="C21" sqref="C21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386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0.5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45863</v>
      </c>
      <c r="B5" s="72" t="s">
        <v>21</v>
      </c>
      <c r="C5" s="24">
        <v>9.6</v>
      </c>
      <c r="D5" s="30"/>
      <c r="E5" s="30"/>
      <c r="F5" s="30"/>
      <c r="G5" s="22"/>
    </row>
    <row r="6" spans="1:8" x14ac:dyDescent="0.3">
      <c r="A6" s="21">
        <v>45863</v>
      </c>
      <c r="B6" s="27" t="s">
        <v>1</v>
      </c>
      <c r="C6" s="24">
        <v>41.6</v>
      </c>
    </row>
    <row r="7" spans="1:8" x14ac:dyDescent="0.3">
      <c r="A7" s="26">
        <v>45891</v>
      </c>
      <c r="B7" s="27" t="s">
        <v>7</v>
      </c>
      <c r="C7" s="24">
        <v>-51.2</v>
      </c>
    </row>
    <row r="8" spans="1:8" x14ac:dyDescent="0.3">
      <c r="A8" s="26">
        <v>45905</v>
      </c>
      <c r="B8" s="72" t="s">
        <v>1</v>
      </c>
      <c r="C8" s="24">
        <v>9.6</v>
      </c>
    </row>
    <row r="9" spans="1:8" x14ac:dyDescent="0.3">
      <c r="A9" s="26">
        <v>45905</v>
      </c>
      <c r="B9" s="27" t="s">
        <v>1</v>
      </c>
      <c r="C9" s="24">
        <v>41.6</v>
      </c>
      <c r="D9" s="25">
        <v>2</v>
      </c>
    </row>
    <row r="10" spans="1:8" x14ac:dyDescent="0.3">
      <c r="A10" s="26">
        <v>45926</v>
      </c>
      <c r="B10" s="31" t="s">
        <v>7</v>
      </c>
      <c r="C10" s="24">
        <v>-51.26</v>
      </c>
    </row>
    <row r="11" spans="1:8" x14ac:dyDescent="0.3">
      <c r="A11" s="26">
        <v>45933</v>
      </c>
      <c r="B11" s="27" t="s">
        <v>1</v>
      </c>
      <c r="C11" s="24">
        <v>41.6</v>
      </c>
      <c r="D11" s="25">
        <v>2</v>
      </c>
    </row>
    <row r="12" spans="1:8" x14ac:dyDescent="0.3">
      <c r="A12" s="26">
        <v>45961</v>
      </c>
      <c r="B12" s="72" t="s">
        <v>1</v>
      </c>
      <c r="C12" s="24">
        <v>10</v>
      </c>
    </row>
    <row r="13" spans="1:8" x14ac:dyDescent="0.3">
      <c r="A13" s="26">
        <v>45968</v>
      </c>
      <c r="B13" s="27" t="s">
        <v>4</v>
      </c>
      <c r="C13" s="24">
        <v>-61.2</v>
      </c>
    </row>
    <row r="14" spans="1:8" x14ac:dyDescent="0.3">
      <c r="A14" s="26">
        <v>45982</v>
      </c>
      <c r="B14" s="27" t="s">
        <v>1</v>
      </c>
      <c r="C14" s="24">
        <v>27.5</v>
      </c>
    </row>
    <row r="15" spans="1:8" x14ac:dyDescent="0.3">
      <c r="A15" s="26">
        <v>46003</v>
      </c>
      <c r="B15" s="27" t="s">
        <v>4</v>
      </c>
      <c r="C15" s="24">
        <v>-27.5</v>
      </c>
    </row>
    <row r="16" spans="1:8" x14ac:dyDescent="0.3">
      <c r="A16" s="26">
        <v>46003</v>
      </c>
      <c r="B16" s="27" t="s">
        <v>1</v>
      </c>
      <c r="C16" s="24">
        <v>27.62</v>
      </c>
    </row>
    <row r="17" spans="1:4" x14ac:dyDescent="0.3">
      <c r="A17" s="26">
        <v>46006</v>
      </c>
      <c r="B17" s="27" t="s">
        <v>22</v>
      </c>
      <c r="D17" s="25">
        <v>-2</v>
      </c>
    </row>
    <row r="18" spans="1:4" x14ac:dyDescent="0.3">
      <c r="A18" s="26">
        <v>46010</v>
      </c>
      <c r="B18" s="27" t="s">
        <v>1</v>
      </c>
      <c r="C18" s="24">
        <v>207</v>
      </c>
      <c r="D18" s="25">
        <v>-2</v>
      </c>
    </row>
    <row r="19" spans="1:4" x14ac:dyDescent="0.3">
      <c r="A19" s="26">
        <v>46013</v>
      </c>
      <c r="B19" s="27" t="s">
        <v>4</v>
      </c>
      <c r="C19" s="24">
        <v>-20</v>
      </c>
    </row>
    <row r="20" spans="1:4" x14ac:dyDescent="0.3">
      <c r="A20" s="26">
        <v>46020</v>
      </c>
      <c r="B20" s="27" t="s">
        <v>4</v>
      </c>
      <c r="C20" s="24">
        <v>-204.46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A8DCF-725A-4044-8D92-3E3AC0555475}">
  <sheetPr codeName="Hoja69"/>
  <dimension ref="A1:H77"/>
  <sheetViews>
    <sheetView view="pageBreakPreview" zoomScale="80" zoomScaleNormal="100" zoomScaleSheetLayoutView="80" workbookViewId="0">
      <selection activeCell="C78" sqref="C7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175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176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7.1899999999999862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45819</v>
      </c>
      <c r="B5" s="32" t="s">
        <v>21</v>
      </c>
      <c r="C5" s="24">
        <v>35.53</v>
      </c>
      <c r="D5" s="30"/>
      <c r="E5" s="30"/>
      <c r="F5" s="30"/>
      <c r="G5" s="22"/>
    </row>
    <row r="6" spans="1:8" hidden="1" x14ac:dyDescent="0.3">
      <c r="A6" s="21">
        <v>45825</v>
      </c>
      <c r="B6" s="27" t="s">
        <v>4</v>
      </c>
      <c r="C6" s="24">
        <v>-35.53</v>
      </c>
    </row>
    <row r="7" spans="1:8" hidden="1" x14ac:dyDescent="0.3">
      <c r="A7" s="21">
        <v>45825</v>
      </c>
      <c r="B7" s="32" t="s">
        <v>21</v>
      </c>
      <c r="C7" s="24">
        <v>25.69</v>
      </c>
    </row>
    <row r="8" spans="1:8" hidden="1" x14ac:dyDescent="0.3">
      <c r="A8" s="26">
        <v>45832</v>
      </c>
      <c r="B8" s="27" t="s">
        <v>4</v>
      </c>
      <c r="C8" s="24">
        <v>-25.69</v>
      </c>
    </row>
    <row r="9" spans="1:8" hidden="1" x14ac:dyDescent="0.3">
      <c r="A9" s="26">
        <v>45832</v>
      </c>
      <c r="B9" s="32" t="s">
        <v>21</v>
      </c>
      <c r="C9" s="24">
        <v>75.03</v>
      </c>
    </row>
    <row r="10" spans="1:8" hidden="1" x14ac:dyDescent="0.3">
      <c r="A10" s="26">
        <v>45832</v>
      </c>
      <c r="B10" s="34" t="s">
        <v>21</v>
      </c>
      <c r="C10" s="24">
        <v>10.86</v>
      </c>
    </row>
    <row r="11" spans="1:8" hidden="1" x14ac:dyDescent="0.3">
      <c r="A11" s="26">
        <v>45846</v>
      </c>
      <c r="B11" s="32" t="s">
        <v>21</v>
      </c>
      <c r="C11" s="24">
        <v>66.98</v>
      </c>
    </row>
    <row r="12" spans="1:8" hidden="1" x14ac:dyDescent="0.3">
      <c r="A12" s="26">
        <v>45846</v>
      </c>
      <c r="B12" s="31" t="s">
        <v>1</v>
      </c>
      <c r="C12" s="24">
        <v>42.68</v>
      </c>
    </row>
    <row r="13" spans="1:8" hidden="1" x14ac:dyDescent="0.3">
      <c r="A13" s="26">
        <v>45849</v>
      </c>
      <c r="B13" s="27" t="s">
        <v>7</v>
      </c>
      <c r="C13" s="24">
        <v>-100</v>
      </c>
    </row>
    <row r="14" spans="1:8" hidden="1" x14ac:dyDescent="0.3">
      <c r="A14" s="26">
        <v>45853</v>
      </c>
      <c r="B14" s="32" t="s">
        <v>21</v>
      </c>
      <c r="C14" s="24">
        <v>70.88</v>
      </c>
    </row>
    <row r="15" spans="1:8" hidden="1" x14ac:dyDescent="0.3">
      <c r="A15" s="26">
        <v>45853</v>
      </c>
      <c r="B15" s="34" t="s">
        <v>21</v>
      </c>
      <c r="C15" s="24">
        <v>10.86</v>
      </c>
    </row>
    <row r="16" spans="1:8" hidden="1" x14ac:dyDescent="0.3">
      <c r="A16" s="26">
        <v>45853</v>
      </c>
      <c r="B16" s="27" t="s">
        <v>1</v>
      </c>
      <c r="C16" s="24">
        <v>25.25</v>
      </c>
    </row>
    <row r="17" spans="1:3" hidden="1" x14ac:dyDescent="0.3">
      <c r="A17" s="26">
        <v>45854</v>
      </c>
      <c r="B17" s="27" t="s">
        <v>7</v>
      </c>
      <c r="C17" s="24">
        <v>-95.57</v>
      </c>
    </row>
    <row r="18" spans="1:3" hidden="1" x14ac:dyDescent="0.3">
      <c r="A18" s="26">
        <v>45860</v>
      </c>
      <c r="B18" s="27" t="s">
        <v>4</v>
      </c>
      <c r="C18" s="24">
        <v>-66.849999999999994</v>
      </c>
    </row>
    <row r="19" spans="1:3" hidden="1" x14ac:dyDescent="0.3">
      <c r="A19" s="26">
        <v>45860</v>
      </c>
      <c r="B19" s="27" t="s">
        <v>7</v>
      </c>
      <c r="C19" s="24">
        <v>-37.479999999999997</v>
      </c>
    </row>
    <row r="20" spans="1:3" hidden="1" x14ac:dyDescent="0.3">
      <c r="A20" s="26">
        <v>45860</v>
      </c>
      <c r="B20" s="32" t="s">
        <v>21</v>
      </c>
      <c r="C20" s="24">
        <v>75.03</v>
      </c>
    </row>
    <row r="21" spans="1:3" hidden="1" x14ac:dyDescent="0.3">
      <c r="A21" s="26">
        <v>45874</v>
      </c>
      <c r="B21" s="27" t="s">
        <v>4</v>
      </c>
      <c r="C21" s="24">
        <v>-77.67</v>
      </c>
    </row>
    <row r="22" spans="1:3" hidden="1" x14ac:dyDescent="0.3">
      <c r="A22" s="26">
        <v>45874</v>
      </c>
      <c r="B22" s="32" t="s">
        <v>21</v>
      </c>
      <c r="C22" s="24">
        <v>59.18</v>
      </c>
    </row>
    <row r="23" spans="1:3" hidden="1" x14ac:dyDescent="0.3">
      <c r="A23" s="26">
        <v>45874</v>
      </c>
      <c r="B23" s="27" t="s">
        <v>1</v>
      </c>
      <c r="C23" s="24">
        <v>42.68</v>
      </c>
    </row>
    <row r="24" spans="1:3" hidden="1" x14ac:dyDescent="0.3">
      <c r="A24" s="26">
        <v>45881</v>
      </c>
      <c r="B24" s="27" t="s">
        <v>4</v>
      </c>
      <c r="C24" s="24">
        <v>-73.319999999999993</v>
      </c>
    </row>
    <row r="25" spans="1:3" hidden="1" x14ac:dyDescent="0.3">
      <c r="A25" s="26">
        <v>45881</v>
      </c>
      <c r="B25" s="32" t="s">
        <v>21</v>
      </c>
      <c r="C25" s="24">
        <v>59.18</v>
      </c>
    </row>
    <row r="26" spans="1:3" hidden="1" x14ac:dyDescent="0.3">
      <c r="A26" s="26">
        <v>45881</v>
      </c>
      <c r="B26" s="27" t="s">
        <v>1</v>
      </c>
      <c r="C26" s="24">
        <v>12.8</v>
      </c>
    </row>
    <row r="27" spans="1:3" hidden="1" x14ac:dyDescent="0.3">
      <c r="A27" s="26">
        <v>45888</v>
      </c>
      <c r="B27" s="27" t="s">
        <v>4</v>
      </c>
      <c r="C27" s="24">
        <v>-28.54</v>
      </c>
    </row>
    <row r="28" spans="1:3" hidden="1" x14ac:dyDescent="0.3">
      <c r="A28" s="26">
        <v>45895</v>
      </c>
      <c r="B28" s="27" t="s">
        <v>4</v>
      </c>
      <c r="C28" s="24">
        <v>-72.28</v>
      </c>
    </row>
    <row r="29" spans="1:3" hidden="1" x14ac:dyDescent="0.3">
      <c r="A29" s="26">
        <v>45895</v>
      </c>
      <c r="B29" s="32" t="s">
        <v>21</v>
      </c>
      <c r="C29" s="24">
        <v>78.680000000000007</v>
      </c>
    </row>
    <row r="30" spans="1:3" hidden="1" x14ac:dyDescent="0.3">
      <c r="A30" s="26">
        <v>45895</v>
      </c>
      <c r="B30" s="27" t="s">
        <v>1</v>
      </c>
      <c r="C30" s="24">
        <v>50.68</v>
      </c>
    </row>
    <row r="31" spans="1:3" hidden="1" x14ac:dyDescent="0.3">
      <c r="A31" s="26">
        <v>45902</v>
      </c>
      <c r="B31" s="27" t="s">
        <v>4</v>
      </c>
      <c r="C31" s="24">
        <v>-129.36000000000001</v>
      </c>
    </row>
    <row r="32" spans="1:3" hidden="1" x14ac:dyDescent="0.3">
      <c r="A32" s="26">
        <v>45902</v>
      </c>
      <c r="B32" s="32" t="s">
        <v>21</v>
      </c>
      <c r="C32" s="24">
        <v>35.53</v>
      </c>
    </row>
    <row r="33" spans="1:3" hidden="1" x14ac:dyDescent="0.3">
      <c r="A33" s="26">
        <v>45902</v>
      </c>
      <c r="B33" s="27" t="s">
        <v>1</v>
      </c>
      <c r="C33" s="24">
        <v>30.23</v>
      </c>
    </row>
    <row r="34" spans="1:3" hidden="1" x14ac:dyDescent="0.3">
      <c r="A34" s="26">
        <v>45909</v>
      </c>
      <c r="B34" s="32" t="s">
        <v>21</v>
      </c>
      <c r="C34" s="24">
        <v>59.18</v>
      </c>
    </row>
    <row r="35" spans="1:3" hidden="1" x14ac:dyDescent="0.3">
      <c r="A35" s="26">
        <v>45909</v>
      </c>
      <c r="B35" s="27" t="s">
        <v>1</v>
      </c>
      <c r="C35" s="24">
        <v>24.89</v>
      </c>
    </row>
    <row r="36" spans="1:3" hidden="1" x14ac:dyDescent="0.3">
      <c r="A36" s="26">
        <v>45916</v>
      </c>
      <c r="B36" s="27" t="s">
        <v>4</v>
      </c>
      <c r="C36" s="24">
        <v>-110.94</v>
      </c>
    </row>
    <row r="37" spans="1:3" hidden="1" x14ac:dyDescent="0.3">
      <c r="A37" s="26">
        <v>45916</v>
      </c>
      <c r="B37" s="32" t="s">
        <v>21</v>
      </c>
      <c r="C37" s="24">
        <v>33.49</v>
      </c>
    </row>
    <row r="38" spans="1:3" hidden="1" x14ac:dyDescent="0.3">
      <c r="A38" s="26">
        <v>45916</v>
      </c>
      <c r="B38" s="27" t="s">
        <v>1</v>
      </c>
      <c r="C38" s="24">
        <v>41.6</v>
      </c>
    </row>
    <row r="39" spans="1:3" hidden="1" x14ac:dyDescent="0.3">
      <c r="A39" s="26">
        <v>45923</v>
      </c>
      <c r="B39" s="27" t="s">
        <v>4</v>
      </c>
      <c r="C39" s="24">
        <v>-122.96</v>
      </c>
    </row>
    <row r="40" spans="1:3" hidden="1" x14ac:dyDescent="0.3">
      <c r="A40" s="26">
        <v>45923</v>
      </c>
      <c r="B40" s="32" t="s">
        <v>21</v>
      </c>
      <c r="C40" s="24">
        <v>92.67</v>
      </c>
    </row>
    <row r="41" spans="1:3" hidden="1" x14ac:dyDescent="0.3">
      <c r="A41" s="26">
        <v>45923</v>
      </c>
      <c r="B41" s="27" t="s">
        <v>1</v>
      </c>
      <c r="C41" s="24">
        <v>12.8</v>
      </c>
    </row>
    <row r="42" spans="1:3" hidden="1" x14ac:dyDescent="0.3">
      <c r="A42" s="26">
        <v>45937</v>
      </c>
      <c r="B42" s="27" t="s">
        <v>4</v>
      </c>
      <c r="C42" s="24">
        <v>-96.19</v>
      </c>
    </row>
    <row r="43" spans="1:3" hidden="1" x14ac:dyDescent="0.3">
      <c r="A43" s="26">
        <v>45937</v>
      </c>
      <c r="B43" s="27" t="s">
        <v>1</v>
      </c>
      <c r="C43" s="24">
        <v>92.77</v>
      </c>
    </row>
    <row r="44" spans="1:3" hidden="1" x14ac:dyDescent="0.3">
      <c r="A44" s="26">
        <v>45937</v>
      </c>
      <c r="B44" s="32" t="s">
        <v>21</v>
      </c>
      <c r="C44" s="24">
        <v>76.62</v>
      </c>
    </row>
    <row r="45" spans="1:3" hidden="1" x14ac:dyDescent="0.3">
      <c r="A45" s="26">
        <v>45944</v>
      </c>
      <c r="B45" s="27" t="s">
        <v>4</v>
      </c>
      <c r="C45" s="24">
        <v>-38.020000000000003</v>
      </c>
    </row>
    <row r="46" spans="1:3" hidden="1" x14ac:dyDescent="0.3">
      <c r="A46" s="26">
        <v>45944</v>
      </c>
      <c r="B46" s="27" t="s">
        <v>7</v>
      </c>
      <c r="C46" s="24">
        <v>-38.46</v>
      </c>
    </row>
    <row r="47" spans="1:3" hidden="1" x14ac:dyDescent="0.3">
      <c r="A47" s="26">
        <v>45944</v>
      </c>
      <c r="B47" s="32" t="s">
        <v>21</v>
      </c>
      <c r="C47" s="24">
        <v>60.24</v>
      </c>
    </row>
    <row r="48" spans="1:3" hidden="1" x14ac:dyDescent="0.3">
      <c r="A48" s="26">
        <v>45944</v>
      </c>
      <c r="B48" s="27" t="s">
        <v>1</v>
      </c>
      <c r="C48" s="24">
        <v>14.4</v>
      </c>
    </row>
    <row r="49" spans="1:3" hidden="1" x14ac:dyDescent="0.3">
      <c r="A49" s="26">
        <v>45951</v>
      </c>
      <c r="B49" s="27" t="s">
        <v>4</v>
      </c>
      <c r="C49" s="24">
        <v>-168.98</v>
      </c>
    </row>
    <row r="50" spans="1:3" hidden="1" x14ac:dyDescent="0.3">
      <c r="A50" s="26">
        <v>45951</v>
      </c>
      <c r="B50" s="32" t="s">
        <v>21</v>
      </c>
      <c r="C50" s="24">
        <v>70.08</v>
      </c>
    </row>
    <row r="51" spans="1:3" hidden="1" x14ac:dyDescent="0.3">
      <c r="A51" s="26">
        <v>45951</v>
      </c>
      <c r="B51" s="27" t="s">
        <v>1</v>
      </c>
      <c r="C51" s="24">
        <v>18.239999999999998</v>
      </c>
    </row>
    <row r="52" spans="1:3" hidden="1" x14ac:dyDescent="0.3">
      <c r="A52" s="26">
        <v>45954</v>
      </c>
      <c r="B52" s="27" t="s">
        <v>4</v>
      </c>
      <c r="C52" s="24">
        <v>-88.32</v>
      </c>
    </row>
    <row r="53" spans="1:3" hidden="1" x14ac:dyDescent="0.3">
      <c r="A53" s="26">
        <v>45965</v>
      </c>
      <c r="B53" s="32" t="s">
        <v>21</v>
      </c>
      <c r="C53" s="24">
        <v>80.64</v>
      </c>
    </row>
    <row r="54" spans="1:3" hidden="1" x14ac:dyDescent="0.3">
      <c r="A54" s="26">
        <v>45965</v>
      </c>
      <c r="B54" s="27" t="s">
        <v>1</v>
      </c>
      <c r="C54" s="24">
        <v>71.87</v>
      </c>
    </row>
    <row r="55" spans="1:3" hidden="1" x14ac:dyDescent="0.3">
      <c r="A55" s="26">
        <v>45972</v>
      </c>
      <c r="B55" s="27" t="s">
        <v>4</v>
      </c>
      <c r="C55" s="24">
        <v>81.12</v>
      </c>
    </row>
    <row r="56" spans="1:3" hidden="1" x14ac:dyDescent="0.3">
      <c r="A56" s="26">
        <v>45979</v>
      </c>
      <c r="B56" s="27" t="s">
        <v>4</v>
      </c>
      <c r="C56" s="24">
        <v>-84.45</v>
      </c>
    </row>
    <row r="57" spans="1:3" hidden="1" x14ac:dyDescent="0.3">
      <c r="A57" s="26">
        <v>45979</v>
      </c>
      <c r="B57" s="27" t="s">
        <v>4</v>
      </c>
      <c r="C57" s="24">
        <v>-54.89</v>
      </c>
    </row>
    <row r="58" spans="1:3" hidden="1" x14ac:dyDescent="0.3">
      <c r="A58" s="26">
        <v>45979</v>
      </c>
      <c r="B58" s="27" t="s">
        <v>1</v>
      </c>
      <c r="C58" s="24">
        <v>52.11</v>
      </c>
    </row>
    <row r="59" spans="1:3" hidden="1" x14ac:dyDescent="0.3">
      <c r="A59" s="26">
        <v>45986</v>
      </c>
      <c r="B59" s="27" t="s">
        <v>1</v>
      </c>
      <c r="C59" s="24">
        <v>16.38</v>
      </c>
    </row>
    <row r="60" spans="1:3" hidden="1" x14ac:dyDescent="0.3">
      <c r="A60" s="26">
        <v>45993</v>
      </c>
      <c r="B60" s="27" t="s">
        <v>4</v>
      </c>
      <c r="C60" s="24">
        <v>-88.92</v>
      </c>
    </row>
    <row r="61" spans="1:3" hidden="1" x14ac:dyDescent="0.3">
      <c r="A61" s="26">
        <v>45993</v>
      </c>
      <c r="B61" s="27" t="s">
        <v>4</v>
      </c>
      <c r="C61" s="24">
        <v>-72.430000000000007</v>
      </c>
    </row>
    <row r="62" spans="1:3" x14ac:dyDescent="0.3">
      <c r="A62" s="26">
        <v>45993</v>
      </c>
      <c r="B62" s="27" t="s">
        <v>1</v>
      </c>
      <c r="C62" s="24">
        <v>185.84</v>
      </c>
    </row>
    <row r="63" spans="1:3" x14ac:dyDescent="0.3">
      <c r="A63" s="26">
        <v>46000</v>
      </c>
      <c r="B63" s="27" t="s">
        <v>1</v>
      </c>
      <c r="C63" s="24">
        <v>60.24</v>
      </c>
    </row>
    <row r="64" spans="1:3" x14ac:dyDescent="0.3">
      <c r="A64" s="26">
        <v>46007</v>
      </c>
      <c r="B64" s="27" t="s">
        <v>4</v>
      </c>
      <c r="C64" s="24">
        <v>-162.65</v>
      </c>
    </row>
    <row r="65" spans="1:3" x14ac:dyDescent="0.3">
      <c r="A65" s="26">
        <v>46007</v>
      </c>
      <c r="B65" s="27" t="s">
        <v>4</v>
      </c>
      <c r="C65" s="24">
        <v>-85.42</v>
      </c>
    </row>
    <row r="66" spans="1:3" x14ac:dyDescent="0.3">
      <c r="A66" s="26">
        <v>46007</v>
      </c>
      <c r="B66" s="27" t="s">
        <v>1</v>
      </c>
      <c r="C66" s="24">
        <v>72.66</v>
      </c>
    </row>
    <row r="67" spans="1:3" x14ac:dyDescent="0.3">
      <c r="A67" s="26">
        <v>46013</v>
      </c>
      <c r="B67" s="27" t="s">
        <v>1</v>
      </c>
      <c r="C67" s="24">
        <v>158.63999999999999</v>
      </c>
    </row>
    <row r="68" spans="1:3" x14ac:dyDescent="0.3">
      <c r="A68" s="26">
        <v>46013</v>
      </c>
      <c r="B68" s="27" t="s">
        <v>4</v>
      </c>
      <c r="C68" s="24">
        <v>-72.66</v>
      </c>
    </row>
    <row r="69" spans="1:3" x14ac:dyDescent="0.3">
      <c r="A69" s="26">
        <v>46014</v>
      </c>
      <c r="B69" s="27" t="s">
        <v>1</v>
      </c>
      <c r="C69" s="24">
        <v>61.54</v>
      </c>
    </row>
    <row r="70" spans="1:3" x14ac:dyDescent="0.3">
      <c r="A70" s="26">
        <v>46035</v>
      </c>
      <c r="B70" s="27" t="s">
        <v>1</v>
      </c>
      <c r="C70" s="24">
        <v>19.68</v>
      </c>
    </row>
    <row r="71" spans="1:3" x14ac:dyDescent="0.3">
      <c r="A71" s="26">
        <v>46036</v>
      </c>
      <c r="B71" s="27" t="s">
        <v>4</v>
      </c>
      <c r="C71" s="24">
        <v>-220.18</v>
      </c>
    </row>
    <row r="72" spans="1:3" x14ac:dyDescent="0.3">
      <c r="A72" s="26">
        <v>46042</v>
      </c>
      <c r="B72" s="27" t="s">
        <v>4</v>
      </c>
      <c r="C72" s="24">
        <v>-19.68</v>
      </c>
    </row>
    <row r="73" spans="1:3" x14ac:dyDescent="0.3">
      <c r="A73" s="26">
        <v>46042</v>
      </c>
      <c r="B73" s="27" t="s">
        <v>1</v>
      </c>
      <c r="C73" s="24">
        <v>139.04</v>
      </c>
    </row>
    <row r="74" spans="1:3" x14ac:dyDescent="0.3">
      <c r="A74" s="26">
        <v>46049</v>
      </c>
      <c r="B74" s="27" t="s">
        <v>4</v>
      </c>
      <c r="C74" s="24">
        <v>-137.66</v>
      </c>
    </row>
    <row r="75" spans="1:3" x14ac:dyDescent="0.3">
      <c r="A75" s="26">
        <v>46049</v>
      </c>
      <c r="B75" s="27" t="s">
        <v>1</v>
      </c>
      <c r="C75" s="24">
        <v>62.04</v>
      </c>
    </row>
    <row r="76" spans="1:3" x14ac:dyDescent="0.3">
      <c r="A76" s="26">
        <v>46056</v>
      </c>
      <c r="B76" s="27" t="s">
        <v>4</v>
      </c>
      <c r="C76" s="24">
        <v>-62.04</v>
      </c>
    </row>
    <row r="77" spans="1:3" x14ac:dyDescent="0.3">
      <c r="A77" s="26">
        <v>46056</v>
      </c>
      <c r="B77" s="27" t="s">
        <v>1</v>
      </c>
      <c r="C77" s="24">
        <v>7.8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A460-E222-4E62-BB13-E3293865A2B0}">
  <dimension ref="A1:I32"/>
  <sheetViews>
    <sheetView view="pageBreakPreview" zoomScale="80" zoomScaleNormal="100" zoomScaleSheetLayoutView="80" workbookViewId="0">
      <selection activeCell="C22" sqref="C2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464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17.479999999999997</v>
      </c>
      <c r="D3" s="20">
        <f>SUM(D$4:D$1048576)</f>
        <v>1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45932</v>
      </c>
      <c r="B5" s="31" t="s">
        <v>4</v>
      </c>
      <c r="C5" s="24">
        <v>-9.84</v>
      </c>
      <c r="D5" s="30"/>
      <c r="E5" s="30"/>
      <c r="F5" s="30"/>
      <c r="G5" s="22"/>
    </row>
    <row r="6" spans="1:9" x14ac:dyDescent="0.3">
      <c r="A6" s="21">
        <v>45932</v>
      </c>
      <c r="B6" s="32" t="s">
        <v>21</v>
      </c>
      <c r="C6" s="24">
        <v>9.84</v>
      </c>
    </row>
    <row r="7" spans="1:9" x14ac:dyDescent="0.3">
      <c r="A7" s="26">
        <v>45940</v>
      </c>
      <c r="B7" s="27" t="s">
        <v>4</v>
      </c>
      <c r="C7" s="24">
        <v>-16.38</v>
      </c>
    </row>
    <row r="8" spans="1:9" x14ac:dyDescent="0.3">
      <c r="A8" s="26">
        <v>45940</v>
      </c>
      <c r="B8" s="32" t="s">
        <v>1</v>
      </c>
      <c r="C8" s="24">
        <v>16.38</v>
      </c>
      <c r="D8" s="25">
        <v>1</v>
      </c>
    </row>
    <row r="9" spans="1:9" x14ac:dyDescent="0.3">
      <c r="A9" s="26">
        <v>45947</v>
      </c>
      <c r="B9" s="32" t="s">
        <v>1</v>
      </c>
      <c r="C9" s="24">
        <v>16.38</v>
      </c>
      <c r="I9" s="25"/>
    </row>
    <row r="10" spans="1:9" x14ac:dyDescent="0.3">
      <c r="A10" s="26">
        <v>45948</v>
      </c>
      <c r="B10" s="27" t="s">
        <v>4</v>
      </c>
      <c r="C10" s="24">
        <v>-16.23</v>
      </c>
    </row>
    <row r="11" spans="1:9" x14ac:dyDescent="0.3">
      <c r="A11" s="26">
        <v>45995</v>
      </c>
      <c r="B11" s="27" t="s">
        <v>4</v>
      </c>
      <c r="C11" s="24">
        <v>-16.38</v>
      </c>
    </row>
    <row r="12" spans="1:9" x14ac:dyDescent="0.3">
      <c r="A12" s="26">
        <v>45995</v>
      </c>
      <c r="B12" s="27" t="s">
        <v>1</v>
      </c>
      <c r="C12" s="24">
        <v>16.38</v>
      </c>
    </row>
    <row r="13" spans="1:9" x14ac:dyDescent="0.3">
      <c r="A13" s="26">
        <v>46002</v>
      </c>
      <c r="B13" s="27" t="s">
        <v>4</v>
      </c>
      <c r="C13" s="24">
        <v>-16.440000000000001</v>
      </c>
    </row>
    <row r="14" spans="1:9" x14ac:dyDescent="0.3">
      <c r="A14" s="26">
        <v>46002</v>
      </c>
      <c r="B14" s="27" t="s">
        <v>1</v>
      </c>
      <c r="C14" s="24">
        <v>16.38</v>
      </c>
    </row>
    <row r="15" spans="1:9" x14ac:dyDescent="0.3">
      <c r="A15" s="26">
        <v>46009</v>
      </c>
      <c r="B15" s="27" t="s">
        <v>1</v>
      </c>
      <c r="C15" s="24">
        <v>26.99</v>
      </c>
    </row>
    <row r="16" spans="1:9" x14ac:dyDescent="0.3">
      <c r="A16" s="26">
        <v>46010</v>
      </c>
      <c r="B16" s="27" t="s">
        <v>4</v>
      </c>
      <c r="C16" s="24">
        <v>-26.99</v>
      </c>
    </row>
    <row r="17" spans="1:3" x14ac:dyDescent="0.3">
      <c r="A17" s="26">
        <v>46037</v>
      </c>
      <c r="B17" s="27" t="s">
        <v>1</v>
      </c>
      <c r="C17" s="24">
        <v>37.86</v>
      </c>
    </row>
    <row r="18" spans="1:3" x14ac:dyDescent="0.3">
      <c r="A18" s="26">
        <v>46042</v>
      </c>
      <c r="B18" s="27" t="s">
        <v>4</v>
      </c>
      <c r="C18" s="24">
        <v>-37.74</v>
      </c>
    </row>
    <row r="19" spans="1:3" x14ac:dyDescent="0.3">
      <c r="A19" s="26">
        <v>46045</v>
      </c>
      <c r="B19" s="27" t="s">
        <v>4</v>
      </c>
      <c r="C19" s="24">
        <v>-17.29</v>
      </c>
    </row>
    <row r="20" spans="1:3" x14ac:dyDescent="0.3">
      <c r="A20" s="26">
        <v>46045</v>
      </c>
      <c r="B20" s="27" t="s">
        <v>1</v>
      </c>
      <c r="C20" s="24">
        <v>17.28</v>
      </c>
    </row>
    <row r="21" spans="1:3" x14ac:dyDescent="0.3">
      <c r="A21" s="26">
        <v>46051</v>
      </c>
      <c r="B21" s="27" t="s">
        <v>1</v>
      </c>
      <c r="C21" s="24">
        <v>17.28</v>
      </c>
    </row>
    <row r="25" spans="1:3" x14ac:dyDescent="0.3">
      <c r="B25" s="32"/>
    </row>
    <row r="26" spans="1:3" x14ac:dyDescent="0.3">
      <c r="B26" s="34"/>
    </row>
    <row r="31" spans="1:3" x14ac:dyDescent="0.3">
      <c r="B31" s="32"/>
    </row>
    <row r="32" spans="1:3" x14ac:dyDescent="0.3">
      <c r="B32" s="34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3A480-3174-4A04-8A63-5523D4094DF2}">
  <sheetPr codeName="Hoja70"/>
  <dimension ref="A1:I41"/>
  <sheetViews>
    <sheetView view="pageBreakPreview" zoomScale="80" zoomScaleNormal="100" zoomScaleSheetLayoutView="80" workbookViewId="0">
      <selection sqref="A1:H41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68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 t="s">
        <v>69</v>
      </c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14.680000000000014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45814</v>
      </c>
      <c r="B5" s="31" t="s">
        <v>21</v>
      </c>
      <c r="C5" s="24">
        <f>231.55-G5</f>
        <v>207.60000000000002</v>
      </c>
      <c r="D5" s="30"/>
      <c r="E5" s="30"/>
      <c r="F5" s="30"/>
      <c r="G5" s="22">
        <v>23.95</v>
      </c>
    </row>
    <row r="6" spans="1:9" hidden="1" x14ac:dyDescent="0.3">
      <c r="A6" s="21">
        <v>45814</v>
      </c>
      <c r="B6" s="32" t="s">
        <v>21</v>
      </c>
      <c r="C6" s="24">
        <f>72.95-G6</f>
        <v>65.400000000000006</v>
      </c>
      <c r="G6" s="24">
        <v>7.55</v>
      </c>
    </row>
    <row r="7" spans="1:9" hidden="1" x14ac:dyDescent="0.3">
      <c r="A7" s="26">
        <v>45831</v>
      </c>
      <c r="B7" s="27" t="s">
        <v>4</v>
      </c>
      <c r="C7" s="24">
        <v>-273</v>
      </c>
      <c r="G7" s="24">
        <v>-31.5</v>
      </c>
    </row>
    <row r="8" spans="1:9" hidden="1" x14ac:dyDescent="0.3">
      <c r="A8" s="26">
        <v>45842</v>
      </c>
      <c r="B8" s="27" t="s">
        <v>1</v>
      </c>
      <c r="C8" s="24">
        <f>127.8-G8</f>
        <v>114.58</v>
      </c>
      <c r="G8" s="24">
        <v>13.22</v>
      </c>
    </row>
    <row r="9" spans="1:9" hidden="1" x14ac:dyDescent="0.3">
      <c r="A9" s="26">
        <v>45842</v>
      </c>
      <c r="B9" s="32" t="s">
        <v>21</v>
      </c>
      <c r="C9" s="24">
        <f>111.59-G9</f>
        <v>100.05000000000001</v>
      </c>
      <c r="G9" s="24">
        <v>11.54</v>
      </c>
      <c r="I9" s="25"/>
    </row>
    <row r="10" spans="1:9" hidden="1" x14ac:dyDescent="0.3">
      <c r="A10" s="26">
        <v>45842</v>
      </c>
      <c r="B10" s="34" t="s">
        <v>21</v>
      </c>
      <c r="C10" s="24">
        <f>31.84-G10</f>
        <v>28.55</v>
      </c>
      <c r="G10" s="24">
        <v>3.29</v>
      </c>
    </row>
    <row r="11" spans="1:9" hidden="1" x14ac:dyDescent="0.3">
      <c r="A11" s="26">
        <v>45854</v>
      </c>
      <c r="B11" s="27" t="s">
        <v>23</v>
      </c>
      <c r="G11" s="24">
        <v>-13.22</v>
      </c>
    </row>
    <row r="12" spans="1:9" hidden="1" x14ac:dyDescent="0.3">
      <c r="A12" s="26">
        <v>45854</v>
      </c>
      <c r="B12" s="27" t="s">
        <v>23</v>
      </c>
      <c r="G12" s="24">
        <v>-14.83</v>
      </c>
    </row>
    <row r="13" spans="1:9" hidden="1" x14ac:dyDescent="0.3">
      <c r="A13" s="26">
        <v>45855</v>
      </c>
      <c r="B13" s="27" t="s">
        <v>4</v>
      </c>
      <c r="C13" s="24">
        <v>-241.96</v>
      </c>
    </row>
    <row r="14" spans="1:9" hidden="1" x14ac:dyDescent="0.3">
      <c r="A14" s="26">
        <v>45855</v>
      </c>
      <c r="B14" s="27" t="s">
        <v>4</v>
      </c>
      <c r="C14" s="24">
        <v>-1.21</v>
      </c>
    </row>
    <row r="15" spans="1:9" x14ac:dyDescent="0.3">
      <c r="A15" s="26">
        <v>45861</v>
      </c>
      <c r="B15" s="32" t="s">
        <v>21</v>
      </c>
      <c r="C15" s="24">
        <f>121.19-G15</f>
        <v>108.66</v>
      </c>
      <c r="G15" s="24">
        <v>12.53</v>
      </c>
    </row>
    <row r="16" spans="1:9" x14ac:dyDescent="0.3">
      <c r="A16" s="26">
        <v>45861</v>
      </c>
      <c r="B16" s="34" t="s">
        <v>21</v>
      </c>
      <c r="C16" s="24">
        <f>22.72-G16</f>
        <v>21.07</v>
      </c>
      <c r="G16" s="24">
        <v>1.65</v>
      </c>
    </row>
    <row r="17" spans="1:7" x14ac:dyDescent="0.3">
      <c r="A17" s="26">
        <v>45862</v>
      </c>
      <c r="B17" s="46" t="s">
        <v>21</v>
      </c>
      <c r="C17" s="24">
        <v>16.41</v>
      </c>
    </row>
    <row r="18" spans="1:7" x14ac:dyDescent="0.3">
      <c r="A18" s="26">
        <v>45839</v>
      </c>
      <c r="B18" s="27" t="s">
        <v>4</v>
      </c>
      <c r="C18" s="24">
        <v>-142.69</v>
      </c>
      <c r="G18" s="24">
        <v>-14.18</v>
      </c>
    </row>
    <row r="19" spans="1:7" x14ac:dyDescent="0.3">
      <c r="A19" s="26">
        <v>45875</v>
      </c>
      <c r="B19" s="27" t="s">
        <v>1</v>
      </c>
      <c r="C19" s="24">
        <f>84.64-G19</f>
        <v>75.89</v>
      </c>
      <c r="G19" s="24">
        <v>8.75</v>
      </c>
    </row>
    <row r="20" spans="1:7" x14ac:dyDescent="0.3">
      <c r="A20" s="26">
        <v>45875</v>
      </c>
      <c r="B20" s="32" t="s">
        <v>21</v>
      </c>
      <c r="C20" s="24">
        <f>27.48-G20</f>
        <v>24.64</v>
      </c>
      <c r="G20" s="24">
        <v>2.84</v>
      </c>
    </row>
    <row r="21" spans="1:7" x14ac:dyDescent="0.3">
      <c r="A21" s="26">
        <v>45875</v>
      </c>
      <c r="B21" s="34" t="s">
        <v>21</v>
      </c>
      <c r="C21" s="24">
        <f>60.86-G21</f>
        <v>54.6</v>
      </c>
      <c r="G21" s="24">
        <v>6.26</v>
      </c>
    </row>
    <row r="22" spans="1:7" x14ac:dyDescent="0.3">
      <c r="A22" s="26">
        <v>45888</v>
      </c>
      <c r="B22" s="27" t="s">
        <v>4</v>
      </c>
      <c r="C22" s="24">
        <v>-154.72</v>
      </c>
      <c r="G22" s="24">
        <v>-8.75</v>
      </c>
    </row>
    <row r="23" spans="1:7" x14ac:dyDescent="0.3">
      <c r="A23" s="26">
        <v>45888</v>
      </c>
      <c r="B23" s="27" t="s">
        <v>23</v>
      </c>
      <c r="G23" s="24">
        <v>-9.1</v>
      </c>
    </row>
    <row r="24" spans="1:7" x14ac:dyDescent="0.3">
      <c r="A24" s="26">
        <v>45891</v>
      </c>
      <c r="B24" s="27" t="s">
        <v>1</v>
      </c>
      <c r="C24" s="24">
        <f>119.5-G24</f>
        <v>107.14</v>
      </c>
      <c r="G24" s="24">
        <v>12.36</v>
      </c>
    </row>
    <row r="25" spans="1:7" x14ac:dyDescent="0.3">
      <c r="A25" s="26">
        <v>45891</v>
      </c>
      <c r="B25" s="32" t="s">
        <v>21</v>
      </c>
      <c r="C25" s="24">
        <f>113.93-G25</f>
        <v>102.15</v>
      </c>
      <c r="G25" s="24">
        <v>11.78</v>
      </c>
    </row>
    <row r="26" spans="1:7" x14ac:dyDescent="0.3">
      <c r="A26" s="26">
        <v>45891</v>
      </c>
      <c r="B26" s="34" t="s">
        <v>21</v>
      </c>
      <c r="C26" s="24">
        <f>9.2-G26</f>
        <v>8.25</v>
      </c>
      <c r="G26" s="24">
        <v>0.95</v>
      </c>
    </row>
    <row r="27" spans="1:7" x14ac:dyDescent="0.3">
      <c r="A27" s="26">
        <v>45909</v>
      </c>
      <c r="B27" s="27" t="s">
        <v>4</v>
      </c>
      <c r="C27" s="24">
        <v>-110.4</v>
      </c>
      <c r="G27" s="24">
        <v>-12.36</v>
      </c>
    </row>
    <row r="28" spans="1:7" x14ac:dyDescent="0.3">
      <c r="A28" s="26">
        <v>45909</v>
      </c>
      <c r="B28" s="27" t="s">
        <v>23</v>
      </c>
      <c r="G28" s="24">
        <v>-12.73</v>
      </c>
    </row>
    <row r="29" spans="1:7" x14ac:dyDescent="0.3">
      <c r="A29" s="26">
        <v>45911</v>
      </c>
      <c r="B29" s="27" t="s">
        <v>4</v>
      </c>
      <c r="C29" s="24">
        <v>-107.22</v>
      </c>
    </row>
    <row r="30" spans="1:7" x14ac:dyDescent="0.3">
      <c r="A30" s="26">
        <v>45917</v>
      </c>
      <c r="B30" s="27" t="s">
        <v>1</v>
      </c>
      <c r="C30" s="24">
        <f>47.6-G30</f>
        <v>40.980000000000004</v>
      </c>
      <c r="G30" s="24">
        <v>6.62</v>
      </c>
    </row>
    <row r="31" spans="1:7" x14ac:dyDescent="0.3">
      <c r="A31" s="26">
        <v>45917</v>
      </c>
      <c r="B31" s="32" t="s">
        <v>21</v>
      </c>
      <c r="C31" s="24">
        <f>113.93-G31</f>
        <v>102.15</v>
      </c>
      <c r="G31" s="24">
        <v>11.78</v>
      </c>
    </row>
    <row r="32" spans="1:7" x14ac:dyDescent="0.3">
      <c r="A32" s="26">
        <v>45917</v>
      </c>
      <c r="B32" s="34" t="s">
        <v>21</v>
      </c>
      <c r="C32" s="24">
        <f>99.09-G32</f>
        <v>88.84</v>
      </c>
      <c r="G32" s="24">
        <v>10.25</v>
      </c>
    </row>
    <row r="33" spans="1:7" x14ac:dyDescent="0.3">
      <c r="A33" s="26">
        <v>45931</v>
      </c>
      <c r="B33" s="27" t="s">
        <v>4</v>
      </c>
      <c r="C33" s="24">
        <v>-190.99</v>
      </c>
    </row>
    <row r="34" spans="1:7" x14ac:dyDescent="0.3">
      <c r="A34" s="26">
        <v>45932</v>
      </c>
      <c r="B34" s="27" t="s">
        <v>4</v>
      </c>
      <c r="C34" s="24">
        <v>-42.67</v>
      </c>
      <c r="G34" s="24">
        <v>-28.65</v>
      </c>
    </row>
    <row r="35" spans="1:7" x14ac:dyDescent="0.3">
      <c r="A35" s="26">
        <v>45945</v>
      </c>
      <c r="B35" s="27" t="s">
        <v>1</v>
      </c>
      <c r="C35" s="24">
        <v>52.27</v>
      </c>
    </row>
    <row r="36" spans="1:7" x14ac:dyDescent="0.3">
      <c r="A36" s="26">
        <v>45945</v>
      </c>
      <c r="B36" s="32" t="s">
        <v>21</v>
      </c>
      <c r="C36" s="24">
        <f>101.58-G36</f>
        <v>91.08</v>
      </c>
      <c r="G36" s="24">
        <v>10.5</v>
      </c>
    </row>
    <row r="37" spans="1:7" x14ac:dyDescent="0.3">
      <c r="A37" s="26">
        <v>45945</v>
      </c>
      <c r="B37" s="34" t="s">
        <v>21</v>
      </c>
      <c r="C37" s="24">
        <v>54.62</v>
      </c>
    </row>
    <row r="38" spans="1:7" x14ac:dyDescent="0.3">
      <c r="A38" s="26">
        <v>45945</v>
      </c>
      <c r="B38" s="46" t="s">
        <v>21</v>
      </c>
      <c r="C38" s="24">
        <v>34.6</v>
      </c>
    </row>
    <row r="39" spans="1:7" x14ac:dyDescent="0.3">
      <c r="A39" s="26">
        <v>45959</v>
      </c>
      <c r="B39" s="27" t="s">
        <v>4</v>
      </c>
      <c r="C39" s="24">
        <v>-200</v>
      </c>
    </row>
    <row r="40" spans="1:7" x14ac:dyDescent="0.3">
      <c r="A40" s="26">
        <v>45966</v>
      </c>
      <c r="B40" s="27" t="s">
        <v>1</v>
      </c>
      <c r="C40" s="24">
        <v>12.44</v>
      </c>
    </row>
    <row r="41" spans="1:7" x14ac:dyDescent="0.3">
      <c r="A41" s="26">
        <v>45964</v>
      </c>
      <c r="B41" s="27" t="s">
        <v>4</v>
      </c>
      <c r="C41" s="24">
        <v>-32.43</v>
      </c>
      <c r="G41" s="24">
        <v>-10.5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90769-4461-4C0C-97DB-F6F404B22EE2}">
  <dimension ref="A1:I38"/>
  <sheetViews>
    <sheetView view="pageBreakPreview" zoomScale="80" zoomScaleNormal="100" zoomScaleSheetLayoutView="80" workbookViewId="0">
      <selection activeCell="C39" sqref="C3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376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 t="s">
        <v>377</v>
      </c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10.660000000000011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45860</v>
      </c>
      <c r="B5" s="32" t="s">
        <v>21</v>
      </c>
      <c r="C5" s="24">
        <v>71.88</v>
      </c>
      <c r="D5" s="30"/>
      <c r="E5" s="30"/>
      <c r="F5" s="30"/>
      <c r="G5" s="22"/>
    </row>
    <row r="6" spans="1:9" x14ac:dyDescent="0.3">
      <c r="A6" s="21">
        <v>45874</v>
      </c>
      <c r="B6" s="32" t="s">
        <v>21</v>
      </c>
      <c r="C6" s="24">
        <v>89.33</v>
      </c>
    </row>
    <row r="7" spans="1:9" x14ac:dyDescent="0.3">
      <c r="A7" s="21">
        <v>45874</v>
      </c>
      <c r="B7" s="34" t="s">
        <v>1</v>
      </c>
      <c r="C7" s="24">
        <v>48.53</v>
      </c>
    </row>
    <row r="8" spans="1:9" x14ac:dyDescent="0.3">
      <c r="A8" s="21">
        <v>45874</v>
      </c>
      <c r="B8" s="27" t="s">
        <v>7</v>
      </c>
      <c r="C8" s="24">
        <v>-71.930000000000007</v>
      </c>
    </row>
    <row r="9" spans="1:9" x14ac:dyDescent="0.3">
      <c r="A9" s="26">
        <v>45889</v>
      </c>
      <c r="B9" s="27" t="s">
        <v>7</v>
      </c>
      <c r="C9" s="24">
        <v>-73.290000000000006</v>
      </c>
      <c r="I9" s="25"/>
    </row>
    <row r="10" spans="1:9" x14ac:dyDescent="0.3">
      <c r="A10" s="26">
        <v>45889</v>
      </c>
      <c r="B10" s="32" t="s">
        <v>21</v>
      </c>
      <c r="C10" s="24">
        <v>81.260000000000005</v>
      </c>
    </row>
    <row r="11" spans="1:9" x14ac:dyDescent="0.3">
      <c r="A11" s="26">
        <v>45889</v>
      </c>
      <c r="B11" s="34" t="s">
        <v>1</v>
      </c>
      <c r="C11" s="24">
        <v>40.31</v>
      </c>
    </row>
    <row r="12" spans="1:9" x14ac:dyDescent="0.3">
      <c r="A12" s="26">
        <v>45902</v>
      </c>
      <c r="B12" s="27" t="s">
        <v>7</v>
      </c>
      <c r="C12" s="24">
        <v>-121.61</v>
      </c>
    </row>
    <row r="13" spans="1:9" x14ac:dyDescent="0.3">
      <c r="A13" s="26">
        <v>45902</v>
      </c>
      <c r="B13" s="27" t="s">
        <v>1</v>
      </c>
      <c r="C13" s="24">
        <v>17.43</v>
      </c>
    </row>
    <row r="14" spans="1:9" x14ac:dyDescent="0.3">
      <c r="A14" s="26">
        <v>45902</v>
      </c>
      <c r="B14" s="32" t="s">
        <v>21</v>
      </c>
      <c r="C14" s="24">
        <v>50.44</v>
      </c>
    </row>
    <row r="15" spans="1:9" x14ac:dyDescent="0.3">
      <c r="A15" s="26">
        <v>45902</v>
      </c>
      <c r="B15" s="34" t="s">
        <v>1</v>
      </c>
      <c r="C15" s="24">
        <v>27.87</v>
      </c>
    </row>
    <row r="16" spans="1:9" x14ac:dyDescent="0.3">
      <c r="A16" s="26">
        <v>45918</v>
      </c>
      <c r="B16" s="27" t="s">
        <v>4</v>
      </c>
      <c r="C16" s="24">
        <v>-36</v>
      </c>
    </row>
    <row r="17" spans="1:3" x14ac:dyDescent="0.3">
      <c r="A17" s="26">
        <v>45918</v>
      </c>
      <c r="B17" s="27" t="s">
        <v>7</v>
      </c>
      <c r="C17" s="24">
        <v>-59.74</v>
      </c>
    </row>
    <row r="18" spans="1:3" x14ac:dyDescent="0.3">
      <c r="A18" s="26">
        <v>45918</v>
      </c>
      <c r="B18" s="32" t="s">
        <v>21</v>
      </c>
      <c r="C18" s="24">
        <v>121.89</v>
      </c>
    </row>
    <row r="19" spans="1:3" x14ac:dyDescent="0.3">
      <c r="A19" s="26">
        <v>45918</v>
      </c>
      <c r="B19" s="34" t="s">
        <v>1</v>
      </c>
      <c r="C19" s="24">
        <v>8.7899999999999991</v>
      </c>
    </row>
    <row r="20" spans="1:3" x14ac:dyDescent="0.3">
      <c r="A20" s="26">
        <v>45933</v>
      </c>
      <c r="B20" s="27" t="s">
        <v>4</v>
      </c>
      <c r="C20" s="24">
        <v>-134.28</v>
      </c>
    </row>
    <row r="21" spans="1:3" x14ac:dyDescent="0.3">
      <c r="A21" s="26">
        <v>45937</v>
      </c>
      <c r="B21" s="27" t="s">
        <v>1</v>
      </c>
      <c r="C21" s="24">
        <v>37.380000000000003</v>
      </c>
    </row>
    <row r="22" spans="1:3" x14ac:dyDescent="0.3">
      <c r="A22" s="26">
        <v>45937</v>
      </c>
      <c r="B22" s="32" t="s">
        <v>21</v>
      </c>
      <c r="C22" s="24">
        <v>83.42</v>
      </c>
    </row>
    <row r="23" spans="1:3" x14ac:dyDescent="0.3">
      <c r="A23" s="26">
        <v>45937</v>
      </c>
      <c r="B23" s="34" t="s">
        <v>1</v>
      </c>
      <c r="C23" s="24">
        <v>27.68</v>
      </c>
    </row>
    <row r="24" spans="1:3" x14ac:dyDescent="0.3">
      <c r="A24" s="26">
        <v>45950</v>
      </c>
      <c r="B24" s="27" t="s">
        <v>4</v>
      </c>
      <c r="C24" s="24">
        <v>-158.47999999999999</v>
      </c>
    </row>
    <row r="25" spans="1:3" x14ac:dyDescent="0.3">
      <c r="A25" s="26">
        <v>45954</v>
      </c>
      <c r="B25" s="32" t="s">
        <v>21</v>
      </c>
      <c r="C25" s="24">
        <v>129.52000000000001</v>
      </c>
    </row>
    <row r="26" spans="1:3" x14ac:dyDescent="0.3">
      <c r="A26" s="26">
        <v>45954</v>
      </c>
      <c r="B26" s="34" t="s">
        <v>1</v>
      </c>
      <c r="C26" s="24">
        <v>14.2</v>
      </c>
    </row>
    <row r="27" spans="1:3" x14ac:dyDescent="0.3">
      <c r="A27" s="26">
        <v>45964</v>
      </c>
      <c r="B27" s="27" t="s">
        <v>4</v>
      </c>
      <c r="C27" s="24">
        <v>-153.72</v>
      </c>
    </row>
    <row r="28" spans="1:3" x14ac:dyDescent="0.3">
      <c r="A28" s="26">
        <v>45968</v>
      </c>
      <c r="B28" s="32" t="s">
        <v>21</v>
      </c>
      <c r="C28" s="24">
        <v>53.24</v>
      </c>
    </row>
    <row r="29" spans="1:3" x14ac:dyDescent="0.3">
      <c r="A29" s="26">
        <v>45968</v>
      </c>
      <c r="B29" s="34" t="s">
        <v>1</v>
      </c>
      <c r="C29" s="24">
        <v>64.180000000000007</v>
      </c>
    </row>
    <row r="30" spans="1:3" x14ac:dyDescent="0.3">
      <c r="A30" s="26">
        <v>45982</v>
      </c>
      <c r="B30" s="27" t="s">
        <v>4</v>
      </c>
      <c r="C30" s="24">
        <v>-128.32</v>
      </c>
    </row>
    <row r="31" spans="1:3" x14ac:dyDescent="0.3">
      <c r="A31" s="26">
        <v>45989</v>
      </c>
      <c r="B31" s="27" t="s">
        <v>1</v>
      </c>
      <c r="C31" s="24">
        <v>142.86000000000001</v>
      </c>
    </row>
    <row r="32" spans="1:3" x14ac:dyDescent="0.3">
      <c r="A32" s="26">
        <v>46009</v>
      </c>
      <c r="B32" s="27" t="s">
        <v>4</v>
      </c>
      <c r="C32" s="24">
        <v>-151.26</v>
      </c>
    </row>
    <row r="33" spans="1:3" x14ac:dyDescent="0.3">
      <c r="A33" s="26">
        <v>46010</v>
      </c>
      <c r="B33" s="27" t="s">
        <v>1</v>
      </c>
      <c r="C33" s="24">
        <v>39.08</v>
      </c>
    </row>
    <row r="34" spans="1:3" x14ac:dyDescent="0.3">
      <c r="A34" s="26">
        <v>46027</v>
      </c>
      <c r="B34" s="27" t="s">
        <v>4</v>
      </c>
      <c r="C34" s="24">
        <v>-50</v>
      </c>
    </row>
    <row r="35" spans="1:3" x14ac:dyDescent="0.3">
      <c r="A35" s="26">
        <v>46031</v>
      </c>
      <c r="B35" s="27" t="s">
        <v>1</v>
      </c>
      <c r="C35" s="24">
        <v>100.57</v>
      </c>
    </row>
    <row r="36" spans="1:3" x14ac:dyDescent="0.3">
      <c r="A36" s="26">
        <v>46042</v>
      </c>
      <c r="B36" s="27" t="s">
        <v>4</v>
      </c>
      <c r="C36" s="24">
        <v>-100.57</v>
      </c>
    </row>
    <row r="37" spans="1:3" x14ac:dyDescent="0.3">
      <c r="A37" s="26">
        <v>46045</v>
      </c>
      <c r="B37" s="27" t="s">
        <v>1</v>
      </c>
      <c r="C37" s="24">
        <v>64.930000000000007</v>
      </c>
    </row>
    <row r="38" spans="1:3" x14ac:dyDescent="0.3">
      <c r="A38" s="26">
        <v>46052</v>
      </c>
      <c r="B38" s="27" t="s">
        <v>4</v>
      </c>
      <c r="C38" s="24">
        <v>-64.930000000000007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FC7C-FF66-425D-B88F-88B9511232A5}">
  <dimension ref="A1:H33"/>
  <sheetViews>
    <sheetView view="pageBreakPreview" zoomScale="80" zoomScaleNormal="100" zoomScaleSheetLayoutView="80" workbookViewId="0">
      <selection activeCell="C34" sqref="C34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400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401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20.34</v>
      </c>
      <c r="D3" s="20">
        <f>SUM(D$4:D$1048576)</f>
        <v>1</v>
      </c>
      <c r="E3" s="20">
        <f>SUM(E$5:E$1048576)</f>
        <v>1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45874</v>
      </c>
      <c r="B5" s="32" t="s">
        <v>21</v>
      </c>
      <c r="C5" s="24">
        <v>33.19</v>
      </c>
      <c r="D5" s="30">
        <v>1</v>
      </c>
      <c r="E5" s="30"/>
      <c r="F5" s="30"/>
      <c r="G5" s="22"/>
    </row>
    <row r="6" spans="1:8" hidden="1" x14ac:dyDescent="0.3">
      <c r="A6" s="21">
        <v>45876</v>
      </c>
      <c r="B6" s="27" t="s">
        <v>4</v>
      </c>
      <c r="C6" s="24">
        <v>-33.19</v>
      </c>
    </row>
    <row r="7" spans="1:8" hidden="1" x14ac:dyDescent="0.3">
      <c r="A7" s="21">
        <v>45883</v>
      </c>
      <c r="B7" s="32" t="s">
        <v>1</v>
      </c>
      <c r="C7" s="24">
        <v>48.8</v>
      </c>
      <c r="E7" s="25">
        <v>1</v>
      </c>
    </row>
    <row r="8" spans="1:8" hidden="1" x14ac:dyDescent="0.3">
      <c r="A8" s="21">
        <v>45883</v>
      </c>
      <c r="B8" s="46" t="s">
        <v>1</v>
      </c>
      <c r="C8" s="24">
        <v>17.16</v>
      </c>
    </row>
    <row r="9" spans="1:8" hidden="1" x14ac:dyDescent="0.3">
      <c r="A9" s="21">
        <v>45890</v>
      </c>
      <c r="B9" s="27" t="s">
        <v>4</v>
      </c>
      <c r="C9" s="24">
        <v>-65.66</v>
      </c>
    </row>
    <row r="10" spans="1:8" hidden="1" x14ac:dyDescent="0.3">
      <c r="A10" s="21">
        <v>45890</v>
      </c>
      <c r="B10" s="32" t="s">
        <v>1</v>
      </c>
      <c r="C10" s="24">
        <v>37.700000000000003</v>
      </c>
    </row>
    <row r="11" spans="1:8" hidden="1" x14ac:dyDescent="0.3">
      <c r="A11" s="26">
        <v>45904</v>
      </c>
      <c r="B11" s="27" t="s">
        <v>4</v>
      </c>
      <c r="C11" s="24">
        <v>-37.700000000000003</v>
      </c>
    </row>
    <row r="12" spans="1:8" hidden="1" x14ac:dyDescent="0.3">
      <c r="A12" s="26">
        <v>45904</v>
      </c>
      <c r="B12" s="32" t="s">
        <v>1</v>
      </c>
      <c r="C12" s="24">
        <v>48.85</v>
      </c>
    </row>
    <row r="13" spans="1:8" hidden="1" x14ac:dyDescent="0.3">
      <c r="A13" s="26">
        <v>45912</v>
      </c>
      <c r="B13" s="27" t="s">
        <v>4</v>
      </c>
      <c r="C13" s="24">
        <v>-49.15</v>
      </c>
    </row>
    <row r="14" spans="1:8" hidden="1" x14ac:dyDescent="0.3">
      <c r="A14" s="26">
        <v>45916</v>
      </c>
      <c r="B14" s="34" t="s">
        <v>1</v>
      </c>
      <c r="C14" s="24">
        <v>19.8</v>
      </c>
    </row>
    <row r="15" spans="1:8" hidden="1" x14ac:dyDescent="0.3">
      <c r="A15" s="26">
        <v>45920</v>
      </c>
      <c r="B15" s="32" t="s">
        <v>1</v>
      </c>
      <c r="C15" s="24">
        <v>4.5</v>
      </c>
    </row>
    <row r="16" spans="1:8" hidden="1" x14ac:dyDescent="0.3">
      <c r="A16" s="26">
        <v>45925</v>
      </c>
      <c r="B16" s="27" t="s">
        <v>4</v>
      </c>
      <c r="C16" s="24">
        <v>-24.3</v>
      </c>
    </row>
    <row r="17" spans="1:3" hidden="1" x14ac:dyDescent="0.3">
      <c r="A17" s="26">
        <v>45926</v>
      </c>
      <c r="B17" s="32" t="s">
        <v>1</v>
      </c>
      <c r="C17" s="24">
        <v>4.5</v>
      </c>
    </row>
    <row r="18" spans="1:3" hidden="1" x14ac:dyDescent="0.3">
      <c r="A18" s="26">
        <v>45926</v>
      </c>
      <c r="B18" s="34" t="s">
        <v>1</v>
      </c>
      <c r="C18" s="24">
        <v>38.08</v>
      </c>
    </row>
    <row r="19" spans="1:3" hidden="1" x14ac:dyDescent="0.3">
      <c r="A19" s="26">
        <v>45937</v>
      </c>
      <c r="B19" s="27" t="s">
        <v>4</v>
      </c>
      <c r="C19" s="24">
        <v>-42.58</v>
      </c>
    </row>
    <row r="20" spans="1:3" hidden="1" x14ac:dyDescent="0.3">
      <c r="A20" s="26">
        <v>45940</v>
      </c>
      <c r="B20" s="32" t="s">
        <v>1</v>
      </c>
      <c r="C20" s="24">
        <v>20.88</v>
      </c>
    </row>
    <row r="21" spans="1:3" hidden="1" x14ac:dyDescent="0.3">
      <c r="A21" s="26">
        <v>45940</v>
      </c>
      <c r="B21" s="34" t="s">
        <v>1</v>
      </c>
      <c r="C21" s="24">
        <v>11.01</v>
      </c>
    </row>
    <row r="22" spans="1:3" hidden="1" x14ac:dyDescent="0.3">
      <c r="A22" s="26">
        <v>45946</v>
      </c>
      <c r="B22" s="27" t="s">
        <v>4</v>
      </c>
      <c r="C22" s="24">
        <v>-31.89</v>
      </c>
    </row>
    <row r="23" spans="1:3" hidden="1" x14ac:dyDescent="0.3">
      <c r="A23" s="26">
        <v>45961</v>
      </c>
      <c r="B23" s="32" t="s">
        <v>1</v>
      </c>
      <c r="C23" s="24">
        <v>19.5</v>
      </c>
    </row>
    <row r="24" spans="1:3" hidden="1" x14ac:dyDescent="0.3">
      <c r="A24" s="26">
        <v>45961</v>
      </c>
      <c r="B24" s="34" t="s">
        <v>1</v>
      </c>
      <c r="C24" s="24">
        <v>8.41</v>
      </c>
    </row>
    <row r="25" spans="1:3" hidden="1" x14ac:dyDescent="0.3">
      <c r="A25" s="26">
        <v>45961</v>
      </c>
      <c r="B25" s="46" t="s">
        <v>1</v>
      </c>
      <c r="C25" s="24">
        <v>20.56</v>
      </c>
    </row>
    <row r="26" spans="1:3" hidden="1" x14ac:dyDescent="0.3">
      <c r="A26" s="26">
        <v>45967</v>
      </c>
      <c r="B26" s="27" t="s">
        <v>4</v>
      </c>
      <c r="C26" s="24">
        <v>-48.47</v>
      </c>
    </row>
    <row r="27" spans="1:3" x14ac:dyDescent="0.3">
      <c r="A27" s="26">
        <v>45975</v>
      </c>
      <c r="B27" s="27" t="s">
        <v>1</v>
      </c>
      <c r="C27" s="24">
        <v>22</v>
      </c>
    </row>
    <row r="28" spans="1:3" x14ac:dyDescent="0.3">
      <c r="A28" s="26">
        <v>45987</v>
      </c>
      <c r="B28" s="27" t="s">
        <v>4</v>
      </c>
      <c r="C28" s="24">
        <v>-22</v>
      </c>
    </row>
    <row r="29" spans="1:3" x14ac:dyDescent="0.3">
      <c r="A29" s="26">
        <v>46021</v>
      </c>
      <c r="B29" s="27" t="s">
        <v>1</v>
      </c>
      <c r="C29" s="24">
        <v>57.72</v>
      </c>
    </row>
    <row r="30" spans="1:3" x14ac:dyDescent="0.3">
      <c r="A30" s="26">
        <v>46029</v>
      </c>
      <c r="B30" s="27" t="s">
        <v>4</v>
      </c>
      <c r="C30" s="24">
        <v>-57.72</v>
      </c>
    </row>
    <row r="31" spans="1:3" x14ac:dyDescent="0.3">
      <c r="A31" s="26">
        <v>46037</v>
      </c>
      <c r="B31" s="27" t="s">
        <v>1</v>
      </c>
      <c r="C31" s="24">
        <v>19.5</v>
      </c>
    </row>
    <row r="32" spans="1:3" x14ac:dyDescent="0.3">
      <c r="A32" s="26">
        <v>46043</v>
      </c>
      <c r="B32" s="27" t="s">
        <v>4</v>
      </c>
      <c r="C32" s="24">
        <v>-19.5</v>
      </c>
    </row>
    <row r="33" spans="1:3" x14ac:dyDescent="0.3">
      <c r="A33" s="26">
        <v>46045</v>
      </c>
      <c r="B33" s="27" t="s">
        <v>1</v>
      </c>
      <c r="C33" s="24">
        <v>20.34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0775F-DDC4-474D-8716-8D1474F9456A}">
  <sheetPr codeName="Hoja164"/>
  <dimension ref="A1:H44"/>
  <sheetViews>
    <sheetView view="pageBreakPreview" zoomScale="80" zoomScaleNormal="100" zoomScaleSheetLayoutView="80" workbookViewId="0">
      <selection activeCell="C45" sqref="C4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227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32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85.090000000000032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45821</v>
      </c>
      <c r="B5" s="32" t="s">
        <v>21</v>
      </c>
      <c r="C5" s="24">
        <v>15.85</v>
      </c>
      <c r="D5" s="30"/>
      <c r="E5" s="30"/>
      <c r="F5" s="30"/>
      <c r="G5" s="22"/>
    </row>
    <row r="6" spans="1:8" hidden="1" x14ac:dyDescent="0.3">
      <c r="A6" s="21">
        <v>45821</v>
      </c>
      <c r="B6" s="34" t="s">
        <v>21</v>
      </c>
      <c r="C6" s="24">
        <v>57.52</v>
      </c>
    </row>
    <row r="7" spans="1:8" hidden="1" x14ac:dyDescent="0.3">
      <c r="A7" s="21">
        <v>45827</v>
      </c>
      <c r="B7" s="27" t="s">
        <v>4</v>
      </c>
      <c r="C7" s="24">
        <v>-9.64</v>
      </c>
    </row>
    <row r="8" spans="1:8" hidden="1" x14ac:dyDescent="0.3">
      <c r="A8" s="21">
        <v>45827</v>
      </c>
      <c r="B8" s="27" t="s">
        <v>7</v>
      </c>
      <c r="C8" s="24">
        <v>-63.73</v>
      </c>
    </row>
    <row r="9" spans="1:8" hidden="1" x14ac:dyDescent="0.3">
      <c r="A9" s="21">
        <v>45827</v>
      </c>
      <c r="B9" s="34" t="s">
        <v>21</v>
      </c>
      <c r="C9" s="24">
        <v>111.61</v>
      </c>
    </row>
    <row r="10" spans="1:8" hidden="1" x14ac:dyDescent="0.3">
      <c r="A10" s="26">
        <v>45842</v>
      </c>
      <c r="B10" s="31" t="s">
        <v>7</v>
      </c>
      <c r="C10" s="24">
        <v>-111.62</v>
      </c>
    </row>
    <row r="11" spans="1:8" hidden="1" x14ac:dyDescent="0.3">
      <c r="A11" s="26">
        <v>45842</v>
      </c>
      <c r="B11" s="32" t="s">
        <v>21</v>
      </c>
      <c r="C11" s="24">
        <v>33.19</v>
      </c>
    </row>
    <row r="12" spans="1:8" hidden="1" x14ac:dyDescent="0.3">
      <c r="A12" s="26">
        <v>45842</v>
      </c>
      <c r="B12" s="34" t="s">
        <v>21</v>
      </c>
      <c r="C12" s="24">
        <v>84.89</v>
      </c>
    </row>
    <row r="13" spans="1:8" hidden="1" x14ac:dyDescent="0.3">
      <c r="A13" s="26">
        <v>45856</v>
      </c>
      <c r="B13" s="27" t="s">
        <v>4</v>
      </c>
      <c r="C13" s="24">
        <v>-118.08</v>
      </c>
    </row>
    <row r="14" spans="1:8" hidden="1" x14ac:dyDescent="0.3">
      <c r="A14" s="26">
        <v>45863</v>
      </c>
      <c r="B14" s="32" t="s">
        <v>21</v>
      </c>
      <c r="C14" s="24">
        <v>15.85</v>
      </c>
    </row>
    <row r="15" spans="1:8" hidden="1" x14ac:dyDescent="0.3">
      <c r="A15" s="26">
        <v>45863</v>
      </c>
      <c r="B15" s="34" t="s">
        <v>21</v>
      </c>
      <c r="C15" s="24">
        <v>68.38</v>
      </c>
    </row>
    <row r="16" spans="1:8" hidden="1" x14ac:dyDescent="0.3">
      <c r="A16" s="26">
        <v>45870</v>
      </c>
      <c r="B16" s="27" t="s">
        <v>7</v>
      </c>
      <c r="C16" s="24">
        <v>-86.96</v>
      </c>
    </row>
    <row r="17" spans="1:3" hidden="1" x14ac:dyDescent="0.3">
      <c r="A17" s="26">
        <v>45870</v>
      </c>
      <c r="B17" s="34" t="s">
        <v>21</v>
      </c>
      <c r="C17" s="24">
        <v>112.53</v>
      </c>
    </row>
    <row r="18" spans="1:3" hidden="1" x14ac:dyDescent="0.3">
      <c r="A18" s="26">
        <v>45884</v>
      </c>
      <c r="B18" s="27" t="s">
        <v>7</v>
      </c>
      <c r="C18" s="24">
        <v>-109.8</v>
      </c>
    </row>
    <row r="19" spans="1:3" hidden="1" x14ac:dyDescent="0.3">
      <c r="A19" s="26">
        <v>45884</v>
      </c>
      <c r="B19" s="32" t="s">
        <v>1</v>
      </c>
      <c r="C19" s="24">
        <v>25.69</v>
      </c>
    </row>
    <row r="20" spans="1:3" hidden="1" x14ac:dyDescent="0.3">
      <c r="A20" s="26">
        <v>45884</v>
      </c>
      <c r="B20" s="34" t="s">
        <v>21</v>
      </c>
      <c r="C20" s="24">
        <v>149.19</v>
      </c>
    </row>
    <row r="21" spans="1:3" hidden="1" x14ac:dyDescent="0.3">
      <c r="A21" s="26">
        <v>45899</v>
      </c>
      <c r="B21" s="32" t="s">
        <v>1</v>
      </c>
      <c r="C21" s="24">
        <v>15.85</v>
      </c>
    </row>
    <row r="22" spans="1:3" hidden="1" x14ac:dyDescent="0.3">
      <c r="A22" s="26">
        <v>45899</v>
      </c>
      <c r="B22" s="34" t="s">
        <v>21</v>
      </c>
      <c r="C22" s="24">
        <v>93.78</v>
      </c>
    </row>
    <row r="23" spans="1:3" hidden="1" x14ac:dyDescent="0.3">
      <c r="A23" s="26">
        <v>45901</v>
      </c>
      <c r="B23" s="27" t="s">
        <v>4</v>
      </c>
      <c r="C23" s="24">
        <v>-174.87</v>
      </c>
    </row>
    <row r="24" spans="1:3" hidden="1" x14ac:dyDescent="0.3">
      <c r="A24" s="26">
        <v>45912</v>
      </c>
      <c r="B24" s="27" t="s">
        <v>7</v>
      </c>
      <c r="C24" s="24">
        <v>-108.06</v>
      </c>
    </row>
    <row r="25" spans="1:3" hidden="1" x14ac:dyDescent="0.3">
      <c r="A25" s="26">
        <v>45912</v>
      </c>
      <c r="B25" s="32" t="s">
        <v>1</v>
      </c>
      <c r="C25" s="24">
        <v>15.85</v>
      </c>
    </row>
    <row r="26" spans="1:3" hidden="1" x14ac:dyDescent="0.3">
      <c r="A26" s="26">
        <v>45912</v>
      </c>
      <c r="B26" s="34" t="s">
        <v>21</v>
      </c>
      <c r="C26" s="24">
        <v>74.900000000000006</v>
      </c>
    </row>
    <row r="27" spans="1:3" hidden="1" x14ac:dyDescent="0.3">
      <c r="A27" s="26">
        <v>45926</v>
      </c>
      <c r="B27" s="27" t="s">
        <v>7</v>
      </c>
      <c r="C27" s="24">
        <v>-92.32</v>
      </c>
    </row>
    <row r="28" spans="1:3" hidden="1" x14ac:dyDescent="0.3">
      <c r="A28" s="26">
        <v>45926</v>
      </c>
      <c r="B28" s="32" t="s">
        <v>1</v>
      </c>
      <c r="C28" s="24">
        <v>15.85</v>
      </c>
    </row>
    <row r="29" spans="1:3" hidden="1" x14ac:dyDescent="0.3">
      <c r="A29" s="26">
        <v>45926</v>
      </c>
      <c r="B29" s="34" t="s">
        <v>21</v>
      </c>
      <c r="C29" s="24">
        <v>50.03</v>
      </c>
    </row>
    <row r="30" spans="1:3" hidden="1" x14ac:dyDescent="0.3">
      <c r="A30" s="26">
        <v>45940</v>
      </c>
      <c r="B30" s="27" t="s">
        <v>4</v>
      </c>
      <c r="C30" s="24">
        <v>-65.88</v>
      </c>
    </row>
    <row r="31" spans="1:3" hidden="1" x14ac:dyDescent="0.3">
      <c r="A31" s="26">
        <v>45940</v>
      </c>
      <c r="B31" s="32" t="s">
        <v>1</v>
      </c>
      <c r="C31" s="24">
        <v>16.38</v>
      </c>
    </row>
    <row r="32" spans="1:3" hidden="1" x14ac:dyDescent="0.3">
      <c r="A32" s="26">
        <v>45954</v>
      </c>
      <c r="B32" s="27" t="s">
        <v>7</v>
      </c>
      <c r="C32" s="24">
        <v>-16.399999999999999</v>
      </c>
    </row>
    <row r="33" spans="1:3" hidden="1" x14ac:dyDescent="0.3">
      <c r="A33" s="26">
        <v>45954</v>
      </c>
      <c r="B33" s="32" t="s">
        <v>1</v>
      </c>
      <c r="C33" s="24">
        <v>16.38</v>
      </c>
    </row>
    <row r="34" spans="1:3" hidden="1" x14ac:dyDescent="0.3">
      <c r="A34" s="26">
        <v>45954</v>
      </c>
      <c r="B34" s="34" t="s">
        <v>21</v>
      </c>
      <c r="C34" s="24">
        <v>80.03</v>
      </c>
    </row>
    <row r="35" spans="1:3" hidden="1" x14ac:dyDescent="0.3">
      <c r="A35" s="26">
        <v>45968</v>
      </c>
      <c r="B35" s="27" t="s">
        <v>7</v>
      </c>
      <c r="C35" s="24">
        <v>-96.42</v>
      </c>
    </row>
    <row r="36" spans="1:3" x14ac:dyDescent="0.3">
      <c r="A36" s="26">
        <v>45968</v>
      </c>
      <c r="B36" s="34" t="s">
        <v>21</v>
      </c>
      <c r="C36" s="24">
        <v>50.92</v>
      </c>
    </row>
    <row r="37" spans="1:3" x14ac:dyDescent="0.3">
      <c r="A37" s="26">
        <v>45982</v>
      </c>
      <c r="B37" s="27" t="s">
        <v>7</v>
      </c>
      <c r="C37" s="24">
        <v>-51</v>
      </c>
    </row>
    <row r="38" spans="1:3" x14ac:dyDescent="0.3">
      <c r="A38" s="26">
        <v>45982</v>
      </c>
      <c r="B38" s="27" t="s">
        <v>1</v>
      </c>
      <c r="C38" s="24">
        <v>133.28</v>
      </c>
    </row>
    <row r="39" spans="1:3" x14ac:dyDescent="0.3">
      <c r="A39" s="26">
        <v>45996</v>
      </c>
      <c r="B39" s="27" t="s">
        <v>7</v>
      </c>
      <c r="C39" s="24">
        <v>-133.28</v>
      </c>
    </row>
    <row r="40" spans="1:3" x14ac:dyDescent="0.3">
      <c r="A40" s="26">
        <v>45996</v>
      </c>
      <c r="B40" s="27" t="s">
        <v>1</v>
      </c>
      <c r="C40" s="24">
        <v>96.26</v>
      </c>
    </row>
    <row r="41" spans="1:3" x14ac:dyDescent="0.3">
      <c r="A41" s="26">
        <v>46031</v>
      </c>
      <c r="B41" s="27" t="s">
        <v>7</v>
      </c>
      <c r="C41" s="24">
        <v>-96.18</v>
      </c>
    </row>
    <row r="42" spans="1:3" x14ac:dyDescent="0.3">
      <c r="A42" s="26">
        <v>46031</v>
      </c>
      <c r="B42" s="27" t="s">
        <v>1</v>
      </c>
      <c r="C42" s="24">
        <v>148.63999999999999</v>
      </c>
    </row>
    <row r="43" spans="1:3" x14ac:dyDescent="0.3">
      <c r="A43" s="26">
        <v>46052</v>
      </c>
      <c r="B43" s="27" t="s">
        <v>4</v>
      </c>
      <c r="C43" s="24">
        <v>-148.63999999999999</v>
      </c>
    </row>
    <row r="44" spans="1:3" x14ac:dyDescent="0.3">
      <c r="A44" s="26">
        <v>46052</v>
      </c>
      <c r="B44" s="27" t="s">
        <v>1</v>
      </c>
      <c r="C44" s="24">
        <v>85.12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B561-84F0-4826-B28F-2EDA79207D74}">
  <dimension ref="A1:I19"/>
  <sheetViews>
    <sheetView view="pageBreakPreview" zoomScale="80" zoomScaleNormal="100" zoomScaleSheetLayoutView="80" workbookViewId="0">
      <selection sqref="A1:H3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378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1.9999999999996909E-2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45860</v>
      </c>
      <c r="B5" s="34" t="s">
        <v>21</v>
      </c>
      <c r="C5" s="24">
        <v>20.25</v>
      </c>
      <c r="D5" s="30"/>
      <c r="E5" s="30"/>
      <c r="F5" s="30"/>
      <c r="G5" s="22"/>
    </row>
    <row r="6" spans="1:9" x14ac:dyDescent="0.3">
      <c r="A6" s="21">
        <v>45867</v>
      </c>
      <c r="B6" s="31" t="s">
        <v>4</v>
      </c>
      <c r="C6" s="24">
        <v>-20.25</v>
      </c>
    </row>
    <row r="7" spans="1:9" x14ac:dyDescent="0.3">
      <c r="A7" s="21">
        <v>45867</v>
      </c>
      <c r="B7" s="31" t="s">
        <v>4</v>
      </c>
      <c r="C7" s="24">
        <v>-23.21</v>
      </c>
    </row>
    <row r="8" spans="1:9" x14ac:dyDescent="0.3">
      <c r="A8" s="21">
        <v>45867</v>
      </c>
      <c r="B8" s="46" t="s">
        <v>21</v>
      </c>
      <c r="C8" s="24">
        <v>3.21</v>
      </c>
    </row>
    <row r="9" spans="1:9" x14ac:dyDescent="0.3">
      <c r="A9" s="21">
        <v>45867</v>
      </c>
      <c r="B9" s="27" t="s">
        <v>1</v>
      </c>
      <c r="C9" s="24">
        <v>20</v>
      </c>
      <c r="I9" s="25"/>
    </row>
    <row r="10" spans="1:9" x14ac:dyDescent="0.3">
      <c r="A10" s="26">
        <v>45888</v>
      </c>
      <c r="B10" s="31" t="s">
        <v>7</v>
      </c>
      <c r="C10" s="24">
        <v>-72.45</v>
      </c>
    </row>
    <row r="11" spans="1:9" x14ac:dyDescent="0.3">
      <c r="A11" s="26">
        <v>45888</v>
      </c>
      <c r="B11" s="35" t="s">
        <v>1</v>
      </c>
      <c r="C11" s="24">
        <v>26.7</v>
      </c>
    </row>
    <row r="12" spans="1:9" x14ac:dyDescent="0.3">
      <c r="A12" s="26">
        <v>45888</v>
      </c>
      <c r="B12" s="34" t="s">
        <v>21</v>
      </c>
      <c r="C12" s="24">
        <v>32.799999999999997</v>
      </c>
    </row>
    <row r="13" spans="1:9" x14ac:dyDescent="0.3">
      <c r="A13" s="26">
        <v>45888</v>
      </c>
      <c r="B13" s="46" t="s">
        <v>21</v>
      </c>
      <c r="C13" s="24">
        <v>12.98</v>
      </c>
    </row>
    <row r="14" spans="1:9" x14ac:dyDescent="0.3">
      <c r="A14" s="26">
        <v>45909</v>
      </c>
      <c r="B14" s="27" t="s">
        <v>7</v>
      </c>
      <c r="C14" s="24">
        <v>-7.42</v>
      </c>
    </row>
    <row r="15" spans="1:9" x14ac:dyDescent="0.3">
      <c r="A15" s="26">
        <v>45909</v>
      </c>
      <c r="B15" s="34" t="s">
        <v>21</v>
      </c>
      <c r="C15" s="24">
        <v>3.96</v>
      </c>
    </row>
    <row r="16" spans="1:9" x14ac:dyDescent="0.3">
      <c r="A16" s="26">
        <v>45909</v>
      </c>
      <c r="B16" s="46" t="s">
        <v>21</v>
      </c>
      <c r="C16" s="24">
        <v>3.46</v>
      </c>
    </row>
    <row r="17" spans="1:3" x14ac:dyDescent="0.3">
      <c r="A17" s="26">
        <v>45916</v>
      </c>
      <c r="B17" s="27" t="s">
        <v>7</v>
      </c>
      <c r="C17" s="24">
        <v>-8.1300000000000008</v>
      </c>
    </row>
    <row r="18" spans="1:3" x14ac:dyDescent="0.3">
      <c r="A18" s="26">
        <v>45916</v>
      </c>
      <c r="B18" s="34" t="s">
        <v>21</v>
      </c>
      <c r="C18" s="24">
        <v>4.66</v>
      </c>
    </row>
    <row r="19" spans="1:3" x14ac:dyDescent="0.3">
      <c r="A19" s="26">
        <v>45916</v>
      </c>
      <c r="B19" s="46" t="s">
        <v>21</v>
      </c>
      <c r="C19" s="24">
        <v>3.46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3AABB-4C32-4B58-9610-7F0B374B10E6}">
  <dimension ref="A1:I12"/>
  <sheetViews>
    <sheetView view="pageBreakPreview" zoomScale="80" zoomScaleNormal="100" zoomScaleSheetLayoutView="80" workbookViewId="0">
      <selection activeCell="C9" sqref="C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540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125.27999999999997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46038</v>
      </c>
      <c r="B5" s="31" t="s">
        <v>21</v>
      </c>
      <c r="C5" s="24">
        <v>166</v>
      </c>
      <c r="D5" s="30"/>
      <c r="E5" s="30"/>
      <c r="F5" s="30"/>
      <c r="G5" s="22"/>
    </row>
    <row r="6" spans="1:9" x14ac:dyDescent="0.3">
      <c r="A6" s="21">
        <v>46049</v>
      </c>
      <c r="B6" s="31" t="s">
        <v>1</v>
      </c>
      <c r="C6" s="24">
        <v>125.28</v>
      </c>
    </row>
    <row r="7" spans="1:9" x14ac:dyDescent="0.3">
      <c r="A7" s="26">
        <v>46055</v>
      </c>
      <c r="B7" s="27" t="s">
        <v>4</v>
      </c>
      <c r="C7" s="24">
        <v>-83</v>
      </c>
    </row>
    <row r="8" spans="1:9" x14ac:dyDescent="0.3">
      <c r="A8" s="26">
        <v>46056</v>
      </c>
      <c r="B8" s="27" t="s">
        <v>4</v>
      </c>
      <c r="C8" s="24">
        <v>-83</v>
      </c>
    </row>
    <row r="9" spans="1:9" x14ac:dyDescent="0.3">
      <c r="I9" s="25"/>
    </row>
    <row r="10" spans="1:9" x14ac:dyDescent="0.3">
      <c r="B10" s="31"/>
    </row>
    <row r="12" spans="1:9" x14ac:dyDescent="0.3">
      <c r="B12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184C3-2D9D-401E-ABAB-5925071C0413}">
  <sheetPr codeName="Hoja71"/>
  <dimension ref="A1:I12"/>
  <sheetViews>
    <sheetView view="pageBreakPreview" zoomScale="80" zoomScaleNormal="100" zoomScaleSheetLayoutView="80" workbookViewId="0">
      <selection activeCell="A7" sqref="A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32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45812</v>
      </c>
      <c r="B5" s="34" t="s">
        <v>21</v>
      </c>
      <c r="C5" s="24">
        <v>62.89</v>
      </c>
      <c r="D5" s="30"/>
      <c r="E5" s="30"/>
      <c r="F5" s="30"/>
      <c r="G5" s="22"/>
    </row>
    <row r="6" spans="1:9" x14ac:dyDescent="0.3">
      <c r="A6" s="21">
        <v>45820</v>
      </c>
      <c r="B6" s="31" t="s">
        <v>4</v>
      </c>
      <c r="C6" s="24">
        <v>-62.89</v>
      </c>
    </row>
    <row r="9" spans="1:9" x14ac:dyDescent="0.3">
      <c r="I9" s="25"/>
    </row>
    <row r="10" spans="1:9" x14ac:dyDescent="0.3">
      <c r="B10" s="31"/>
    </row>
    <row r="12" spans="1:9" x14ac:dyDescent="0.3">
      <c r="B12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86D8-5482-464C-8588-D66C8DB1E11E}">
  <sheetPr codeName="Hoja72"/>
  <dimension ref="A1:I69"/>
  <sheetViews>
    <sheetView view="pageBreakPreview" topLeftCell="A46" zoomScale="80" zoomScaleNormal="100" zoomScaleSheetLayoutView="80" workbookViewId="0">
      <selection activeCell="C70" sqref="C7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39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181.76</v>
      </c>
      <c r="D3" s="20">
        <f>SUM(D$4:D$1048576)</f>
        <v>3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45348</v>
      </c>
      <c r="B5" s="29" t="s">
        <v>9</v>
      </c>
      <c r="C5" s="22">
        <v>100</v>
      </c>
      <c r="D5" s="30"/>
      <c r="E5" s="30"/>
      <c r="F5" s="30"/>
      <c r="G5" s="22"/>
    </row>
    <row r="6" spans="1:9" hidden="1" x14ac:dyDescent="0.3">
      <c r="A6" s="21">
        <v>45355</v>
      </c>
      <c r="B6" s="31"/>
      <c r="C6" s="24">
        <v>-100</v>
      </c>
    </row>
    <row r="7" spans="1:9" hidden="1" x14ac:dyDescent="0.3">
      <c r="A7" s="26">
        <v>45432</v>
      </c>
      <c r="B7" s="31" t="s">
        <v>9</v>
      </c>
      <c r="C7" s="24">
        <v>30</v>
      </c>
    </row>
    <row r="8" spans="1:9" hidden="1" x14ac:dyDescent="0.3">
      <c r="A8" s="26">
        <v>45436</v>
      </c>
      <c r="B8" s="27" t="s">
        <v>7</v>
      </c>
      <c r="C8" s="24">
        <v>-10</v>
      </c>
    </row>
    <row r="9" spans="1:9" hidden="1" x14ac:dyDescent="0.3">
      <c r="A9" s="26">
        <v>45450</v>
      </c>
      <c r="B9" s="27" t="s">
        <v>7</v>
      </c>
      <c r="C9" s="24">
        <v>-10</v>
      </c>
      <c r="I9" s="25"/>
    </row>
    <row r="10" spans="1:9" hidden="1" x14ac:dyDescent="0.3">
      <c r="A10" s="26">
        <v>45467</v>
      </c>
      <c r="B10" s="31" t="s">
        <v>23</v>
      </c>
      <c r="C10" s="24">
        <v>-10</v>
      </c>
    </row>
    <row r="11" spans="1:9" hidden="1" x14ac:dyDescent="0.3">
      <c r="A11" s="26">
        <v>45485</v>
      </c>
      <c r="B11" s="27" t="s">
        <v>9</v>
      </c>
      <c r="C11" s="24">
        <v>200</v>
      </c>
    </row>
    <row r="12" spans="1:9" hidden="1" x14ac:dyDescent="0.3">
      <c r="A12" s="26">
        <v>45506</v>
      </c>
      <c r="B12" s="31" t="s">
        <v>7</v>
      </c>
      <c r="C12" s="24">
        <v>-20</v>
      </c>
    </row>
    <row r="13" spans="1:9" hidden="1" x14ac:dyDescent="0.3">
      <c r="A13" s="26">
        <v>45506</v>
      </c>
      <c r="B13" s="27" t="s">
        <v>7</v>
      </c>
      <c r="C13" s="24">
        <v>-140</v>
      </c>
    </row>
    <row r="14" spans="1:9" hidden="1" x14ac:dyDescent="0.3">
      <c r="A14" s="26">
        <v>45513</v>
      </c>
      <c r="B14" s="28" t="s">
        <v>7</v>
      </c>
      <c r="C14" s="24">
        <v>-10</v>
      </c>
    </row>
    <row r="15" spans="1:9" hidden="1" x14ac:dyDescent="0.3">
      <c r="A15" s="26">
        <v>45523</v>
      </c>
      <c r="B15" s="27" t="s">
        <v>7</v>
      </c>
      <c r="C15" s="24">
        <v>-20</v>
      </c>
    </row>
    <row r="16" spans="1:9" ht="13.2" hidden="1" customHeight="1" x14ac:dyDescent="0.3">
      <c r="A16" s="26">
        <v>45527</v>
      </c>
      <c r="B16" s="27" t="s">
        <v>7</v>
      </c>
      <c r="C16" s="24">
        <v>-10</v>
      </c>
    </row>
    <row r="17" spans="1:4" x14ac:dyDescent="0.3">
      <c r="A17" s="26">
        <v>45527</v>
      </c>
      <c r="B17" s="27" t="s">
        <v>21</v>
      </c>
      <c r="C17" s="24">
        <v>10</v>
      </c>
      <c r="D17" s="25">
        <v>2</v>
      </c>
    </row>
    <row r="18" spans="1:4" x14ac:dyDescent="0.3">
      <c r="A18" s="26">
        <v>45656</v>
      </c>
      <c r="D18" s="25">
        <v>2</v>
      </c>
    </row>
    <row r="19" spans="1:4" x14ac:dyDescent="0.3">
      <c r="A19" s="26">
        <v>45685</v>
      </c>
      <c r="B19" s="27" t="s">
        <v>9</v>
      </c>
      <c r="C19" s="24">
        <v>20</v>
      </c>
    </row>
    <row r="20" spans="1:4" x14ac:dyDescent="0.3">
      <c r="A20" s="26">
        <v>45691</v>
      </c>
      <c r="B20" s="27" t="s">
        <v>7</v>
      </c>
      <c r="C20" s="24">
        <v>-10</v>
      </c>
    </row>
    <row r="21" spans="1:4" x14ac:dyDescent="0.3">
      <c r="A21" s="26">
        <v>45698</v>
      </c>
      <c r="B21" s="27" t="s">
        <v>7</v>
      </c>
      <c r="C21" s="24">
        <v>-10</v>
      </c>
    </row>
    <row r="22" spans="1:4" x14ac:dyDescent="0.3">
      <c r="A22" s="26">
        <v>45702</v>
      </c>
      <c r="B22" s="27" t="s">
        <v>7</v>
      </c>
      <c r="C22" s="24">
        <v>-10</v>
      </c>
    </row>
    <row r="23" spans="1:4" x14ac:dyDescent="0.3">
      <c r="A23" s="26">
        <v>45762</v>
      </c>
      <c r="B23" s="27" t="s">
        <v>9</v>
      </c>
      <c r="C23" s="24">
        <v>39</v>
      </c>
    </row>
    <row r="24" spans="1:4" x14ac:dyDescent="0.3">
      <c r="A24" s="26">
        <v>45772</v>
      </c>
      <c r="B24" s="27" t="s">
        <v>4</v>
      </c>
      <c r="C24" s="24">
        <v>-10</v>
      </c>
    </row>
    <row r="25" spans="1:4" x14ac:dyDescent="0.3">
      <c r="A25" s="26">
        <v>45805</v>
      </c>
      <c r="B25" s="27" t="s">
        <v>22</v>
      </c>
      <c r="D25" s="25">
        <v>-4</v>
      </c>
    </row>
    <row r="26" spans="1:4" x14ac:dyDescent="0.3">
      <c r="A26" s="26">
        <v>45807</v>
      </c>
      <c r="B26" s="27" t="s">
        <v>4</v>
      </c>
      <c r="C26" s="24">
        <v>-10</v>
      </c>
    </row>
    <row r="27" spans="1:4" x14ac:dyDescent="0.3">
      <c r="A27" s="26">
        <v>45814</v>
      </c>
      <c r="B27" s="27" t="s">
        <v>4</v>
      </c>
      <c r="C27" s="24">
        <v>-10</v>
      </c>
    </row>
    <row r="28" spans="1:4" x14ac:dyDescent="0.3">
      <c r="A28" s="21">
        <v>45311</v>
      </c>
      <c r="B28" s="41" t="s">
        <v>21</v>
      </c>
      <c r="C28" s="22">
        <v>5.62</v>
      </c>
    </row>
    <row r="29" spans="1:4" x14ac:dyDescent="0.3">
      <c r="A29" s="26">
        <v>45325</v>
      </c>
      <c r="B29" s="28" t="s">
        <v>34</v>
      </c>
      <c r="C29" s="24">
        <v>-5.62</v>
      </c>
    </row>
    <row r="30" spans="1:4" x14ac:dyDescent="0.3">
      <c r="A30" s="26">
        <v>45328</v>
      </c>
      <c r="B30" s="41" t="s">
        <v>21</v>
      </c>
      <c r="C30" s="24">
        <v>6.86</v>
      </c>
    </row>
    <row r="31" spans="1:4" x14ac:dyDescent="0.3">
      <c r="A31" s="26">
        <v>45415</v>
      </c>
      <c r="B31" s="28" t="s">
        <v>7</v>
      </c>
      <c r="C31" s="24">
        <v>-7</v>
      </c>
    </row>
    <row r="32" spans="1:4" x14ac:dyDescent="0.3">
      <c r="A32" s="26">
        <v>45569</v>
      </c>
      <c r="B32" s="40" t="s">
        <v>1</v>
      </c>
      <c r="C32" s="24">
        <v>3.98</v>
      </c>
    </row>
    <row r="33" spans="1:3" x14ac:dyDescent="0.3">
      <c r="A33" s="26">
        <v>45583</v>
      </c>
      <c r="B33" s="28" t="s">
        <v>7</v>
      </c>
      <c r="C33" s="24">
        <v>-10</v>
      </c>
    </row>
    <row r="34" spans="1:3" x14ac:dyDescent="0.3">
      <c r="A34" s="26">
        <v>45583</v>
      </c>
      <c r="B34" s="28" t="s">
        <v>9</v>
      </c>
      <c r="C34" s="24">
        <v>34.21</v>
      </c>
    </row>
    <row r="35" spans="1:3" x14ac:dyDescent="0.3">
      <c r="A35" s="26">
        <v>45600</v>
      </c>
      <c r="B35" s="28" t="s">
        <v>7</v>
      </c>
      <c r="C35" s="24">
        <v>-10</v>
      </c>
    </row>
    <row r="36" spans="1:3" x14ac:dyDescent="0.3">
      <c r="A36" s="26">
        <v>45604</v>
      </c>
      <c r="B36" s="28" t="s">
        <v>7</v>
      </c>
      <c r="C36" s="24">
        <v>-10</v>
      </c>
    </row>
    <row r="37" spans="1:3" x14ac:dyDescent="0.3">
      <c r="A37" s="26">
        <v>45604</v>
      </c>
      <c r="B37" s="28" t="s">
        <v>9</v>
      </c>
      <c r="C37" s="24">
        <v>150</v>
      </c>
    </row>
    <row r="38" spans="1:3" x14ac:dyDescent="0.3">
      <c r="A38" s="26">
        <v>45612</v>
      </c>
      <c r="B38" s="28" t="s">
        <v>7</v>
      </c>
      <c r="C38" s="24">
        <v>-20</v>
      </c>
    </row>
    <row r="39" spans="1:3" x14ac:dyDescent="0.3">
      <c r="A39" s="26">
        <v>45618</v>
      </c>
      <c r="B39" s="28" t="s">
        <v>7</v>
      </c>
      <c r="C39" s="24">
        <v>-20</v>
      </c>
    </row>
    <row r="40" spans="1:3" x14ac:dyDescent="0.3">
      <c r="A40" s="26">
        <v>45625</v>
      </c>
      <c r="B40" s="28" t="s">
        <v>7</v>
      </c>
      <c r="C40" s="24">
        <v>-20</v>
      </c>
    </row>
    <row r="41" spans="1:3" x14ac:dyDescent="0.3">
      <c r="A41" s="26">
        <v>45632</v>
      </c>
      <c r="B41" s="28" t="s">
        <v>7</v>
      </c>
      <c r="C41" s="24">
        <v>-20</v>
      </c>
    </row>
    <row r="42" spans="1:3" x14ac:dyDescent="0.3">
      <c r="A42" s="26">
        <v>45640</v>
      </c>
      <c r="B42" s="28" t="s">
        <v>7</v>
      </c>
      <c r="C42" s="24">
        <v>-20</v>
      </c>
    </row>
    <row r="43" spans="1:3" x14ac:dyDescent="0.3">
      <c r="A43" s="26">
        <v>45646</v>
      </c>
      <c r="B43" s="28" t="s">
        <v>7</v>
      </c>
      <c r="C43" s="24">
        <v>-20</v>
      </c>
    </row>
    <row r="44" spans="1:3" x14ac:dyDescent="0.3">
      <c r="A44" s="26">
        <v>45649</v>
      </c>
      <c r="B44" s="40" t="s">
        <v>1</v>
      </c>
      <c r="C44" s="24">
        <v>25.66</v>
      </c>
    </row>
    <row r="45" spans="1:3" x14ac:dyDescent="0.3">
      <c r="A45" s="26">
        <v>45664</v>
      </c>
      <c r="B45" s="28" t="s">
        <v>7</v>
      </c>
      <c r="C45" s="24">
        <v>-20</v>
      </c>
    </row>
    <row r="46" spans="1:3" x14ac:dyDescent="0.3">
      <c r="A46" s="26">
        <v>45672</v>
      </c>
      <c r="B46" s="41" t="s">
        <v>21</v>
      </c>
      <c r="C46" s="24">
        <v>4.91</v>
      </c>
    </row>
    <row r="47" spans="1:3" x14ac:dyDescent="0.3">
      <c r="A47" s="26">
        <v>45674</v>
      </c>
      <c r="B47" s="28" t="s">
        <v>7</v>
      </c>
      <c r="C47" s="24">
        <v>-20</v>
      </c>
    </row>
    <row r="48" spans="1:3" x14ac:dyDescent="0.3">
      <c r="A48" s="26">
        <v>45681</v>
      </c>
      <c r="B48" s="28" t="s">
        <v>7</v>
      </c>
      <c r="C48" s="24">
        <v>-20</v>
      </c>
    </row>
    <row r="49" spans="1:4" x14ac:dyDescent="0.3">
      <c r="A49" s="26">
        <v>45708</v>
      </c>
      <c r="B49" s="28" t="s">
        <v>7</v>
      </c>
      <c r="C49" s="24">
        <v>-9</v>
      </c>
    </row>
    <row r="50" spans="1:4" x14ac:dyDescent="0.3">
      <c r="A50" s="26">
        <v>45748</v>
      </c>
      <c r="B50" s="40" t="s">
        <v>1</v>
      </c>
      <c r="C50" s="24">
        <v>1.1000000000000001</v>
      </c>
    </row>
    <row r="51" spans="1:4" x14ac:dyDescent="0.3">
      <c r="A51" s="26">
        <v>45821</v>
      </c>
      <c r="B51" s="27" t="s">
        <v>4</v>
      </c>
      <c r="C51" s="24">
        <v>-10</v>
      </c>
    </row>
    <row r="52" spans="1:4" x14ac:dyDescent="0.3">
      <c r="A52" s="26">
        <v>45821</v>
      </c>
      <c r="B52" s="27" t="s">
        <v>9</v>
      </c>
      <c r="C52" s="24">
        <v>25.56</v>
      </c>
    </row>
    <row r="53" spans="1:4" x14ac:dyDescent="0.3">
      <c r="A53" s="26">
        <v>45825</v>
      </c>
      <c r="B53" s="27" t="s">
        <v>22</v>
      </c>
      <c r="D53" s="25">
        <v>1</v>
      </c>
    </row>
    <row r="54" spans="1:4" x14ac:dyDescent="0.3">
      <c r="A54" s="26">
        <v>45828</v>
      </c>
      <c r="B54" s="27" t="s">
        <v>4</v>
      </c>
      <c r="C54" s="24">
        <v>-10</v>
      </c>
    </row>
    <row r="55" spans="1:4" x14ac:dyDescent="0.3">
      <c r="A55" s="26">
        <v>45845</v>
      </c>
      <c r="B55" s="27" t="s">
        <v>4</v>
      </c>
      <c r="C55" s="24">
        <v>18.34</v>
      </c>
    </row>
    <row r="56" spans="1:4" x14ac:dyDescent="0.3">
      <c r="A56" s="26">
        <v>45849</v>
      </c>
      <c r="B56" s="27" t="s">
        <v>4</v>
      </c>
      <c r="C56" s="24">
        <v>-10</v>
      </c>
    </row>
    <row r="57" spans="1:4" x14ac:dyDescent="0.3">
      <c r="A57" s="26">
        <v>45856</v>
      </c>
      <c r="B57" s="27" t="s">
        <v>4</v>
      </c>
      <c r="C57" s="24">
        <v>-10</v>
      </c>
    </row>
    <row r="58" spans="1:4" x14ac:dyDescent="0.3">
      <c r="A58" s="26">
        <v>45860</v>
      </c>
      <c r="B58" s="27" t="s">
        <v>22</v>
      </c>
      <c r="C58" s="24">
        <v>-112.81</v>
      </c>
    </row>
    <row r="59" spans="1:4" x14ac:dyDescent="0.3">
      <c r="A59" s="26">
        <v>45862</v>
      </c>
      <c r="B59" s="35" t="s">
        <v>1</v>
      </c>
      <c r="C59" s="24">
        <v>7.5</v>
      </c>
    </row>
    <row r="60" spans="1:4" x14ac:dyDescent="0.3">
      <c r="A60" s="26">
        <v>45873</v>
      </c>
      <c r="B60" s="27" t="s">
        <v>9</v>
      </c>
      <c r="C60" s="24">
        <v>40</v>
      </c>
    </row>
    <row r="61" spans="1:4" x14ac:dyDescent="0.3">
      <c r="A61" s="26">
        <v>45874</v>
      </c>
      <c r="B61" s="27" t="s">
        <v>1</v>
      </c>
      <c r="C61" s="24">
        <v>20</v>
      </c>
    </row>
    <row r="62" spans="1:4" x14ac:dyDescent="0.3">
      <c r="A62" s="26">
        <v>45908</v>
      </c>
      <c r="B62" s="27" t="s">
        <v>9</v>
      </c>
      <c r="C62" s="24">
        <v>24.73</v>
      </c>
    </row>
    <row r="63" spans="1:4" x14ac:dyDescent="0.3">
      <c r="A63" s="26">
        <v>45979</v>
      </c>
      <c r="B63" s="27" t="s">
        <v>1</v>
      </c>
      <c r="C63" s="24">
        <v>14.25</v>
      </c>
    </row>
    <row r="64" spans="1:4" x14ac:dyDescent="0.3">
      <c r="A64" s="26">
        <v>45986</v>
      </c>
      <c r="B64" s="27" t="s">
        <v>9</v>
      </c>
      <c r="C64" s="24">
        <v>10.02</v>
      </c>
    </row>
    <row r="65" spans="1:4" x14ac:dyDescent="0.3">
      <c r="A65" s="26">
        <v>45989</v>
      </c>
      <c r="B65" s="27" t="s">
        <v>9</v>
      </c>
      <c r="C65" s="24">
        <v>160</v>
      </c>
    </row>
    <row r="66" spans="1:4" x14ac:dyDescent="0.3">
      <c r="A66" s="26">
        <v>45996</v>
      </c>
      <c r="B66" s="27" t="s">
        <v>4</v>
      </c>
      <c r="C66" s="24">
        <v>-10</v>
      </c>
    </row>
    <row r="67" spans="1:4" x14ac:dyDescent="0.3">
      <c r="A67" s="26">
        <v>46021</v>
      </c>
      <c r="B67" s="27" t="s">
        <v>22</v>
      </c>
      <c r="D67" s="25">
        <v>2</v>
      </c>
    </row>
    <row r="68" spans="1:4" x14ac:dyDescent="0.3">
      <c r="A68" s="26">
        <v>46028</v>
      </c>
      <c r="B68" s="27" t="s">
        <v>1</v>
      </c>
      <c r="C68" s="24">
        <v>24.45</v>
      </c>
    </row>
    <row r="69" spans="1:4" x14ac:dyDescent="0.3">
      <c r="A69" s="26">
        <v>46038</v>
      </c>
      <c r="B69" s="27" t="s">
        <v>4</v>
      </c>
      <c r="C69" s="24">
        <v>-10</v>
      </c>
    </row>
  </sheetData>
  <mergeCells count="1">
    <mergeCell ref="A3:B3"/>
  </mergeCells>
  <pageMargins left="0.7" right="0.7" top="0.75" bottom="0.75" header="0.3" footer="0.3"/>
  <pageSetup paperSize="5" scale="82"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AF6A-25C4-4904-A494-89B16E88DB2C}">
  <sheetPr codeName="Hoja73"/>
  <dimension ref="A1:I77"/>
  <sheetViews>
    <sheetView view="pageBreakPreview" topLeftCell="A46" zoomScale="80" zoomScaleNormal="100" zoomScaleSheetLayoutView="80" workbookViewId="0">
      <selection activeCell="C78" sqref="C7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40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69.410000000000011</v>
      </c>
      <c r="D3" s="20">
        <f>SUM(D$4:D$1048576)</f>
        <v>6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45649</v>
      </c>
      <c r="B5" s="29" t="s">
        <v>22</v>
      </c>
      <c r="C5" s="22"/>
      <c r="D5" s="30">
        <v>2</v>
      </c>
      <c r="E5" s="30"/>
      <c r="F5" s="30"/>
      <c r="G5" s="22"/>
    </row>
    <row r="6" spans="1:9" x14ac:dyDescent="0.3">
      <c r="A6" s="26">
        <v>45656</v>
      </c>
      <c r="B6" s="31"/>
      <c r="D6" s="25">
        <v>2</v>
      </c>
    </row>
    <row r="7" spans="1:9" x14ac:dyDescent="0.3">
      <c r="A7" s="21">
        <v>45660</v>
      </c>
      <c r="B7" s="31"/>
      <c r="D7" s="25">
        <v>-2</v>
      </c>
    </row>
    <row r="8" spans="1:9" x14ac:dyDescent="0.3">
      <c r="A8" s="21">
        <v>45622</v>
      </c>
      <c r="B8" s="34" t="s">
        <v>21</v>
      </c>
      <c r="C8" s="22">
        <v>2.13</v>
      </c>
    </row>
    <row r="9" spans="1:9" x14ac:dyDescent="0.3">
      <c r="A9" s="26">
        <v>45649</v>
      </c>
      <c r="B9" s="34" t="s">
        <v>1</v>
      </c>
      <c r="C9" s="24">
        <v>41.38</v>
      </c>
      <c r="I9" s="25"/>
    </row>
    <row r="10" spans="1:9" x14ac:dyDescent="0.3">
      <c r="A10" s="26">
        <v>45653</v>
      </c>
      <c r="B10" s="28" t="s">
        <v>4</v>
      </c>
      <c r="C10" s="24">
        <v>-10</v>
      </c>
    </row>
    <row r="11" spans="1:9" x14ac:dyDescent="0.3">
      <c r="A11" s="26">
        <v>45664</v>
      </c>
      <c r="B11" s="28" t="s">
        <v>7</v>
      </c>
      <c r="C11" s="24">
        <v>-10</v>
      </c>
    </row>
    <row r="12" spans="1:9" x14ac:dyDescent="0.3">
      <c r="A12" s="26">
        <v>45666</v>
      </c>
      <c r="B12" s="34" t="s">
        <v>1</v>
      </c>
      <c r="C12" s="24">
        <v>9.6999999999999993</v>
      </c>
    </row>
    <row r="13" spans="1:9" x14ac:dyDescent="0.3">
      <c r="A13" s="26">
        <v>45671</v>
      </c>
      <c r="B13" s="28" t="s">
        <v>7</v>
      </c>
      <c r="C13" s="24">
        <v>-20</v>
      </c>
    </row>
    <row r="14" spans="1:9" x14ac:dyDescent="0.3">
      <c r="A14" s="26">
        <v>45674</v>
      </c>
      <c r="B14" s="28" t="s">
        <v>7</v>
      </c>
      <c r="C14" s="24">
        <v>-10</v>
      </c>
    </row>
    <row r="15" spans="1:9" x14ac:dyDescent="0.3">
      <c r="A15" s="26">
        <v>45681</v>
      </c>
      <c r="B15" s="28" t="s">
        <v>7</v>
      </c>
      <c r="C15" s="24">
        <v>-3</v>
      </c>
    </row>
    <row r="16" spans="1:9" x14ac:dyDescent="0.3">
      <c r="A16" s="26">
        <v>45687</v>
      </c>
      <c r="B16" s="34" t="s">
        <v>1</v>
      </c>
      <c r="C16" s="24">
        <v>8.51</v>
      </c>
    </row>
    <row r="17" spans="1:3" x14ac:dyDescent="0.3">
      <c r="A17" s="26">
        <v>45693</v>
      </c>
      <c r="B17" s="34" t="s">
        <v>1</v>
      </c>
      <c r="C17" s="24">
        <v>2.13</v>
      </c>
    </row>
    <row r="18" spans="1:3" x14ac:dyDescent="0.3">
      <c r="A18" s="26">
        <v>45698</v>
      </c>
      <c r="B18" s="28" t="s">
        <v>7</v>
      </c>
      <c r="C18" s="24">
        <v>-11</v>
      </c>
    </row>
    <row r="19" spans="1:3" x14ac:dyDescent="0.3">
      <c r="A19" s="26">
        <v>45721</v>
      </c>
      <c r="B19" s="34" t="s">
        <v>1</v>
      </c>
      <c r="C19" s="24">
        <v>10.23</v>
      </c>
    </row>
    <row r="20" spans="1:3" x14ac:dyDescent="0.3">
      <c r="A20" s="26">
        <v>45723</v>
      </c>
      <c r="B20" s="28" t="s">
        <v>4</v>
      </c>
      <c r="C20" s="24">
        <v>-10</v>
      </c>
    </row>
    <row r="21" spans="1:3" x14ac:dyDescent="0.3">
      <c r="A21" s="26">
        <v>45735</v>
      </c>
      <c r="B21" s="34" t="s">
        <v>1</v>
      </c>
      <c r="C21" s="24">
        <v>4.79</v>
      </c>
    </row>
    <row r="22" spans="1:3" x14ac:dyDescent="0.3">
      <c r="A22" s="26">
        <v>45737</v>
      </c>
      <c r="B22" s="28" t="s">
        <v>4</v>
      </c>
      <c r="C22" s="24">
        <v>-5</v>
      </c>
    </row>
    <row r="23" spans="1:3" x14ac:dyDescent="0.3">
      <c r="A23" s="26">
        <v>45762</v>
      </c>
      <c r="B23" s="34" t="s">
        <v>1</v>
      </c>
      <c r="C23" s="24">
        <v>20.9</v>
      </c>
    </row>
    <row r="24" spans="1:3" x14ac:dyDescent="0.3">
      <c r="A24" s="26">
        <v>45762</v>
      </c>
      <c r="B24" s="28" t="s">
        <v>33</v>
      </c>
      <c r="C24" s="24">
        <v>75</v>
      </c>
    </row>
    <row r="25" spans="1:3" x14ac:dyDescent="0.3">
      <c r="A25" s="26">
        <v>45762</v>
      </c>
      <c r="B25" s="28" t="s">
        <v>4</v>
      </c>
      <c r="C25" s="24">
        <v>-10</v>
      </c>
    </row>
    <row r="26" spans="1:3" x14ac:dyDescent="0.3">
      <c r="A26" s="26">
        <v>45772</v>
      </c>
      <c r="B26" s="28" t="s">
        <v>4</v>
      </c>
      <c r="C26" s="24">
        <v>-10</v>
      </c>
    </row>
    <row r="27" spans="1:3" x14ac:dyDescent="0.3">
      <c r="A27" s="26">
        <v>45785</v>
      </c>
      <c r="B27" s="28" t="s">
        <v>4</v>
      </c>
      <c r="C27" s="24">
        <v>-10</v>
      </c>
    </row>
    <row r="28" spans="1:3" x14ac:dyDescent="0.3">
      <c r="A28" s="26">
        <v>45793</v>
      </c>
      <c r="B28" s="28" t="s">
        <v>4</v>
      </c>
      <c r="C28" s="24">
        <v>-10</v>
      </c>
    </row>
    <row r="29" spans="1:3" x14ac:dyDescent="0.3">
      <c r="A29" s="26">
        <v>45797</v>
      </c>
      <c r="B29" s="34" t="s">
        <v>1</v>
      </c>
      <c r="C29" s="24">
        <v>1.94</v>
      </c>
    </row>
    <row r="30" spans="1:3" x14ac:dyDescent="0.3">
      <c r="A30" s="26">
        <v>45803</v>
      </c>
      <c r="B30" s="28" t="s">
        <v>4</v>
      </c>
      <c r="C30" s="24">
        <v>-10</v>
      </c>
    </row>
    <row r="31" spans="1:3" x14ac:dyDescent="0.3">
      <c r="A31" s="26">
        <v>45808</v>
      </c>
      <c r="B31" s="28" t="s">
        <v>4</v>
      </c>
      <c r="C31" s="24">
        <v>-10</v>
      </c>
    </row>
    <row r="32" spans="1:3" x14ac:dyDescent="0.3">
      <c r="A32" s="26">
        <v>45814</v>
      </c>
      <c r="B32" s="28" t="s">
        <v>4</v>
      </c>
      <c r="C32" s="24">
        <v>-10</v>
      </c>
    </row>
    <row r="33" spans="1:4" x14ac:dyDescent="0.3">
      <c r="A33" s="26">
        <v>45818</v>
      </c>
      <c r="B33" s="46" t="s">
        <v>1</v>
      </c>
      <c r="C33" s="24">
        <v>0.86</v>
      </c>
    </row>
    <row r="34" spans="1:4" x14ac:dyDescent="0.3">
      <c r="A34" s="26">
        <v>45820</v>
      </c>
      <c r="B34" s="34" t="s">
        <v>1</v>
      </c>
      <c r="C34" s="24">
        <v>3.45</v>
      </c>
    </row>
    <row r="35" spans="1:4" x14ac:dyDescent="0.3">
      <c r="A35" s="26">
        <v>45825</v>
      </c>
      <c r="B35" s="27" t="s">
        <v>22</v>
      </c>
      <c r="D35" s="25">
        <v>2</v>
      </c>
    </row>
    <row r="36" spans="1:4" x14ac:dyDescent="0.3">
      <c r="A36" s="26">
        <v>45828</v>
      </c>
      <c r="B36" s="27" t="s">
        <v>4</v>
      </c>
      <c r="C36" s="24">
        <v>-10</v>
      </c>
    </row>
    <row r="37" spans="1:4" x14ac:dyDescent="0.3">
      <c r="A37" s="26">
        <v>45833</v>
      </c>
      <c r="B37" s="34" t="s">
        <v>1</v>
      </c>
      <c r="C37" s="24">
        <v>8.4499999999999993</v>
      </c>
    </row>
    <row r="38" spans="1:4" x14ac:dyDescent="0.3">
      <c r="A38" s="26">
        <v>45849</v>
      </c>
      <c r="B38" s="27" t="s">
        <v>4</v>
      </c>
      <c r="C38" s="24">
        <v>-10</v>
      </c>
    </row>
    <row r="39" spans="1:4" x14ac:dyDescent="0.3">
      <c r="A39" s="26">
        <v>45849</v>
      </c>
      <c r="B39" s="34" t="s">
        <v>1</v>
      </c>
      <c r="C39" s="24">
        <v>6.45</v>
      </c>
    </row>
    <row r="40" spans="1:4" x14ac:dyDescent="0.3">
      <c r="A40" s="26">
        <v>45863</v>
      </c>
      <c r="B40" s="27" t="s">
        <v>4</v>
      </c>
      <c r="C40" s="24">
        <v>-10</v>
      </c>
    </row>
    <row r="41" spans="1:4" x14ac:dyDescent="0.3">
      <c r="A41" s="26">
        <v>45870</v>
      </c>
      <c r="B41" s="27" t="s">
        <v>4</v>
      </c>
      <c r="C41" s="24">
        <v>-10</v>
      </c>
    </row>
    <row r="42" spans="1:4" x14ac:dyDescent="0.3">
      <c r="A42" s="26">
        <v>45875</v>
      </c>
      <c r="B42" s="35" t="s">
        <v>1</v>
      </c>
      <c r="C42" s="24">
        <v>4.5</v>
      </c>
    </row>
    <row r="43" spans="1:4" x14ac:dyDescent="0.3">
      <c r="A43" s="26">
        <v>45876</v>
      </c>
      <c r="B43" s="27" t="s">
        <v>4</v>
      </c>
      <c r="C43" s="24">
        <v>-4.5</v>
      </c>
    </row>
    <row r="44" spans="1:4" x14ac:dyDescent="0.3">
      <c r="A44" s="26">
        <v>45877</v>
      </c>
      <c r="B44" s="27" t="s">
        <v>4</v>
      </c>
      <c r="C44" s="24">
        <v>-7</v>
      </c>
    </row>
    <row r="45" spans="1:4" x14ac:dyDescent="0.3">
      <c r="A45" s="26">
        <v>45883</v>
      </c>
      <c r="B45" s="34" t="s">
        <v>1</v>
      </c>
      <c r="C45" s="24">
        <v>1.07</v>
      </c>
    </row>
    <row r="46" spans="1:4" x14ac:dyDescent="0.3">
      <c r="A46" s="26">
        <v>45883</v>
      </c>
      <c r="B46" s="46" t="s">
        <v>1</v>
      </c>
      <c r="C46" s="24">
        <v>5.39</v>
      </c>
    </row>
    <row r="47" spans="1:4" x14ac:dyDescent="0.3">
      <c r="A47" s="26">
        <v>45884</v>
      </c>
      <c r="B47" s="27" t="s">
        <v>4</v>
      </c>
      <c r="C47" s="24">
        <v>-6</v>
      </c>
    </row>
    <row r="48" spans="1:4" x14ac:dyDescent="0.3">
      <c r="A48" s="26">
        <v>45903</v>
      </c>
      <c r="B48" s="34" t="s">
        <v>1</v>
      </c>
      <c r="C48" s="24">
        <v>1.98</v>
      </c>
    </row>
    <row r="49" spans="1:3" x14ac:dyDescent="0.3">
      <c r="A49" s="26">
        <v>45919</v>
      </c>
      <c r="B49" s="27" t="s">
        <v>1</v>
      </c>
      <c r="C49" s="24">
        <v>5.81</v>
      </c>
    </row>
    <row r="50" spans="1:3" x14ac:dyDescent="0.3">
      <c r="A50" s="26">
        <v>45926</v>
      </c>
      <c r="B50" s="27" t="s">
        <v>4</v>
      </c>
      <c r="C50" s="24">
        <v>-8.17</v>
      </c>
    </row>
    <row r="51" spans="1:3" x14ac:dyDescent="0.3">
      <c r="A51" s="26">
        <v>45929</v>
      </c>
      <c r="B51" s="27" t="s">
        <v>33</v>
      </c>
      <c r="C51" s="24">
        <v>60</v>
      </c>
    </row>
    <row r="52" spans="1:3" x14ac:dyDescent="0.3">
      <c r="A52" s="26">
        <v>45933</v>
      </c>
      <c r="B52" s="27" t="s">
        <v>4</v>
      </c>
      <c r="C52" s="24">
        <v>-10</v>
      </c>
    </row>
    <row r="53" spans="1:3" x14ac:dyDescent="0.3">
      <c r="A53" s="26">
        <v>45937</v>
      </c>
      <c r="B53" s="46" t="s">
        <v>1</v>
      </c>
      <c r="C53" s="24">
        <v>2.04</v>
      </c>
    </row>
    <row r="54" spans="1:3" x14ac:dyDescent="0.3">
      <c r="A54" s="26">
        <v>45940</v>
      </c>
      <c r="B54" s="27" t="s">
        <v>4</v>
      </c>
      <c r="C54" s="24">
        <v>-10</v>
      </c>
    </row>
    <row r="55" spans="1:3" x14ac:dyDescent="0.3">
      <c r="A55" s="26">
        <v>45947</v>
      </c>
      <c r="B55" s="27" t="s">
        <v>4</v>
      </c>
      <c r="C55" s="24">
        <v>-10</v>
      </c>
    </row>
    <row r="56" spans="1:3" x14ac:dyDescent="0.3">
      <c r="A56" s="26">
        <v>45952</v>
      </c>
      <c r="B56" s="34" t="s">
        <v>1</v>
      </c>
      <c r="C56" s="24">
        <v>15.23</v>
      </c>
    </row>
    <row r="57" spans="1:3" x14ac:dyDescent="0.3">
      <c r="A57" s="26">
        <v>45954</v>
      </c>
      <c r="B57" s="27" t="s">
        <v>4</v>
      </c>
      <c r="C57" s="24">
        <v>-10</v>
      </c>
    </row>
    <row r="58" spans="1:3" x14ac:dyDescent="0.3">
      <c r="A58" s="26">
        <v>45968</v>
      </c>
      <c r="B58" s="27" t="s">
        <v>4</v>
      </c>
      <c r="C58" s="24">
        <v>-10</v>
      </c>
    </row>
    <row r="59" spans="1:3" x14ac:dyDescent="0.3">
      <c r="A59" s="26">
        <v>45968</v>
      </c>
      <c r="B59" s="34" t="s">
        <v>1</v>
      </c>
      <c r="C59" s="24">
        <v>4.84</v>
      </c>
    </row>
    <row r="60" spans="1:3" x14ac:dyDescent="0.3">
      <c r="A60" s="26">
        <v>45975</v>
      </c>
      <c r="B60" s="27" t="s">
        <v>4</v>
      </c>
      <c r="C60" s="24">
        <v>-10</v>
      </c>
    </row>
    <row r="61" spans="1:3" x14ac:dyDescent="0.3">
      <c r="A61" s="26">
        <v>45982</v>
      </c>
      <c r="B61" s="27" t="s">
        <v>4</v>
      </c>
      <c r="C61" s="24">
        <v>-10</v>
      </c>
    </row>
    <row r="62" spans="1:3" x14ac:dyDescent="0.3">
      <c r="A62" s="26">
        <v>45982</v>
      </c>
      <c r="B62" s="27" t="s">
        <v>1</v>
      </c>
      <c r="C62" s="24">
        <v>6.12</v>
      </c>
    </row>
    <row r="63" spans="1:3" x14ac:dyDescent="0.3">
      <c r="A63" s="26">
        <v>45988</v>
      </c>
      <c r="B63" s="27" t="s">
        <v>1</v>
      </c>
      <c r="C63" s="24">
        <v>6.08</v>
      </c>
    </row>
    <row r="64" spans="1:3" x14ac:dyDescent="0.3">
      <c r="A64" s="26">
        <v>46000</v>
      </c>
      <c r="B64" s="27" t="s">
        <v>1</v>
      </c>
      <c r="C64" s="24">
        <v>4.88</v>
      </c>
    </row>
    <row r="65" spans="1:4" x14ac:dyDescent="0.3">
      <c r="A65" s="26">
        <v>46003</v>
      </c>
      <c r="B65" s="27" t="s">
        <v>1</v>
      </c>
      <c r="C65" s="24">
        <v>23</v>
      </c>
    </row>
    <row r="66" spans="1:4" x14ac:dyDescent="0.3">
      <c r="A66" s="26">
        <v>46014</v>
      </c>
      <c r="B66" s="27" t="s">
        <v>1</v>
      </c>
      <c r="C66" s="24">
        <v>12.87</v>
      </c>
    </row>
    <row r="67" spans="1:4" x14ac:dyDescent="0.3">
      <c r="A67" s="26">
        <v>46014</v>
      </c>
      <c r="B67" s="27" t="s">
        <v>33</v>
      </c>
      <c r="C67" s="24">
        <v>40</v>
      </c>
    </row>
    <row r="68" spans="1:4" x14ac:dyDescent="0.3">
      <c r="A68" s="26">
        <v>46017</v>
      </c>
      <c r="B68" s="27" t="s">
        <v>4</v>
      </c>
      <c r="C68" s="24">
        <v>-10</v>
      </c>
    </row>
    <row r="69" spans="1:4" x14ac:dyDescent="0.3">
      <c r="A69" s="26">
        <v>46017</v>
      </c>
      <c r="B69" s="27" t="s">
        <v>4</v>
      </c>
      <c r="C69" s="24">
        <v>-7.85</v>
      </c>
    </row>
    <row r="70" spans="1:4" x14ac:dyDescent="0.3">
      <c r="A70" s="26">
        <v>46017</v>
      </c>
      <c r="B70" s="27" t="s">
        <v>1</v>
      </c>
      <c r="C70" s="24">
        <v>7.85</v>
      </c>
    </row>
    <row r="71" spans="1:4" x14ac:dyDescent="0.3">
      <c r="A71" s="26">
        <v>46021</v>
      </c>
      <c r="B71" s="27" t="s">
        <v>22</v>
      </c>
      <c r="D71" s="25">
        <v>2</v>
      </c>
    </row>
    <row r="72" spans="1:4" x14ac:dyDescent="0.3">
      <c r="A72" s="26">
        <v>46024</v>
      </c>
      <c r="B72" s="27" t="s">
        <v>4</v>
      </c>
      <c r="C72" s="24">
        <v>-10</v>
      </c>
    </row>
    <row r="73" spans="1:4" x14ac:dyDescent="0.3">
      <c r="A73" s="26">
        <v>46031</v>
      </c>
      <c r="B73" s="27" t="s">
        <v>4</v>
      </c>
      <c r="C73" s="24">
        <v>-10</v>
      </c>
    </row>
    <row r="74" spans="1:4" x14ac:dyDescent="0.3">
      <c r="A74" s="26">
        <v>46045</v>
      </c>
      <c r="B74" s="27" t="s">
        <v>4</v>
      </c>
      <c r="C74" s="24">
        <v>-10</v>
      </c>
    </row>
    <row r="75" spans="1:4" x14ac:dyDescent="0.3">
      <c r="A75" s="26">
        <v>46052</v>
      </c>
      <c r="B75" s="27" t="s">
        <v>4</v>
      </c>
      <c r="C75" s="24">
        <v>-60.48</v>
      </c>
    </row>
    <row r="76" spans="1:4" x14ac:dyDescent="0.3">
      <c r="A76" s="26">
        <v>46052</v>
      </c>
      <c r="B76" s="27" t="s">
        <v>1</v>
      </c>
      <c r="C76" s="24">
        <v>60.48</v>
      </c>
    </row>
    <row r="77" spans="1:4" x14ac:dyDescent="0.3">
      <c r="A77" s="26">
        <v>46056</v>
      </c>
      <c r="B77" s="27" t="s">
        <v>1</v>
      </c>
      <c r="C77" s="24">
        <v>4.3499999999999996</v>
      </c>
    </row>
  </sheetData>
  <mergeCells count="1">
    <mergeCell ref="A3:B3"/>
  </mergeCells>
  <pageMargins left="0.7" right="0.7" top="0.75" bottom="0.75" header="0.3" footer="0.3"/>
  <pageSetup paperSize="5" scale="82" orientation="portrait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187F-26E0-46B8-8F3B-E17EE99ECECE}">
  <dimension ref="A1:I37"/>
  <sheetViews>
    <sheetView view="pageBreakPreview" zoomScale="80" zoomScaleNormal="100" zoomScaleSheetLayoutView="80" workbookViewId="0">
      <selection activeCell="C17" sqref="C1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354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13.310000000000002</v>
      </c>
      <c r="D3" s="20">
        <f>SUM(D$4:D$1048576)</f>
        <v>2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45849</v>
      </c>
      <c r="B5" s="34" t="s">
        <v>21</v>
      </c>
      <c r="C5" s="22">
        <v>2.42</v>
      </c>
      <c r="D5" s="30"/>
      <c r="E5" s="30"/>
      <c r="F5" s="30"/>
      <c r="G5" s="22"/>
    </row>
    <row r="6" spans="1:9" x14ac:dyDescent="0.3">
      <c r="A6" s="26">
        <v>45863</v>
      </c>
      <c r="B6" s="31" t="s">
        <v>4</v>
      </c>
      <c r="C6" s="24">
        <v>-5</v>
      </c>
    </row>
    <row r="7" spans="1:9" x14ac:dyDescent="0.3">
      <c r="A7" s="21">
        <v>45877</v>
      </c>
      <c r="B7" s="32" t="s">
        <v>21</v>
      </c>
      <c r="C7" s="24">
        <v>15.85</v>
      </c>
    </row>
    <row r="8" spans="1:9" x14ac:dyDescent="0.3">
      <c r="A8" s="21">
        <v>45877</v>
      </c>
      <c r="B8" s="34" t="s">
        <v>1</v>
      </c>
      <c r="C8" s="22">
        <v>11.37</v>
      </c>
    </row>
    <row r="9" spans="1:9" x14ac:dyDescent="0.3">
      <c r="A9" s="26">
        <v>45881</v>
      </c>
      <c r="B9" s="27" t="s">
        <v>7</v>
      </c>
      <c r="C9" s="24">
        <v>-15.87</v>
      </c>
      <c r="I9" s="25"/>
    </row>
    <row r="10" spans="1:9" x14ac:dyDescent="0.3">
      <c r="A10" s="26">
        <v>45891</v>
      </c>
      <c r="B10" s="28" t="s">
        <v>4</v>
      </c>
      <c r="C10" s="24">
        <v>-8.77</v>
      </c>
    </row>
    <row r="11" spans="1:9" x14ac:dyDescent="0.3">
      <c r="A11" s="26">
        <v>45968</v>
      </c>
      <c r="B11" s="46" t="s">
        <v>1</v>
      </c>
      <c r="C11" s="24">
        <v>8.52</v>
      </c>
    </row>
    <row r="12" spans="1:9" x14ac:dyDescent="0.3">
      <c r="A12" s="26">
        <v>45982</v>
      </c>
      <c r="B12" s="27" t="s">
        <v>1</v>
      </c>
      <c r="C12" s="24">
        <v>4.79</v>
      </c>
    </row>
    <row r="13" spans="1:9" x14ac:dyDescent="0.3">
      <c r="A13" s="26">
        <v>45989</v>
      </c>
      <c r="B13" s="28" t="s">
        <v>1</v>
      </c>
      <c r="C13" s="24">
        <v>15</v>
      </c>
    </row>
    <row r="14" spans="1:9" x14ac:dyDescent="0.3">
      <c r="A14" s="26">
        <v>45996</v>
      </c>
      <c r="B14" s="28" t="s">
        <v>4</v>
      </c>
      <c r="C14" s="24">
        <v>-10</v>
      </c>
    </row>
    <row r="15" spans="1:9" x14ac:dyDescent="0.3">
      <c r="A15" s="26">
        <v>46021</v>
      </c>
      <c r="B15" s="28" t="s">
        <v>22</v>
      </c>
      <c r="D15" s="25">
        <v>2</v>
      </c>
    </row>
    <row r="16" spans="1:9" x14ac:dyDescent="0.3">
      <c r="A16" s="26">
        <v>46045</v>
      </c>
      <c r="B16" s="28" t="s">
        <v>4</v>
      </c>
      <c r="C16" s="24">
        <v>-5</v>
      </c>
    </row>
    <row r="17" spans="2:2" x14ac:dyDescent="0.3">
      <c r="B17" s="34"/>
    </row>
    <row r="18" spans="2:2" x14ac:dyDescent="0.3">
      <c r="B18" s="28"/>
    </row>
    <row r="19" spans="2:2" x14ac:dyDescent="0.3">
      <c r="B19" s="34"/>
    </row>
    <row r="20" spans="2:2" x14ac:dyDescent="0.3">
      <c r="B20" s="28"/>
    </row>
    <row r="21" spans="2:2" x14ac:dyDescent="0.3">
      <c r="B21" s="34"/>
    </row>
    <row r="22" spans="2:2" x14ac:dyDescent="0.3">
      <c r="B22" s="28"/>
    </row>
    <row r="23" spans="2:2" x14ac:dyDescent="0.3">
      <c r="B23" s="34"/>
    </row>
    <row r="24" spans="2:2" x14ac:dyDescent="0.3">
      <c r="B24" s="28"/>
    </row>
    <row r="25" spans="2:2" x14ac:dyDescent="0.3">
      <c r="B25" s="28"/>
    </row>
    <row r="26" spans="2:2" x14ac:dyDescent="0.3">
      <c r="B26" s="28"/>
    </row>
    <row r="27" spans="2:2" x14ac:dyDescent="0.3">
      <c r="B27" s="28"/>
    </row>
    <row r="28" spans="2:2" x14ac:dyDescent="0.3">
      <c r="B28" s="28"/>
    </row>
    <row r="29" spans="2:2" x14ac:dyDescent="0.3">
      <c r="B29" s="34"/>
    </row>
    <row r="30" spans="2:2" x14ac:dyDescent="0.3">
      <c r="B30" s="28"/>
    </row>
    <row r="31" spans="2:2" x14ac:dyDescent="0.3">
      <c r="B31" s="28"/>
    </row>
    <row r="32" spans="2:2" x14ac:dyDescent="0.3">
      <c r="B32" s="28"/>
    </row>
    <row r="33" spans="2:2" x14ac:dyDescent="0.3">
      <c r="B33" s="46"/>
    </row>
    <row r="34" spans="2:2" x14ac:dyDescent="0.3">
      <c r="B34" s="34"/>
    </row>
    <row r="37" spans="2:2" x14ac:dyDescent="0.3">
      <c r="B37" s="34"/>
    </row>
  </sheetData>
  <mergeCells count="1">
    <mergeCell ref="A3:B3"/>
  </mergeCells>
  <pageMargins left="0.7" right="0.7" top="0.75" bottom="0.75" header="0.3" footer="0.3"/>
  <pageSetup paperSize="5" scale="82"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82F9F-E416-405E-98A9-B083A9A803D3}">
  <dimension ref="A1:H86"/>
  <sheetViews>
    <sheetView view="pageBreakPreview" zoomScale="80" zoomScaleNormal="100" zoomScaleSheetLayoutView="80" workbookViewId="0">
      <selection activeCell="C8" sqref="C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543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192.77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46042</v>
      </c>
      <c r="B5" s="71" t="s">
        <v>21</v>
      </c>
      <c r="C5" s="24">
        <v>82.26</v>
      </c>
      <c r="D5" s="30"/>
      <c r="E5" s="30"/>
      <c r="F5" s="30"/>
      <c r="G5" s="22"/>
    </row>
    <row r="6" spans="1:8" x14ac:dyDescent="0.3">
      <c r="A6" s="21">
        <v>46049</v>
      </c>
      <c r="B6" s="71" t="s">
        <v>4</v>
      </c>
      <c r="C6" s="24">
        <v>-82.26</v>
      </c>
    </row>
    <row r="7" spans="1:8" x14ac:dyDescent="0.3">
      <c r="A7" s="21">
        <v>46049</v>
      </c>
      <c r="B7" s="27" t="s">
        <v>1</v>
      </c>
      <c r="C7" s="24">
        <v>192.77</v>
      </c>
    </row>
    <row r="9" spans="1:8" x14ac:dyDescent="0.3">
      <c r="B9" s="71"/>
    </row>
    <row r="10" spans="1:8" x14ac:dyDescent="0.3">
      <c r="B10" s="71"/>
    </row>
    <row r="11" spans="1:8" x14ac:dyDescent="0.3">
      <c r="B11" s="71"/>
    </row>
    <row r="13" spans="1:8" x14ac:dyDescent="0.3">
      <c r="B13" s="71"/>
    </row>
    <row r="14" spans="1:8" x14ac:dyDescent="0.3">
      <c r="B14" s="71"/>
    </row>
    <row r="17" spans="2:2" x14ac:dyDescent="0.3">
      <c r="B17" s="71"/>
    </row>
    <row r="18" spans="2:2" x14ac:dyDescent="0.3">
      <c r="B18" s="71"/>
    </row>
    <row r="21" spans="2:2" x14ac:dyDescent="0.3">
      <c r="B21" s="71"/>
    </row>
    <row r="22" spans="2:2" x14ac:dyDescent="0.3">
      <c r="B22" s="71"/>
    </row>
    <row r="24" spans="2:2" x14ac:dyDescent="0.3">
      <c r="B24" s="71"/>
    </row>
    <row r="25" spans="2:2" x14ac:dyDescent="0.3">
      <c r="B25" s="71"/>
    </row>
    <row r="26" spans="2:2" x14ac:dyDescent="0.3">
      <c r="B26" s="71"/>
    </row>
    <row r="28" spans="2:2" x14ac:dyDescent="0.3">
      <c r="B28" s="71"/>
    </row>
    <row r="29" spans="2:2" x14ac:dyDescent="0.3">
      <c r="B29" s="71"/>
    </row>
    <row r="30" spans="2:2" x14ac:dyDescent="0.3">
      <c r="B30" s="71"/>
    </row>
    <row r="32" spans="2:2" x14ac:dyDescent="0.3">
      <c r="B32" s="71"/>
    </row>
    <row r="33" spans="2:2" x14ac:dyDescent="0.3">
      <c r="B33" s="71"/>
    </row>
    <row r="36" spans="2:2" x14ac:dyDescent="0.3">
      <c r="B36" s="71"/>
    </row>
    <row r="37" spans="2:2" x14ac:dyDescent="0.3">
      <c r="B37" s="71"/>
    </row>
    <row r="38" spans="2:2" x14ac:dyDescent="0.3">
      <c r="B38" s="71"/>
    </row>
    <row r="40" spans="2:2" x14ac:dyDescent="0.3">
      <c r="B40" s="71"/>
    </row>
    <row r="41" spans="2:2" x14ac:dyDescent="0.3">
      <c r="B41" s="71"/>
    </row>
    <row r="42" spans="2:2" x14ac:dyDescent="0.3">
      <c r="B42" s="71"/>
    </row>
    <row r="45" spans="2:2" x14ac:dyDescent="0.3">
      <c r="B45" s="71"/>
    </row>
    <row r="46" spans="2:2" x14ac:dyDescent="0.3">
      <c r="B46" s="71"/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948F2-CDDF-479C-BCF2-EAE028D2A58D}">
  <dimension ref="A1:H86"/>
  <sheetViews>
    <sheetView view="pageBreakPreview" zoomScale="80" zoomScaleNormal="100" zoomScaleSheetLayoutView="80" workbookViewId="0">
      <selection activeCell="C70" sqref="C7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424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27.829999999999981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45902</v>
      </c>
      <c r="B5" s="32" t="s">
        <v>21</v>
      </c>
      <c r="C5" s="24">
        <v>15</v>
      </c>
      <c r="D5" s="30"/>
      <c r="E5" s="30"/>
      <c r="F5" s="30"/>
      <c r="G5" s="22"/>
    </row>
    <row r="6" spans="1:8" hidden="1" x14ac:dyDescent="0.3">
      <c r="A6" s="21">
        <v>45902</v>
      </c>
      <c r="B6" s="34" t="s">
        <v>1</v>
      </c>
      <c r="C6" s="24">
        <v>27.96</v>
      </c>
    </row>
    <row r="7" spans="1:8" hidden="1" x14ac:dyDescent="0.3">
      <c r="A7" s="21">
        <v>45902</v>
      </c>
      <c r="B7" s="27" t="s">
        <v>1</v>
      </c>
      <c r="C7" s="24">
        <v>62.4</v>
      </c>
      <c r="D7" s="25">
        <v>2</v>
      </c>
    </row>
    <row r="8" spans="1:8" hidden="1" x14ac:dyDescent="0.3">
      <c r="A8" s="26">
        <v>45903</v>
      </c>
      <c r="B8" s="27" t="s">
        <v>4</v>
      </c>
      <c r="C8" s="24">
        <v>-105.36</v>
      </c>
    </row>
    <row r="9" spans="1:8" hidden="1" x14ac:dyDescent="0.3">
      <c r="A9" s="26">
        <v>45909</v>
      </c>
      <c r="B9" s="32" t="s">
        <v>1</v>
      </c>
      <c r="C9" s="24">
        <v>4.5</v>
      </c>
    </row>
    <row r="10" spans="1:8" hidden="1" x14ac:dyDescent="0.3">
      <c r="A10" s="26">
        <v>45909</v>
      </c>
      <c r="B10" s="34" t="s">
        <v>1</v>
      </c>
      <c r="C10" s="24">
        <v>54.96</v>
      </c>
    </row>
    <row r="11" spans="1:8" hidden="1" x14ac:dyDescent="0.3">
      <c r="A11" s="26">
        <v>45909</v>
      </c>
      <c r="B11" s="46" t="s">
        <v>1</v>
      </c>
      <c r="C11" s="24">
        <v>40.86</v>
      </c>
    </row>
    <row r="12" spans="1:8" hidden="1" x14ac:dyDescent="0.3">
      <c r="A12" s="26">
        <v>45909</v>
      </c>
      <c r="B12" s="27" t="s">
        <v>1</v>
      </c>
      <c r="C12" s="24">
        <v>20.8</v>
      </c>
      <c r="D12" s="25">
        <v>-2</v>
      </c>
    </row>
    <row r="13" spans="1:8" hidden="1" x14ac:dyDescent="0.3">
      <c r="A13" s="26">
        <v>45916</v>
      </c>
      <c r="B13" s="32" t="s">
        <v>1</v>
      </c>
      <c r="C13" s="24">
        <v>30.19</v>
      </c>
    </row>
    <row r="14" spans="1:8" hidden="1" x14ac:dyDescent="0.3">
      <c r="A14" s="26">
        <v>45916</v>
      </c>
      <c r="B14" s="34" t="s">
        <v>1</v>
      </c>
      <c r="C14" s="24">
        <v>43.32</v>
      </c>
    </row>
    <row r="15" spans="1:8" hidden="1" x14ac:dyDescent="0.3">
      <c r="A15" s="26">
        <v>45916</v>
      </c>
      <c r="B15" s="27" t="s">
        <v>1</v>
      </c>
      <c r="C15" s="24">
        <v>20.8</v>
      </c>
    </row>
    <row r="16" spans="1:8" hidden="1" x14ac:dyDescent="0.3">
      <c r="A16" s="26">
        <v>45917</v>
      </c>
      <c r="B16" s="27" t="s">
        <v>4</v>
      </c>
      <c r="C16" s="24">
        <v>-121.12</v>
      </c>
    </row>
    <row r="17" spans="1:3" hidden="1" x14ac:dyDescent="0.3">
      <c r="A17" s="26">
        <v>45923</v>
      </c>
      <c r="B17" s="32" t="s">
        <v>1</v>
      </c>
      <c r="C17" s="24">
        <v>16.5</v>
      </c>
    </row>
    <row r="18" spans="1:3" hidden="1" x14ac:dyDescent="0.3">
      <c r="A18" s="26">
        <v>45923</v>
      </c>
      <c r="B18" s="34" t="s">
        <v>1</v>
      </c>
      <c r="C18" s="24">
        <v>39.299999999999997</v>
      </c>
    </row>
    <row r="19" spans="1:3" hidden="1" x14ac:dyDescent="0.3">
      <c r="A19" s="26">
        <v>45923</v>
      </c>
      <c r="B19" s="27" t="s">
        <v>1</v>
      </c>
      <c r="C19" s="24">
        <v>20.8</v>
      </c>
    </row>
    <row r="20" spans="1:3" hidden="1" x14ac:dyDescent="0.3">
      <c r="A20" s="26">
        <v>45924</v>
      </c>
      <c r="B20" s="27" t="s">
        <v>4</v>
      </c>
      <c r="C20" s="24">
        <v>-94.31</v>
      </c>
    </row>
    <row r="21" spans="1:3" hidden="1" x14ac:dyDescent="0.3">
      <c r="A21" s="26">
        <v>45926</v>
      </c>
      <c r="B21" s="32" t="s">
        <v>1</v>
      </c>
      <c r="C21" s="24">
        <v>20.350000000000001</v>
      </c>
    </row>
    <row r="22" spans="1:3" hidden="1" x14ac:dyDescent="0.3">
      <c r="A22" s="26">
        <v>45926</v>
      </c>
      <c r="B22" s="34" t="s">
        <v>1</v>
      </c>
      <c r="C22" s="24">
        <v>49.36</v>
      </c>
    </row>
    <row r="23" spans="1:3" hidden="1" x14ac:dyDescent="0.3">
      <c r="A23" s="26">
        <v>45930</v>
      </c>
      <c r="B23" s="27" t="s">
        <v>4</v>
      </c>
      <c r="C23" s="24">
        <v>-146.38999999999999</v>
      </c>
    </row>
    <row r="24" spans="1:3" hidden="1" x14ac:dyDescent="0.3">
      <c r="A24" s="26">
        <v>45930</v>
      </c>
      <c r="B24" s="32" t="s">
        <v>1</v>
      </c>
      <c r="C24" s="24">
        <v>7.5</v>
      </c>
    </row>
    <row r="25" spans="1:3" hidden="1" x14ac:dyDescent="0.3">
      <c r="A25" s="26">
        <v>45930</v>
      </c>
      <c r="B25" s="34" t="s">
        <v>1</v>
      </c>
      <c r="C25" s="24">
        <v>243.62</v>
      </c>
    </row>
    <row r="26" spans="1:3" hidden="1" x14ac:dyDescent="0.3">
      <c r="A26" s="26">
        <v>45930</v>
      </c>
      <c r="B26" s="46" t="s">
        <v>1</v>
      </c>
      <c r="C26" s="24">
        <v>15.69</v>
      </c>
    </row>
    <row r="27" spans="1:3" hidden="1" x14ac:dyDescent="0.3">
      <c r="A27" s="26">
        <v>45937</v>
      </c>
      <c r="B27" s="27" t="s">
        <v>4</v>
      </c>
      <c r="C27" s="24">
        <v>-266.79000000000002</v>
      </c>
    </row>
    <row r="28" spans="1:3" hidden="1" x14ac:dyDescent="0.3">
      <c r="A28" s="26">
        <v>45938</v>
      </c>
      <c r="B28" s="32" t="s">
        <v>1</v>
      </c>
      <c r="C28" s="24">
        <v>51.72</v>
      </c>
    </row>
    <row r="29" spans="1:3" hidden="1" x14ac:dyDescent="0.3">
      <c r="A29" s="26">
        <v>45938</v>
      </c>
      <c r="B29" s="34" t="s">
        <v>1</v>
      </c>
      <c r="C29" s="24">
        <v>48.54</v>
      </c>
    </row>
    <row r="30" spans="1:3" hidden="1" x14ac:dyDescent="0.3">
      <c r="A30" s="26">
        <v>45938</v>
      </c>
      <c r="B30" s="46" t="s">
        <v>1</v>
      </c>
      <c r="C30" s="24">
        <v>88.12</v>
      </c>
    </row>
    <row r="31" spans="1:3" hidden="1" x14ac:dyDescent="0.3">
      <c r="A31" s="26">
        <v>45944</v>
      </c>
      <c r="B31" s="27" t="s">
        <v>4</v>
      </c>
      <c r="C31" s="24">
        <v>-188.37</v>
      </c>
    </row>
    <row r="32" spans="1:3" hidden="1" x14ac:dyDescent="0.3">
      <c r="A32" s="26">
        <v>45944</v>
      </c>
      <c r="B32" s="32" t="s">
        <v>1</v>
      </c>
      <c r="C32" s="24">
        <v>9</v>
      </c>
    </row>
    <row r="33" spans="1:3" hidden="1" x14ac:dyDescent="0.3">
      <c r="A33" s="26">
        <v>45944</v>
      </c>
      <c r="B33" s="34" t="s">
        <v>1</v>
      </c>
      <c r="C33" s="24">
        <v>170.31</v>
      </c>
    </row>
    <row r="34" spans="1:3" hidden="1" x14ac:dyDescent="0.3">
      <c r="A34" s="26">
        <v>45944</v>
      </c>
      <c r="B34" s="27" t="s">
        <v>1</v>
      </c>
      <c r="C34" s="24">
        <v>23</v>
      </c>
    </row>
    <row r="35" spans="1:3" hidden="1" x14ac:dyDescent="0.3">
      <c r="A35" s="26">
        <v>45951</v>
      </c>
      <c r="B35" s="27" t="s">
        <v>4</v>
      </c>
      <c r="C35" s="24">
        <v>-202.31</v>
      </c>
    </row>
    <row r="36" spans="1:3" x14ac:dyDescent="0.3">
      <c r="A36" s="26">
        <v>45951</v>
      </c>
      <c r="B36" s="32" t="s">
        <v>1</v>
      </c>
      <c r="C36" s="24">
        <v>16.5</v>
      </c>
    </row>
    <row r="37" spans="1:3" x14ac:dyDescent="0.3">
      <c r="A37" s="26">
        <v>45951</v>
      </c>
      <c r="B37" s="34" t="s">
        <v>1</v>
      </c>
      <c r="C37" s="24">
        <v>180.85</v>
      </c>
    </row>
    <row r="38" spans="1:3" x14ac:dyDescent="0.3">
      <c r="A38" s="26">
        <v>45951</v>
      </c>
      <c r="B38" s="46" t="s">
        <v>1</v>
      </c>
      <c r="C38" s="24">
        <v>18.12</v>
      </c>
    </row>
    <row r="39" spans="1:3" x14ac:dyDescent="0.3">
      <c r="A39" s="26">
        <v>45951</v>
      </c>
      <c r="B39" s="27" t="s">
        <v>1</v>
      </c>
      <c r="C39" s="24">
        <v>23</v>
      </c>
    </row>
    <row r="40" spans="1:3" x14ac:dyDescent="0.3">
      <c r="A40" s="26">
        <v>45958</v>
      </c>
      <c r="B40" s="32" t="s">
        <v>1</v>
      </c>
      <c r="C40" s="24">
        <v>42.72</v>
      </c>
    </row>
    <row r="41" spans="1:3" x14ac:dyDescent="0.3">
      <c r="A41" s="26">
        <v>45958</v>
      </c>
      <c r="B41" s="34" t="s">
        <v>1</v>
      </c>
      <c r="C41" s="24">
        <v>24.6</v>
      </c>
    </row>
    <row r="42" spans="1:3" x14ac:dyDescent="0.3">
      <c r="A42" s="26">
        <v>45958</v>
      </c>
      <c r="B42" s="46" t="s">
        <v>1</v>
      </c>
      <c r="C42" s="24">
        <v>22.1</v>
      </c>
    </row>
    <row r="43" spans="1:3" x14ac:dyDescent="0.3">
      <c r="A43" s="26">
        <v>45958</v>
      </c>
      <c r="B43" s="27" t="s">
        <v>4</v>
      </c>
      <c r="C43" s="24">
        <v>-215.47</v>
      </c>
    </row>
    <row r="44" spans="1:3" x14ac:dyDescent="0.3">
      <c r="A44" s="26">
        <v>45965</v>
      </c>
      <c r="B44" s="27" t="s">
        <v>4</v>
      </c>
      <c r="C44" s="24">
        <v>-89.42</v>
      </c>
    </row>
    <row r="45" spans="1:3" x14ac:dyDescent="0.3">
      <c r="A45" s="26">
        <v>45965</v>
      </c>
      <c r="B45" s="32" t="s">
        <v>1</v>
      </c>
      <c r="C45" s="24">
        <v>13.5</v>
      </c>
    </row>
    <row r="46" spans="1:3" x14ac:dyDescent="0.3">
      <c r="A46" s="26">
        <v>45965</v>
      </c>
      <c r="B46" s="34" t="s">
        <v>1</v>
      </c>
      <c r="C46" s="24">
        <v>55.38</v>
      </c>
    </row>
    <row r="47" spans="1:3" x14ac:dyDescent="0.3">
      <c r="A47" s="26">
        <v>45972</v>
      </c>
      <c r="B47" s="27" t="s">
        <v>4</v>
      </c>
      <c r="C47" s="24">
        <v>-62</v>
      </c>
    </row>
    <row r="48" spans="1:3" x14ac:dyDescent="0.3">
      <c r="A48" s="26">
        <v>45972</v>
      </c>
      <c r="B48" s="27" t="s">
        <v>1</v>
      </c>
      <c r="C48" s="24">
        <v>152.51</v>
      </c>
    </row>
    <row r="49" spans="1:3" x14ac:dyDescent="0.3">
      <c r="A49" s="26">
        <v>45979</v>
      </c>
      <c r="B49" s="27" t="s">
        <v>4</v>
      </c>
      <c r="C49" s="24">
        <v>-152.5</v>
      </c>
    </row>
    <row r="50" spans="1:3" x14ac:dyDescent="0.3">
      <c r="A50" s="26">
        <v>45979</v>
      </c>
      <c r="B50" s="27" t="s">
        <v>1</v>
      </c>
      <c r="C50" s="24">
        <v>229.2</v>
      </c>
    </row>
    <row r="51" spans="1:3" x14ac:dyDescent="0.3">
      <c r="A51" s="26">
        <v>45986</v>
      </c>
      <c r="B51" s="27" t="s">
        <v>4</v>
      </c>
      <c r="C51" s="24">
        <v>-229.2</v>
      </c>
    </row>
    <row r="52" spans="1:3" x14ac:dyDescent="0.3">
      <c r="A52" s="26">
        <v>45986</v>
      </c>
      <c r="B52" s="27" t="s">
        <v>1</v>
      </c>
      <c r="C52" s="24">
        <v>290.44</v>
      </c>
    </row>
    <row r="53" spans="1:3" x14ac:dyDescent="0.3">
      <c r="A53" s="26">
        <v>45986</v>
      </c>
      <c r="B53" s="27" t="s">
        <v>503</v>
      </c>
      <c r="C53" s="24">
        <v>-22.8</v>
      </c>
    </row>
    <row r="54" spans="1:3" x14ac:dyDescent="0.3">
      <c r="A54" s="26">
        <v>45993</v>
      </c>
      <c r="B54" s="27" t="s">
        <v>4</v>
      </c>
      <c r="C54" s="24">
        <v>-117.62</v>
      </c>
    </row>
    <row r="55" spans="1:3" x14ac:dyDescent="0.3">
      <c r="A55" s="26">
        <v>45993</v>
      </c>
      <c r="B55" s="27" t="s">
        <v>1</v>
      </c>
      <c r="C55" s="24">
        <v>162.01</v>
      </c>
    </row>
    <row r="56" spans="1:3" x14ac:dyDescent="0.3">
      <c r="A56" s="26">
        <v>46000</v>
      </c>
      <c r="B56" s="27" t="s">
        <v>1</v>
      </c>
      <c r="C56" s="24">
        <v>102.14</v>
      </c>
    </row>
    <row r="57" spans="1:3" x14ac:dyDescent="0.3">
      <c r="A57" s="26">
        <v>46001</v>
      </c>
      <c r="B57" s="27" t="s">
        <v>4</v>
      </c>
      <c r="C57" s="24">
        <v>-185.01</v>
      </c>
    </row>
    <row r="58" spans="1:3" x14ac:dyDescent="0.3">
      <c r="A58" s="26">
        <v>46007</v>
      </c>
      <c r="B58" s="27" t="s">
        <v>4</v>
      </c>
      <c r="C58" s="24">
        <v>-101.09</v>
      </c>
    </row>
    <row r="59" spans="1:3" x14ac:dyDescent="0.3">
      <c r="A59" s="26">
        <v>46007</v>
      </c>
      <c r="B59" s="27" t="s">
        <v>1</v>
      </c>
      <c r="C59" s="24">
        <v>55.76</v>
      </c>
    </row>
    <row r="60" spans="1:3" x14ac:dyDescent="0.3">
      <c r="A60" s="26">
        <v>46014</v>
      </c>
      <c r="B60" s="27" t="s">
        <v>4</v>
      </c>
      <c r="C60" s="24">
        <v>-102.14</v>
      </c>
    </row>
    <row r="61" spans="1:3" x14ac:dyDescent="0.3">
      <c r="A61" s="26">
        <v>46027</v>
      </c>
      <c r="B61" s="27" t="s">
        <v>4</v>
      </c>
      <c r="C61" s="24">
        <v>-100.82</v>
      </c>
    </row>
    <row r="62" spans="1:3" x14ac:dyDescent="0.3">
      <c r="A62" s="26">
        <v>46028</v>
      </c>
      <c r="B62" s="27" t="s">
        <v>1</v>
      </c>
      <c r="C62" s="24">
        <v>79.2</v>
      </c>
    </row>
    <row r="63" spans="1:3" x14ac:dyDescent="0.3">
      <c r="A63" s="26">
        <v>46035</v>
      </c>
      <c r="B63" s="27" t="s">
        <v>1</v>
      </c>
      <c r="C63" s="24">
        <v>207.02</v>
      </c>
    </row>
    <row r="64" spans="1:3" x14ac:dyDescent="0.3">
      <c r="A64" s="26">
        <v>46036</v>
      </c>
      <c r="B64" s="27" t="s">
        <v>4</v>
      </c>
      <c r="C64" s="24">
        <v>-87.59</v>
      </c>
    </row>
    <row r="65" spans="1:3" x14ac:dyDescent="0.3">
      <c r="A65" s="26">
        <v>46036</v>
      </c>
      <c r="B65" s="27" t="s">
        <v>4</v>
      </c>
      <c r="C65" s="24">
        <v>-1.61</v>
      </c>
    </row>
    <row r="66" spans="1:3" x14ac:dyDescent="0.3">
      <c r="A66" s="26">
        <v>46042</v>
      </c>
      <c r="B66" s="27" t="s">
        <v>4</v>
      </c>
      <c r="C66" s="24">
        <v>-207.02</v>
      </c>
    </row>
    <row r="67" spans="1:3" x14ac:dyDescent="0.3">
      <c r="A67" s="26">
        <v>46042</v>
      </c>
      <c r="B67" s="27" t="s">
        <v>1</v>
      </c>
      <c r="C67" s="24">
        <v>91.68</v>
      </c>
    </row>
    <row r="68" spans="1:3" x14ac:dyDescent="0.3">
      <c r="A68" s="26">
        <v>46049</v>
      </c>
      <c r="B68" s="27" t="s">
        <v>4</v>
      </c>
      <c r="C68" s="24">
        <v>-91.68</v>
      </c>
    </row>
    <row r="69" spans="1:3" x14ac:dyDescent="0.3">
      <c r="A69" s="26">
        <v>46049</v>
      </c>
      <c r="B69" s="27" t="s">
        <v>1</v>
      </c>
      <c r="C69" s="24">
        <v>27.12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94EC8-610A-4E92-8C05-7B1E77D03FE1}">
  <sheetPr codeName="Hoja165"/>
  <dimension ref="A1:H86"/>
  <sheetViews>
    <sheetView view="pageBreakPreview" zoomScale="80" zoomScaleNormal="100" zoomScaleSheetLayoutView="80" workbookViewId="0">
      <selection activeCell="C42" sqref="C4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302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26.689999999999962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45833</v>
      </c>
      <c r="B5" s="32" t="s">
        <v>21</v>
      </c>
      <c r="C5" s="24">
        <v>25.69</v>
      </c>
      <c r="D5" s="30"/>
      <c r="E5" s="30"/>
      <c r="F5" s="30"/>
      <c r="G5" s="22"/>
    </row>
    <row r="6" spans="1:8" x14ac:dyDescent="0.3">
      <c r="A6" s="21">
        <v>45833</v>
      </c>
      <c r="B6" s="34" t="s">
        <v>1</v>
      </c>
      <c r="C6" s="24">
        <v>41.89</v>
      </c>
    </row>
    <row r="7" spans="1:8" x14ac:dyDescent="0.3">
      <c r="A7" s="21">
        <v>45840</v>
      </c>
      <c r="B7" s="27" t="s">
        <v>4</v>
      </c>
      <c r="C7" s="24">
        <v>-35</v>
      </c>
    </row>
    <row r="8" spans="1:8" x14ac:dyDescent="0.3">
      <c r="A8" s="26">
        <v>45845</v>
      </c>
      <c r="B8" s="27" t="s">
        <v>4</v>
      </c>
      <c r="C8" s="24">
        <v>-32.58</v>
      </c>
    </row>
    <row r="9" spans="1:8" x14ac:dyDescent="0.3">
      <c r="A9" s="26">
        <v>45854</v>
      </c>
      <c r="B9" s="32" t="s">
        <v>21</v>
      </c>
      <c r="C9" s="24">
        <v>25.45</v>
      </c>
    </row>
    <row r="10" spans="1:8" x14ac:dyDescent="0.3">
      <c r="A10" s="26">
        <v>45854</v>
      </c>
      <c r="B10" s="34" t="s">
        <v>1</v>
      </c>
      <c r="C10" s="24">
        <v>54.32</v>
      </c>
    </row>
    <row r="11" spans="1:8" x14ac:dyDescent="0.3">
      <c r="A11" s="26">
        <v>45861</v>
      </c>
      <c r="B11" s="27" t="s">
        <v>4</v>
      </c>
      <c r="C11" s="24">
        <v>-70.77</v>
      </c>
    </row>
    <row r="12" spans="1:8" x14ac:dyDescent="0.3">
      <c r="A12" s="26">
        <v>45861</v>
      </c>
      <c r="B12" s="27" t="s">
        <v>7</v>
      </c>
      <c r="C12" s="24">
        <v>-10</v>
      </c>
    </row>
    <row r="13" spans="1:8" x14ac:dyDescent="0.3">
      <c r="A13" s="26">
        <v>45861</v>
      </c>
      <c r="B13" s="32" t="s">
        <v>21</v>
      </c>
      <c r="C13" s="24">
        <v>29.44</v>
      </c>
    </row>
    <row r="14" spans="1:8" x14ac:dyDescent="0.3">
      <c r="A14" s="26">
        <v>45861</v>
      </c>
      <c r="B14" s="34" t="s">
        <v>1</v>
      </c>
      <c r="C14" s="24">
        <v>59.04</v>
      </c>
    </row>
    <row r="15" spans="1:8" x14ac:dyDescent="0.3">
      <c r="A15" s="26">
        <v>45875</v>
      </c>
      <c r="B15" s="27" t="s">
        <v>4</v>
      </c>
      <c r="C15" s="24">
        <v>-28</v>
      </c>
    </row>
    <row r="16" spans="1:8" x14ac:dyDescent="0.3">
      <c r="A16" s="26">
        <v>45875</v>
      </c>
      <c r="B16" s="27" t="s">
        <v>7</v>
      </c>
      <c r="C16" s="24">
        <v>-30.32</v>
      </c>
    </row>
    <row r="17" spans="1:3" x14ac:dyDescent="0.3">
      <c r="A17" s="26">
        <v>45875</v>
      </c>
      <c r="B17" s="32" t="s">
        <v>21</v>
      </c>
      <c r="C17" s="24">
        <v>18.100000000000001</v>
      </c>
    </row>
    <row r="18" spans="1:3" x14ac:dyDescent="0.3">
      <c r="A18" s="26">
        <v>45875</v>
      </c>
      <c r="B18" s="34" t="s">
        <v>1</v>
      </c>
      <c r="C18" s="24">
        <v>35.340000000000003</v>
      </c>
    </row>
    <row r="19" spans="1:3" x14ac:dyDescent="0.3">
      <c r="A19" s="26">
        <v>45891</v>
      </c>
      <c r="B19" s="27" t="s">
        <v>4</v>
      </c>
      <c r="C19" s="24">
        <v>-19</v>
      </c>
    </row>
    <row r="20" spans="1:3" x14ac:dyDescent="0.3">
      <c r="A20" s="26">
        <v>45895</v>
      </c>
      <c r="B20" s="27" t="s">
        <v>4</v>
      </c>
      <c r="C20" s="24">
        <v>-11.48</v>
      </c>
    </row>
    <row r="21" spans="1:3" x14ac:dyDescent="0.3">
      <c r="A21" s="26">
        <v>45895</v>
      </c>
      <c r="B21" s="27" t="s">
        <v>4</v>
      </c>
      <c r="C21" s="24">
        <v>-16</v>
      </c>
    </row>
    <row r="22" spans="1:3" x14ac:dyDescent="0.3">
      <c r="A22" s="26">
        <v>45896</v>
      </c>
      <c r="B22" s="32" t="s">
        <v>21</v>
      </c>
      <c r="C22" s="24">
        <v>47.29</v>
      </c>
    </row>
    <row r="23" spans="1:3" x14ac:dyDescent="0.3">
      <c r="A23" s="26">
        <v>45896</v>
      </c>
      <c r="B23" s="34" t="s">
        <v>1</v>
      </c>
      <c r="C23" s="24">
        <v>92.48</v>
      </c>
    </row>
    <row r="24" spans="1:3" x14ac:dyDescent="0.3">
      <c r="A24" s="26">
        <v>45903</v>
      </c>
      <c r="B24" s="27" t="s">
        <v>4</v>
      </c>
      <c r="C24" s="24">
        <v>-23.94</v>
      </c>
    </row>
    <row r="25" spans="1:3" x14ac:dyDescent="0.3">
      <c r="A25" s="26">
        <v>45917</v>
      </c>
      <c r="B25" s="27" t="s">
        <v>4</v>
      </c>
      <c r="C25" s="24">
        <v>-13.5</v>
      </c>
    </row>
    <row r="26" spans="1:3" x14ac:dyDescent="0.3">
      <c r="A26" s="26">
        <v>45918</v>
      </c>
      <c r="B26" s="27" t="s">
        <v>4</v>
      </c>
      <c r="C26" s="24">
        <v>-50</v>
      </c>
    </row>
    <row r="27" spans="1:3" x14ac:dyDescent="0.3">
      <c r="A27" s="26">
        <v>45924</v>
      </c>
      <c r="B27" s="32" t="s">
        <v>21</v>
      </c>
      <c r="C27" s="24">
        <v>20.350000000000001</v>
      </c>
    </row>
    <row r="28" spans="1:3" x14ac:dyDescent="0.3">
      <c r="A28" s="26">
        <v>45924</v>
      </c>
      <c r="B28" s="34" t="s">
        <v>1</v>
      </c>
      <c r="C28" s="24">
        <v>18.399999999999999</v>
      </c>
    </row>
    <row r="29" spans="1:3" x14ac:dyDescent="0.3">
      <c r="A29" s="26">
        <v>45938</v>
      </c>
      <c r="B29" s="27" t="s">
        <v>4</v>
      </c>
      <c r="C29" s="24">
        <v>-38.74</v>
      </c>
    </row>
    <row r="30" spans="1:3" x14ac:dyDescent="0.3">
      <c r="A30" s="26">
        <v>45938</v>
      </c>
      <c r="B30" s="32" t="s">
        <v>21</v>
      </c>
      <c r="C30" s="24">
        <v>14.34</v>
      </c>
    </row>
    <row r="31" spans="1:3" x14ac:dyDescent="0.3">
      <c r="A31" s="26">
        <v>45938</v>
      </c>
      <c r="B31" s="34" t="s">
        <v>1</v>
      </c>
      <c r="C31" s="24">
        <v>16.88</v>
      </c>
    </row>
    <row r="32" spans="1:3" x14ac:dyDescent="0.3">
      <c r="A32" s="26">
        <v>45951</v>
      </c>
      <c r="B32" s="27" t="s">
        <v>4</v>
      </c>
      <c r="C32" s="24">
        <v>-50</v>
      </c>
    </row>
    <row r="33" spans="1:3" x14ac:dyDescent="0.3">
      <c r="A33" s="26">
        <v>45959</v>
      </c>
      <c r="B33" s="32" t="s">
        <v>21</v>
      </c>
      <c r="C33" s="24">
        <v>36.22</v>
      </c>
    </row>
    <row r="34" spans="1:3" x14ac:dyDescent="0.3">
      <c r="A34" s="26">
        <v>45959</v>
      </c>
      <c r="B34" s="34" t="s">
        <v>1</v>
      </c>
      <c r="C34" s="24">
        <v>5.08</v>
      </c>
    </row>
    <row r="35" spans="1:3" x14ac:dyDescent="0.3">
      <c r="A35" s="26">
        <v>45961</v>
      </c>
      <c r="B35" s="27" t="s">
        <v>7</v>
      </c>
      <c r="C35" s="24">
        <v>-31.22</v>
      </c>
    </row>
    <row r="36" spans="1:3" x14ac:dyDescent="0.3">
      <c r="A36" s="26">
        <v>45974</v>
      </c>
      <c r="B36" s="27" t="s">
        <v>4</v>
      </c>
      <c r="C36" s="24">
        <v>-31.22</v>
      </c>
    </row>
    <row r="37" spans="1:3" x14ac:dyDescent="0.3">
      <c r="A37" s="26">
        <v>45987</v>
      </c>
      <c r="B37" s="27" t="s">
        <v>4</v>
      </c>
      <c r="C37" s="24">
        <v>-41.38</v>
      </c>
    </row>
    <row r="38" spans="1:3" x14ac:dyDescent="0.3">
      <c r="A38" s="26">
        <v>45994</v>
      </c>
      <c r="B38" s="27" t="s">
        <v>1</v>
      </c>
      <c r="C38" s="24">
        <v>75.180000000000007</v>
      </c>
    </row>
    <row r="39" spans="1:3" x14ac:dyDescent="0.3">
      <c r="A39" s="26">
        <v>46007</v>
      </c>
      <c r="B39" s="27" t="s">
        <v>4</v>
      </c>
      <c r="C39" s="24">
        <v>-75.180000000000007</v>
      </c>
    </row>
    <row r="40" spans="1:3" x14ac:dyDescent="0.3">
      <c r="A40" s="26">
        <v>46043</v>
      </c>
      <c r="B40" s="27" t="s">
        <v>1</v>
      </c>
      <c r="C40" s="24">
        <v>60.04</v>
      </c>
    </row>
    <row r="41" spans="1:3" x14ac:dyDescent="0.3">
      <c r="A41" s="26">
        <v>46056</v>
      </c>
      <c r="B41" s="27" t="s">
        <v>4</v>
      </c>
      <c r="C41" s="24">
        <v>-40.51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84DDC-529D-4AC7-AB0F-120004BA669E}">
  <sheetPr codeName="Hoja74"/>
  <dimension ref="A1:H71"/>
  <sheetViews>
    <sheetView view="pageBreakPreview" topLeftCell="A45" zoomScale="80" zoomScaleNormal="100" zoomScaleSheetLayoutView="80" workbookViewId="0">
      <selection activeCell="C72" sqref="C7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116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800.88000000000011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45815</v>
      </c>
      <c r="B5" s="32" t="s">
        <v>21</v>
      </c>
      <c r="C5" s="24">
        <v>400.45</v>
      </c>
      <c r="D5" s="30"/>
      <c r="E5" s="30"/>
      <c r="F5" s="30"/>
      <c r="G5" s="22"/>
    </row>
    <row r="6" spans="1:8" hidden="1" x14ac:dyDescent="0.3">
      <c r="A6" s="21">
        <v>45824</v>
      </c>
      <c r="B6" s="31" t="s">
        <v>4</v>
      </c>
      <c r="C6" s="24">
        <v>-400.44</v>
      </c>
    </row>
    <row r="7" spans="1:8" hidden="1" x14ac:dyDescent="0.3">
      <c r="A7" s="26">
        <v>45821</v>
      </c>
      <c r="B7" s="32" t="s">
        <v>21</v>
      </c>
      <c r="C7" s="24">
        <v>509.3</v>
      </c>
    </row>
    <row r="8" spans="1:8" hidden="1" x14ac:dyDescent="0.3">
      <c r="A8" s="26">
        <v>45825</v>
      </c>
      <c r="B8" s="27" t="s">
        <v>4</v>
      </c>
      <c r="C8" s="24">
        <v>-509.3</v>
      </c>
    </row>
    <row r="9" spans="1:8" hidden="1" x14ac:dyDescent="0.3">
      <c r="A9" s="26">
        <v>45827</v>
      </c>
      <c r="B9" s="32" t="s">
        <v>21</v>
      </c>
      <c r="C9" s="24">
        <v>210</v>
      </c>
    </row>
    <row r="10" spans="1:8" hidden="1" x14ac:dyDescent="0.3">
      <c r="A10" s="26">
        <v>45834</v>
      </c>
      <c r="B10" s="32" t="s">
        <v>21</v>
      </c>
      <c r="C10" s="24">
        <v>231.3</v>
      </c>
    </row>
    <row r="11" spans="1:8" hidden="1" x14ac:dyDescent="0.3">
      <c r="A11" s="26">
        <v>45838</v>
      </c>
      <c r="B11" s="27" t="s">
        <v>4</v>
      </c>
      <c r="C11" s="24">
        <v>-231.3</v>
      </c>
    </row>
    <row r="12" spans="1:8" hidden="1" x14ac:dyDescent="0.3">
      <c r="A12" s="26">
        <v>45841</v>
      </c>
      <c r="B12" s="32" t="s">
        <v>21</v>
      </c>
      <c r="C12" s="24">
        <v>279</v>
      </c>
    </row>
    <row r="13" spans="1:8" hidden="1" x14ac:dyDescent="0.3">
      <c r="A13" s="26">
        <v>45842</v>
      </c>
      <c r="B13" s="27" t="s">
        <v>4</v>
      </c>
      <c r="C13" s="24">
        <v>-251.1</v>
      </c>
    </row>
    <row r="14" spans="1:8" hidden="1" x14ac:dyDescent="0.3">
      <c r="A14" s="26">
        <v>45842</v>
      </c>
      <c r="B14" s="27" t="s">
        <v>4</v>
      </c>
      <c r="C14" s="24">
        <v>-27.9</v>
      </c>
    </row>
    <row r="15" spans="1:8" hidden="1" x14ac:dyDescent="0.3">
      <c r="A15" s="26">
        <v>45846</v>
      </c>
      <c r="B15" s="32" t="s">
        <v>21</v>
      </c>
      <c r="C15" s="24">
        <v>442.2</v>
      </c>
    </row>
    <row r="16" spans="1:8" hidden="1" x14ac:dyDescent="0.3">
      <c r="A16" s="26">
        <v>45847</v>
      </c>
      <c r="B16" s="27" t="s">
        <v>4</v>
      </c>
      <c r="C16" s="24">
        <v>-442.2</v>
      </c>
    </row>
    <row r="17" spans="1:5" hidden="1" x14ac:dyDescent="0.3">
      <c r="A17" s="26">
        <v>45855</v>
      </c>
      <c r="B17" s="32" t="s">
        <v>21</v>
      </c>
      <c r="C17" s="24">
        <v>583.85</v>
      </c>
    </row>
    <row r="18" spans="1:5" hidden="1" x14ac:dyDescent="0.3">
      <c r="A18" s="26">
        <v>45859</v>
      </c>
      <c r="B18" s="27" t="s">
        <v>4</v>
      </c>
      <c r="C18" s="24">
        <v>-359.6</v>
      </c>
    </row>
    <row r="19" spans="1:5" hidden="1" x14ac:dyDescent="0.3">
      <c r="A19" s="26">
        <v>45862</v>
      </c>
      <c r="B19" s="27" t="s">
        <v>4</v>
      </c>
      <c r="C19" s="24">
        <v>-229.19</v>
      </c>
    </row>
    <row r="20" spans="1:5" hidden="1" x14ac:dyDescent="0.3">
      <c r="A20" s="26">
        <v>45862</v>
      </c>
      <c r="B20" s="27" t="s">
        <v>4</v>
      </c>
      <c r="C20" s="24">
        <v>-224.25</v>
      </c>
    </row>
    <row r="21" spans="1:5" hidden="1" x14ac:dyDescent="0.3">
      <c r="A21" s="26">
        <v>45863</v>
      </c>
      <c r="B21" s="32" t="s">
        <v>21</v>
      </c>
      <c r="C21" s="24">
        <v>19.2</v>
      </c>
    </row>
    <row r="22" spans="1:5" x14ac:dyDescent="0.3">
      <c r="A22" s="26">
        <v>45862</v>
      </c>
      <c r="B22" s="32" t="s">
        <v>21</v>
      </c>
      <c r="C22" s="24">
        <v>290.7</v>
      </c>
      <c r="E22" s="25">
        <v>2</v>
      </c>
    </row>
    <row r="23" spans="1:5" x14ac:dyDescent="0.3">
      <c r="A23" s="26">
        <v>45868</v>
      </c>
      <c r="B23" s="27" t="s">
        <v>4</v>
      </c>
      <c r="C23" s="24">
        <v>-288.26</v>
      </c>
    </row>
    <row r="24" spans="1:5" x14ac:dyDescent="0.3">
      <c r="A24" s="26">
        <v>45869</v>
      </c>
      <c r="B24" s="32" t="s">
        <v>21</v>
      </c>
      <c r="C24" s="24">
        <v>254.7</v>
      </c>
      <c r="E24" s="25">
        <v>1</v>
      </c>
    </row>
    <row r="25" spans="1:5" x14ac:dyDescent="0.3">
      <c r="A25" s="26">
        <v>45873</v>
      </c>
      <c r="B25" s="27" t="s">
        <v>4</v>
      </c>
      <c r="C25" s="24">
        <v>-254.9</v>
      </c>
    </row>
    <row r="26" spans="1:5" x14ac:dyDescent="0.3">
      <c r="A26" s="26">
        <v>45876</v>
      </c>
      <c r="B26" s="32" t="s">
        <v>21</v>
      </c>
      <c r="C26" s="24">
        <v>410.6</v>
      </c>
      <c r="E26" s="25">
        <v>-3</v>
      </c>
    </row>
    <row r="27" spans="1:5" x14ac:dyDescent="0.3">
      <c r="A27" s="26">
        <v>45883</v>
      </c>
      <c r="B27" s="27" t="s">
        <v>4</v>
      </c>
      <c r="C27" s="24">
        <v>-415.12</v>
      </c>
    </row>
    <row r="28" spans="1:5" x14ac:dyDescent="0.3">
      <c r="A28" s="26">
        <v>45883</v>
      </c>
      <c r="B28" s="32" t="s">
        <v>21</v>
      </c>
      <c r="C28" s="24">
        <v>372.5</v>
      </c>
    </row>
    <row r="29" spans="1:5" x14ac:dyDescent="0.3">
      <c r="A29" s="26">
        <v>45887</v>
      </c>
      <c r="B29" s="27" t="s">
        <v>4</v>
      </c>
      <c r="C29" s="24">
        <v>-372.49</v>
      </c>
    </row>
    <row r="30" spans="1:5" x14ac:dyDescent="0.3">
      <c r="A30" s="26">
        <v>45891</v>
      </c>
      <c r="B30" s="32" t="s">
        <v>21</v>
      </c>
      <c r="C30" s="24">
        <v>327.8</v>
      </c>
    </row>
    <row r="31" spans="1:5" x14ac:dyDescent="0.3">
      <c r="A31" s="26">
        <v>45897</v>
      </c>
      <c r="B31" s="32" t="s">
        <v>21</v>
      </c>
      <c r="C31" s="24">
        <v>458.95</v>
      </c>
    </row>
    <row r="32" spans="1:5" x14ac:dyDescent="0.3">
      <c r="A32" s="26">
        <v>45905</v>
      </c>
      <c r="B32" s="27" t="s">
        <v>4</v>
      </c>
      <c r="C32" s="24">
        <v>-327.8</v>
      </c>
    </row>
    <row r="33" spans="1:3" x14ac:dyDescent="0.3">
      <c r="A33" s="26">
        <v>45904</v>
      </c>
      <c r="B33" s="32" t="s">
        <v>21</v>
      </c>
      <c r="C33" s="24">
        <v>361.7</v>
      </c>
    </row>
    <row r="34" spans="1:3" x14ac:dyDescent="0.3">
      <c r="A34" s="26">
        <v>45905</v>
      </c>
      <c r="B34" s="27" t="s">
        <v>4</v>
      </c>
      <c r="C34" s="24">
        <v>-458.95</v>
      </c>
    </row>
    <row r="35" spans="1:3" x14ac:dyDescent="0.3">
      <c r="A35" s="26">
        <v>45908</v>
      </c>
      <c r="B35" s="27" t="s">
        <v>4</v>
      </c>
      <c r="C35" s="24">
        <v>-341.7</v>
      </c>
    </row>
    <row r="36" spans="1:3" x14ac:dyDescent="0.3">
      <c r="A36" s="26">
        <v>45911</v>
      </c>
      <c r="B36" s="32" t="s">
        <v>21</v>
      </c>
      <c r="C36" s="24">
        <v>141.6</v>
      </c>
    </row>
    <row r="37" spans="1:3" x14ac:dyDescent="0.3">
      <c r="A37" s="26">
        <v>45915</v>
      </c>
      <c r="B37" s="27" t="s">
        <v>4</v>
      </c>
      <c r="C37" s="24">
        <v>-141.6</v>
      </c>
    </row>
    <row r="38" spans="1:3" x14ac:dyDescent="0.3">
      <c r="A38" s="26">
        <v>45918</v>
      </c>
      <c r="B38" s="32" t="s">
        <v>21</v>
      </c>
      <c r="C38" s="24">
        <v>141.6</v>
      </c>
    </row>
    <row r="39" spans="1:3" x14ac:dyDescent="0.3">
      <c r="A39" s="26">
        <v>45922</v>
      </c>
      <c r="B39" s="27" t="s">
        <v>4</v>
      </c>
      <c r="C39" s="24">
        <v>-141.6</v>
      </c>
    </row>
    <row r="40" spans="1:3" x14ac:dyDescent="0.3">
      <c r="A40" s="26">
        <v>45925</v>
      </c>
      <c r="B40" s="32" t="s">
        <v>21</v>
      </c>
      <c r="C40" s="24">
        <v>211.75</v>
      </c>
    </row>
    <row r="41" spans="1:3" x14ac:dyDescent="0.3">
      <c r="A41" s="26">
        <v>45929</v>
      </c>
      <c r="B41" s="27" t="s">
        <v>4</v>
      </c>
      <c r="C41" s="24">
        <v>-211.75</v>
      </c>
    </row>
    <row r="42" spans="1:3" x14ac:dyDescent="0.3">
      <c r="A42" s="26">
        <v>45932</v>
      </c>
      <c r="B42" s="32" t="s">
        <v>21</v>
      </c>
      <c r="C42" s="24">
        <v>417.2</v>
      </c>
    </row>
    <row r="43" spans="1:3" x14ac:dyDescent="0.3">
      <c r="A43" s="26">
        <v>45933</v>
      </c>
      <c r="B43" s="27" t="s">
        <v>4</v>
      </c>
      <c r="C43" s="24">
        <v>-430.5</v>
      </c>
    </row>
    <row r="44" spans="1:3" x14ac:dyDescent="0.3">
      <c r="A44" s="26">
        <v>45939</v>
      </c>
      <c r="B44" s="32" t="s">
        <v>21</v>
      </c>
      <c r="C44" s="24">
        <v>328.1</v>
      </c>
    </row>
    <row r="45" spans="1:3" x14ac:dyDescent="0.3">
      <c r="A45" s="26">
        <v>45942</v>
      </c>
      <c r="B45" s="27" t="s">
        <v>4</v>
      </c>
      <c r="C45" s="24">
        <v>-328.1</v>
      </c>
    </row>
    <row r="46" spans="1:3" x14ac:dyDescent="0.3">
      <c r="A46" s="26">
        <v>45947</v>
      </c>
      <c r="B46" s="32" t="s">
        <v>21</v>
      </c>
      <c r="C46" s="24">
        <v>233.9</v>
      </c>
    </row>
    <row r="47" spans="1:3" x14ac:dyDescent="0.3">
      <c r="A47" s="26">
        <v>45950</v>
      </c>
      <c r="B47" s="27" t="s">
        <v>4</v>
      </c>
      <c r="C47" s="24">
        <v>-233.9</v>
      </c>
    </row>
    <row r="48" spans="1:3" x14ac:dyDescent="0.3">
      <c r="A48" s="26">
        <v>45953</v>
      </c>
      <c r="B48" s="32" t="s">
        <v>21</v>
      </c>
      <c r="C48" s="24">
        <v>253.1</v>
      </c>
    </row>
    <row r="49" spans="1:3" x14ac:dyDescent="0.3">
      <c r="A49" s="26">
        <v>45960</v>
      </c>
      <c r="B49" s="32" t="s">
        <v>21</v>
      </c>
      <c r="C49" s="24">
        <v>356.9</v>
      </c>
    </row>
    <row r="50" spans="1:3" x14ac:dyDescent="0.3">
      <c r="A50" s="26">
        <v>45964</v>
      </c>
      <c r="B50" s="27" t="s">
        <v>4</v>
      </c>
      <c r="C50" s="24">
        <v>-253.07</v>
      </c>
    </row>
    <row r="51" spans="1:3" x14ac:dyDescent="0.3">
      <c r="A51" s="26">
        <v>45964</v>
      </c>
      <c r="B51" s="27" t="s">
        <v>4</v>
      </c>
      <c r="C51" s="24">
        <v>-357.3</v>
      </c>
    </row>
    <row r="52" spans="1:3" x14ac:dyDescent="0.3">
      <c r="A52" s="26">
        <v>45974</v>
      </c>
      <c r="B52" s="27" t="s">
        <v>1</v>
      </c>
      <c r="C52" s="24">
        <v>175</v>
      </c>
    </row>
    <row r="53" spans="1:3" x14ac:dyDescent="0.3">
      <c r="A53" s="26">
        <v>45976</v>
      </c>
      <c r="B53" s="27" t="s">
        <v>4</v>
      </c>
      <c r="C53" s="24">
        <v>-175</v>
      </c>
    </row>
    <row r="54" spans="1:3" x14ac:dyDescent="0.3">
      <c r="A54" s="26">
        <v>45982</v>
      </c>
      <c r="B54" s="27" t="s">
        <v>1</v>
      </c>
      <c r="C54" s="24">
        <v>291.5</v>
      </c>
    </row>
    <row r="55" spans="1:3" x14ac:dyDescent="0.3">
      <c r="A55" s="26">
        <v>45988</v>
      </c>
      <c r="B55" s="27" t="s">
        <v>1</v>
      </c>
      <c r="C55" s="24">
        <v>218.8</v>
      </c>
    </row>
    <row r="56" spans="1:3" x14ac:dyDescent="0.3">
      <c r="A56" s="26">
        <v>45992</v>
      </c>
      <c r="B56" s="27" t="s">
        <v>4</v>
      </c>
      <c r="C56" s="24">
        <v>-291.5</v>
      </c>
    </row>
    <row r="57" spans="1:3" x14ac:dyDescent="0.3">
      <c r="A57" s="26">
        <v>45993</v>
      </c>
      <c r="B57" s="27" t="s">
        <v>4</v>
      </c>
      <c r="C57" s="24">
        <v>-218.8</v>
      </c>
    </row>
    <row r="58" spans="1:3" x14ac:dyDescent="0.3">
      <c r="A58" s="26">
        <v>45995</v>
      </c>
      <c r="B58" s="27" t="s">
        <v>1</v>
      </c>
      <c r="C58" s="24">
        <v>233.2</v>
      </c>
    </row>
    <row r="59" spans="1:3" x14ac:dyDescent="0.3">
      <c r="A59" s="26">
        <v>45998</v>
      </c>
      <c r="B59" s="27" t="s">
        <v>4</v>
      </c>
      <c r="C59" s="24">
        <v>-237.28</v>
      </c>
    </row>
    <row r="60" spans="1:3" x14ac:dyDescent="0.3">
      <c r="A60" s="26">
        <v>46002</v>
      </c>
      <c r="B60" s="27" t="s">
        <v>1</v>
      </c>
      <c r="C60" s="24">
        <v>106</v>
      </c>
    </row>
    <row r="61" spans="1:3" x14ac:dyDescent="0.3">
      <c r="A61" s="26">
        <v>46007</v>
      </c>
      <c r="B61" s="27" t="s">
        <v>4</v>
      </c>
      <c r="C61" s="24">
        <v>-106</v>
      </c>
    </row>
    <row r="62" spans="1:3" x14ac:dyDescent="0.3">
      <c r="A62" s="26">
        <v>46009</v>
      </c>
      <c r="B62" s="27" t="s">
        <v>1</v>
      </c>
      <c r="C62" s="24">
        <v>292.10000000000002</v>
      </c>
    </row>
    <row r="63" spans="1:3" x14ac:dyDescent="0.3">
      <c r="A63" s="26">
        <v>46013</v>
      </c>
      <c r="B63" s="27" t="s">
        <v>4</v>
      </c>
      <c r="C63" s="24">
        <v>-292.10000000000002</v>
      </c>
    </row>
    <row r="64" spans="1:3" x14ac:dyDescent="0.3">
      <c r="A64" s="26">
        <v>46017</v>
      </c>
      <c r="B64" s="27" t="s">
        <v>1</v>
      </c>
      <c r="C64" s="24">
        <v>105.7</v>
      </c>
    </row>
    <row r="65" spans="1:3" x14ac:dyDescent="0.3">
      <c r="A65" s="26">
        <v>46021</v>
      </c>
      <c r="B65" s="27" t="s">
        <v>4</v>
      </c>
      <c r="C65" s="24">
        <v>-105.7</v>
      </c>
    </row>
    <row r="66" spans="1:3" x14ac:dyDescent="0.3">
      <c r="A66" s="26">
        <v>46030</v>
      </c>
      <c r="B66" s="27" t="s">
        <v>1</v>
      </c>
      <c r="C66" s="24">
        <v>534.04</v>
      </c>
    </row>
    <row r="67" spans="1:3" x14ac:dyDescent="0.3">
      <c r="A67" s="26">
        <v>46032</v>
      </c>
      <c r="B67" s="27" t="s">
        <v>4</v>
      </c>
      <c r="C67" s="24">
        <v>-534.04</v>
      </c>
    </row>
    <row r="68" spans="1:3" x14ac:dyDescent="0.3">
      <c r="A68" s="26">
        <v>46037</v>
      </c>
      <c r="B68" s="27" t="s">
        <v>1</v>
      </c>
      <c r="C68" s="24">
        <v>201.73</v>
      </c>
    </row>
    <row r="69" spans="1:3" x14ac:dyDescent="0.3">
      <c r="A69" s="26">
        <v>46044</v>
      </c>
      <c r="B69" s="27" t="s">
        <v>1</v>
      </c>
      <c r="C69" s="24">
        <v>307.61</v>
      </c>
    </row>
    <row r="70" spans="1:3" x14ac:dyDescent="0.3">
      <c r="A70" s="26">
        <v>46048</v>
      </c>
      <c r="B70" s="27" t="s">
        <v>4</v>
      </c>
      <c r="C70" s="24">
        <v>-201.73</v>
      </c>
    </row>
    <row r="71" spans="1:3" x14ac:dyDescent="0.3">
      <c r="A71" s="26">
        <v>46051</v>
      </c>
      <c r="B71" s="27" t="s">
        <v>1</v>
      </c>
      <c r="C71" s="24">
        <v>493.27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151AB-A387-4433-B340-7F60644DAEB4}">
  <dimension ref="A1:H44"/>
  <sheetViews>
    <sheetView view="pageBreakPreview" zoomScale="80" zoomScaleNormal="100" zoomScaleSheetLayoutView="80" workbookViewId="0">
      <selection sqref="A1:H4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477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D5" s="30"/>
      <c r="E5" s="30"/>
      <c r="F5" s="30"/>
      <c r="G5" s="22"/>
    </row>
    <row r="7" spans="1:8" x14ac:dyDescent="0.3">
      <c r="B7" s="32"/>
    </row>
    <row r="9" spans="1:8" x14ac:dyDescent="0.3">
      <c r="B9" s="32"/>
    </row>
    <row r="10" spans="1:8" x14ac:dyDescent="0.3">
      <c r="B10" s="32"/>
    </row>
    <row r="12" spans="1:8" x14ac:dyDescent="0.3">
      <c r="B12" s="32"/>
    </row>
    <row r="15" spans="1:8" x14ac:dyDescent="0.3">
      <c r="B15" s="32"/>
    </row>
    <row r="17" spans="2:2" x14ac:dyDescent="0.3">
      <c r="B17" s="32"/>
    </row>
    <row r="21" spans="2:2" x14ac:dyDescent="0.3">
      <c r="B21" s="32"/>
    </row>
    <row r="22" spans="2:2" x14ac:dyDescent="0.3">
      <c r="B22" s="32"/>
    </row>
    <row r="24" spans="2:2" x14ac:dyDescent="0.3">
      <c r="B24" s="32"/>
    </row>
    <row r="26" spans="2:2" x14ac:dyDescent="0.3">
      <c r="B26" s="32"/>
    </row>
    <row r="28" spans="2:2" x14ac:dyDescent="0.3">
      <c r="B28" s="32"/>
    </row>
    <row r="30" spans="2:2" x14ac:dyDescent="0.3">
      <c r="B30" s="32"/>
    </row>
    <row r="31" spans="2:2" x14ac:dyDescent="0.3">
      <c r="B31" s="32"/>
    </row>
    <row r="33" spans="2:2" x14ac:dyDescent="0.3">
      <c r="B33" s="32"/>
    </row>
    <row r="36" spans="2:2" x14ac:dyDescent="0.3">
      <c r="B36" s="32"/>
    </row>
    <row r="38" spans="2:2" x14ac:dyDescent="0.3">
      <c r="B38" s="32"/>
    </row>
    <row r="40" spans="2:2" x14ac:dyDescent="0.3">
      <c r="B40" s="32"/>
    </row>
    <row r="42" spans="2:2" x14ac:dyDescent="0.3">
      <c r="B42" s="32"/>
    </row>
    <row r="44" spans="2:2" x14ac:dyDescent="0.3">
      <c r="B44" s="32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860C-4F67-481E-BEAF-755226C37A1B}">
  <sheetPr codeName="Hoja75"/>
  <dimension ref="A1:I128"/>
  <sheetViews>
    <sheetView view="pageBreakPreview" zoomScale="80" zoomScaleNormal="100" zoomScaleSheetLayoutView="80" workbookViewId="0">
      <selection activeCell="C129" sqref="C12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42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509.99000000000018</v>
      </c>
      <c r="D3" s="20">
        <f>SUM(D$4:D$1048576)</f>
        <v>0</v>
      </c>
      <c r="E3" s="20">
        <f>SUM(E$5:E$1048576)</f>
        <v>0</v>
      </c>
      <c r="F3" s="20">
        <f>SUM(F$5:F$1048576)</f>
        <v>-1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45814</v>
      </c>
      <c r="B5" s="28" t="s">
        <v>4</v>
      </c>
      <c r="C5" s="24">
        <v>-209.29</v>
      </c>
      <c r="D5" s="30"/>
      <c r="E5" s="30"/>
      <c r="F5" s="30"/>
      <c r="G5" s="22"/>
    </row>
    <row r="6" spans="1:9" hidden="1" x14ac:dyDescent="0.3">
      <c r="A6" s="26">
        <v>45813</v>
      </c>
      <c r="B6" s="32" t="s">
        <v>21</v>
      </c>
      <c r="C6" s="24">
        <v>48.89</v>
      </c>
    </row>
    <row r="7" spans="1:9" hidden="1" x14ac:dyDescent="0.3">
      <c r="A7" s="26">
        <v>45813</v>
      </c>
      <c r="B7" s="34" t="s">
        <v>21</v>
      </c>
      <c r="C7" s="24">
        <v>160.4</v>
      </c>
    </row>
    <row r="8" spans="1:9" hidden="1" x14ac:dyDescent="0.3">
      <c r="A8" s="26">
        <v>45819</v>
      </c>
      <c r="B8" s="27" t="s">
        <v>4</v>
      </c>
      <c r="C8" s="24">
        <v>-253.26</v>
      </c>
    </row>
    <row r="9" spans="1:9" hidden="1" x14ac:dyDescent="0.3">
      <c r="A9" s="26">
        <v>45819</v>
      </c>
      <c r="B9" s="32" t="s">
        <v>21</v>
      </c>
      <c r="C9" s="24">
        <v>91.06</v>
      </c>
      <c r="I9" s="25"/>
    </row>
    <row r="10" spans="1:9" hidden="1" x14ac:dyDescent="0.3">
      <c r="A10" s="26">
        <v>45819</v>
      </c>
      <c r="B10" s="34" t="s">
        <v>21</v>
      </c>
      <c r="C10" s="24">
        <v>98.08</v>
      </c>
    </row>
    <row r="11" spans="1:9" hidden="1" x14ac:dyDescent="0.3">
      <c r="A11" s="26">
        <v>45819</v>
      </c>
      <c r="B11" s="46" t="s">
        <v>21</v>
      </c>
      <c r="C11" s="24">
        <v>17.920000000000002</v>
      </c>
    </row>
    <row r="12" spans="1:9" hidden="1" x14ac:dyDescent="0.3">
      <c r="A12" s="26">
        <v>45819</v>
      </c>
      <c r="B12" s="31" t="s">
        <v>1</v>
      </c>
      <c r="C12" s="24">
        <v>46.2</v>
      </c>
    </row>
    <row r="13" spans="1:9" hidden="1" x14ac:dyDescent="0.3">
      <c r="A13" s="26">
        <v>45825</v>
      </c>
      <c r="B13" s="32" t="s">
        <v>21</v>
      </c>
      <c r="C13" s="24">
        <v>51.53</v>
      </c>
    </row>
    <row r="14" spans="1:9" hidden="1" x14ac:dyDescent="0.3">
      <c r="A14" s="26">
        <v>45825</v>
      </c>
      <c r="B14" s="34" t="s">
        <v>21</v>
      </c>
      <c r="C14" s="24">
        <v>194.58</v>
      </c>
    </row>
    <row r="15" spans="1:9" hidden="1" x14ac:dyDescent="0.3">
      <c r="A15" s="26">
        <v>45825</v>
      </c>
      <c r="B15" s="46" t="s">
        <v>21</v>
      </c>
      <c r="C15" s="24">
        <v>9.82</v>
      </c>
    </row>
    <row r="16" spans="1:9" hidden="1" x14ac:dyDescent="0.3">
      <c r="A16" s="26">
        <v>45826</v>
      </c>
      <c r="B16" s="27" t="s">
        <v>1</v>
      </c>
      <c r="C16" s="24">
        <v>60.46</v>
      </c>
    </row>
    <row r="17" spans="1:3" hidden="1" x14ac:dyDescent="0.3">
      <c r="A17" s="26">
        <v>45827</v>
      </c>
      <c r="B17" s="27" t="s">
        <v>4</v>
      </c>
      <c r="C17" s="24">
        <v>-255.93</v>
      </c>
    </row>
    <row r="18" spans="1:3" hidden="1" x14ac:dyDescent="0.3">
      <c r="A18" s="26">
        <v>45827</v>
      </c>
      <c r="B18" s="27" t="s">
        <v>4</v>
      </c>
      <c r="C18" s="24">
        <v>-60.46</v>
      </c>
    </row>
    <row r="19" spans="1:3" hidden="1" x14ac:dyDescent="0.3">
      <c r="A19" s="26">
        <v>45832</v>
      </c>
      <c r="B19" s="27" t="s">
        <v>4</v>
      </c>
      <c r="C19" s="24">
        <v>-181.31</v>
      </c>
    </row>
    <row r="20" spans="1:3" hidden="1" x14ac:dyDescent="0.3">
      <c r="A20" s="26">
        <v>45832</v>
      </c>
      <c r="B20" s="32" t="s">
        <v>21</v>
      </c>
      <c r="C20" s="24">
        <v>23.35</v>
      </c>
    </row>
    <row r="21" spans="1:3" hidden="1" x14ac:dyDescent="0.3">
      <c r="A21" s="26">
        <v>45832</v>
      </c>
      <c r="B21" s="34" t="s">
        <v>21</v>
      </c>
      <c r="C21" s="24">
        <v>144.97</v>
      </c>
    </row>
    <row r="22" spans="1:3" hidden="1" x14ac:dyDescent="0.3">
      <c r="A22" s="26">
        <v>45832</v>
      </c>
      <c r="B22" s="46" t="s">
        <v>21</v>
      </c>
      <c r="C22" s="24">
        <v>12.99</v>
      </c>
    </row>
    <row r="23" spans="1:3" hidden="1" x14ac:dyDescent="0.3">
      <c r="A23" s="26">
        <v>45846</v>
      </c>
      <c r="B23" s="27" t="s">
        <v>4</v>
      </c>
      <c r="C23" s="24">
        <v>-232.17</v>
      </c>
    </row>
    <row r="24" spans="1:3" hidden="1" x14ac:dyDescent="0.3">
      <c r="A24" s="26">
        <v>45846</v>
      </c>
      <c r="B24" s="32" t="s">
        <v>21</v>
      </c>
      <c r="C24" s="24">
        <v>58.84</v>
      </c>
    </row>
    <row r="25" spans="1:3" hidden="1" x14ac:dyDescent="0.3">
      <c r="A25" s="26">
        <v>45846</v>
      </c>
      <c r="B25" s="34" t="s">
        <v>21</v>
      </c>
      <c r="C25" s="24">
        <v>56.08</v>
      </c>
    </row>
    <row r="26" spans="1:3" hidden="1" x14ac:dyDescent="0.3">
      <c r="A26" s="26">
        <v>45846</v>
      </c>
      <c r="B26" s="46" t="s">
        <v>21</v>
      </c>
      <c r="C26" s="24">
        <v>9</v>
      </c>
    </row>
    <row r="27" spans="1:3" hidden="1" x14ac:dyDescent="0.3">
      <c r="A27" s="26">
        <v>45846</v>
      </c>
      <c r="B27" s="27" t="s">
        <v>1</v>
      </c>
      <c r="C27" s="24">
        <v>107.36</v>
      </c>
    </row>
    <row r="28" spans="1:3" hidden="1" x14ac:dyDescent="0.3">
      <c r="A28" s="26">
        <v>45853</v>
      </c>
      <c r="B28" s="32" t="s">
        <v>21</v>
      </c>
      <c r="C28" s="24">
        <v>93.44</v>
      </c>
    </row>
    <row r="29" spans="1:3" hidden="1" x14ac:dyDescent="0.3">
      <c r="A29" s="26">
        <v>45853</v>
      </c>
      <c r="B29" s="34" t="s">
        <v>21</v>
      </c>
      <c r="C29" s="24">
        <v>110.88</v>
      </c>
    </row>
    <row r="30" spans="1:3" hidden="1" x14ac:dyDescent="0.3">
      <c r="A30" s="26">
        <v>45853</v>
      </c>
      <c r="B30" s="46" t="s">
        <v>21</v>
      </c>
      <c r="C30" s="24">
        <v>20.51</v>
      </c>
    </row>
    <row r="31" spans="1:3" hidden="1" x14ac:dyDescent="0.3">
      <c r="A31" s="26">
        <v>45855</v>
      </c>
      <c r="B31" s="27" t="s">
        <v>4</v>
      </c>
      <c r="C31" s="24">
        <v>-224.74</v>
      </c>
    </row>
    <row r="32" spans="1:3" hidden="1" x14ac:dyDescent="0.3">
      <c r="A32" s="26">
        <v>45860</v>
      </c>
      <c r="B32" s="27" t="s">
        <v>4</v>
      </c>
      <c r="C32" s="24">
        <v>-137.55000000000001</v>
      </c>
    </row>
    <row r="33" spans="1:3" hidden="1" x14ac:dyDescent="0.3">
      <c r="A33" s="26">
        <v>45860</v>
      </c>
      <c r="B33" s="32" t="s">
        <v>21</v>
      </c>
      <c r="C33" s="24">
        <v>64.39</v>
      </c>
    </row>
    <row r="34" spans="1:3" hidden="1" x14ac:dyDescent="0.3">
      <c r="A34" s="26">
        <v>45860</v>
      </c>
      <c r="B34" s="34" t="s">
        <v>21</v>
      </c>
      <c r="C34" s="24">
        <v>74.05</v>
      </c>
    </row>
    <row r="35" spans="1:3" hidden="1" x14ac:dyDescent="0.3">
      <c r="A35" s="26">
        <v>45867</v>
      </c>
      <c r="B35" s="27" t="s">
        <v>4</v>
      </c>
      <c r="C35" s="24">
        <v>-217.5</v>
      </c>
    </row>
    <row r="36" spans="1:3" hidden="1" x14ac:dyDescent="0.3">
      <c r="A36" s="26">
        <v>45867</v>
      </c>
      <c r="B36" s="32" t="s">
        <v>21</v>
      </c>
      <c r="C36" s="24">
        <v>30.84</v>
      </c>
    </row>
    <row r="37" spans="1:3" hidden="1" x14ac:dyDescent="0.3">
      <c r="A37" s="26">
        <v>45867</v>
      </c>
      <c r="B37" s="34" t="s">
        <v>21</v>
      </c>
      <c r="C37" s="24">
        <v>172.19</v>
      </c>
    </row>
    <row r="38" spans="1:3" hidden="1" x14ac:dyDescent="0.3">
      <c r="A38" s="26">
        <v>45867</v>
      </c>
      <c r="B38" s="46" t="s">
        <v>21</v>
      </c>
      <c r="C38" s="24">
        <v>14.47</v>
      </c>
    </row>
    <row r="39" spans="1:3" hidden="1" x14ac:dyDescent="0.3">
      <c r="A39" s="26">
        <v>45874</v>
      </c>
      <c r="B39" s="27" t="s">
        <v>4</v>
      </c>
      <c r="C39" s="24">
        <v>-280.11</v>
      </c>
    </row>
    <row r="40" spans="1:3" hidden="1" x14ac:dyDescent="0.3">
      <c r="A40" s="26">
        <v>45874</v>
      </c>
      <c r="B40" s="32" t="s">
        <v>21</v>
      </c>
      <c r="C40" s="24">
        <v>74.09</v>
      </c>
    </row>
    <row r="41" spans="1:3" hidden="1" x14ac:dyDescent="0.3">
      <c r="A41" s="26">
        <v>45874</v>
      </c>
      <c r="B41" s="34" t="s">
        <v>21</v>
      </c>
      <c r="C41" s="24">
        <v>115.16</v>
      </c>
    </row>
    <row r="42" spans="1:3" hidden="1" x14ac:dyDescent="0.3">
      <c r="A42" s="26">
        <v>45874</v>
      </c>
      <c r="B42" s="46" t="s">
        <v>21</v>
      </c>
      <c r="C42" s="24">
        <v>8.4</v>
      </c>
    </row>
    <row r="43" spans="1:3" hidden="1" x14ac:dyDescent="0.3">
      <c r="A43" s="26">
        <v>45874</v>
      </c>
      <c r="B43" s="27" t="s">
        <v>1</v>
      </c>
      <c r="C43" s="24">
        <v>82.46</v>
      </c>
    </row>
    <row r="44" spans="1:3" hidden="1" x14ac:dyDescent="0.3">
      <c r="A44" s="26">
        <v>45881</v>
      </c>
      <c r="B44" s="27" t="s">
        <v>4</v>
      </c>
      <c r="C44" s="24">
        <v>-179.58</v>
      </c>
    </row>
    <row r="45" spans="1:3" hidden="1" x14ac:dyDescent="0.3">
      <c r="A45" s="26">
        <v>45881</v>
      </c>
      <c r="B45" s="32" t="s">
        <v>21</v>
      </c>
      <c r="C45" s="24">
        <v>53.14</v>
      </c>
    </row>
    <row r="46" spans="1:3" hidden="1" x14ac:dyDescent="0.3">
      <c r="A46" s="26">
        <v>45881</v>
      </c>
      <c r="B46" s="34" t="s">
        <v>21</v>
      </c>
      <c r="C46" s="24">
        <v>95.16</v>
      </c>
    </row>
    <row r="47" spans="1:3" hidden="1" x14ac:dyDescent="0.3">
      <c r="A47" s="26">
        <v>45881</v>
      </c>
      <c r="B47" s="46" t="s">
        <v>21</v>
      </c>
      <c r="C47" s="24">
        <v>31.28</v>
      </c>
    </row>
    <row r="48" spans="1:3" hidden="1" x14ac:dyDescent="0.3">
      <c r="A48" s="26">
        <v>45888</v>
      </c>
      <c r="B48" s="27" t="s">
        <v>4</v>
      </c>
      <c r="C48" s="24">
        <v>-342.84</v>
      </c>
    </row>
    <row r="49" spans="1:3" hidden="1" x14ac:dyDescent="0.3">
      <c r="A49" s="26">
        <v>45888</v>
      </c>
      <c r="B49" s="32" t="s">
        <v>21</v>
      </c>
      <c r="C49" s="24">
        <v>50.34</v>
      </c>
    </row>
    <row r="50" spans="1:3" hidden="1" x14ac:dyDescent="0.3">
      <c r="A50" s="26">
        <v>45888</v>
      </c>
      <c r="B50" s="34" t="s">
        <v>21</v>
      </c>
      <c r="C50" s="24">
        <v>301.38</v>
      </c>
    </row>
    <row r="51" spans="1:3" hidden="1" x14ac:dyDescent="0.3">
      <c r="A51" s="26">
        <v>45888</v>
      </c>
      <c r="B51" s="46" t="s">
        <v>21</v>
      </c>
      <c r="C51" s="24">
        <v>4.68</v>
      </c>
    </row>
    <row r="52" spans="1:3" hidden="1" x14ac:dyDescent="0.3">
      <c r="A52" s="26">
        <v>45888</v>
      </c>
      <c r="B52" s="27" t="s">
        <v>1</v>
      </c>
      <c r="C52" s="24">
        <v>47.6</v>
      </c>
    </row>
    <row r="53" spans="1:3" hidden="1" x14ac:dyDescent="0.3">
      <c r="A53" s="26">
        <v>45889</v>
      </c>
      <c r="B53" s="27" t="s">
        <v>4</v>
      </c>
      <c r="C53" s="24">
        <v>-61.16</v>
      </c>
    </row>
    <row r="54" spans="1:3" hidden="1" x14ac:dyDescent="0.3">
      <c r="A54" s="26">
        <v>45895</v>
      </c>
      <c r="B54" s="32" t="s">
        <v>21</v>
      </c>
      <c r="C54" s="24">
        <v>70.040000000000006</v>
      </c>
    </row>
    <row r="55" spans="1:3" hidden="1" x14ac:dyDescent="0.3">
      <c r="A55" s="26">
        <v>45895</v>
      </c>
      <c r="B55" s="34" t="s">
        <v>21</v>
      </c>
      <c r="C55" s="24">
        <v>183.06</v>
      </c>
    </row>
    <row r="56" spans="1:3" hidden="1" x14ac:dyDescent="0.3">
      <c r="A56" s="26">
        <v>45895</v>
      </c>
      <c r="B56" s="27" t="s">
        <v>4</v>
      </c>
      <c r="C56" s="24">
        <v>-253.1</v>
      </c>
    </row>
    <row r="57" spans="1:3" hidden="1" x14ac:dyDescent="0.3">
      <c r="A57" s="26">
        <v>45902</v>
      </c>
      <c r="B57" s="32" t="s">
        <v>21</v>
      </c>
      <c r="C57" s="24">
        <v>123.36</v>
      </c>
    </row>
    <row r="58" spans="1:3" hidden="1" x14ac:dyDescent="0.3">
      <c r="A58" s="26">
        <v>45902</v>
      </c>
      <c r="B58" s="34" t="s">
        <v>21</v>
      </c>
      <c r="C58" s="24">
        <v>307.42</v>
      </c>
    </row>
    <row r="59" spans="1:3" hidden="1" x14ac:dyDescent="0.3">
      <c r="A59" s="26">
        <v>45902</v>
      </c>
      <c r="B59" s="46" t="s">
        <v>21</v>
      </c>
      <c r="C59" s="24">
        <v>21.16</v>
      </c>
    </row>
    <row r="60" spans="1:3" hidden="1" x14ac:dyDescent="0.3">
      <c r="A60" s="26">
        <v>45903</v>
      </c>
      <c r="B60" s="27" t="s">
        <v>4</v>
      </c>
      <c r="C60" s="24">
        <v>-351.94</v>
      </c>
    </row>
    <row r="61" spans="1:3" hidden="1" x14ac:dyDescent="0.3">
      <c r="A61" s="26">
        <v>45904</v>
      </c>
      <c r="B61" s="27" t="s">
        <v>4</v>
      </c>
      <c r="C61" s="24">
        <v>-100</v>
      </c>
    </row>
    <row r="62" spans="1:3" hidden="1" x14ac:dyDescent="0.3">
      <c r="A62" s="26">
        <v>45909</v>
      </c>
      <c r="B62" s="27" t="s">
        <v>4</v>
      </c>
      <c r="C62" s="24">
        <v>-250.34</v>
      </c>
    </row>
    <row r="63" spans="1:3" hidden="1" x14ac:dyDescent="0.3">
      <c r="A63" s="26">
        <v>45909</v>
      </c>
      <c r="B63" s="32" t="s">
        <v>21</v>
      </c>
      <c r="C63" s="24">
        <v>55.04</v>
      </c>
    </row>
    <row r="64" spans="1:3" hidden="1" x14ac:dyDescent="0.3">
      <c r="A64" s="26">
        <v>45909</v>
      </c>
      <c r="B64" s="34" t="s">
        <v>21</v>
      </c>
      <c r="C64" s="24">
        <v>131.06</v>
      </c>
    </row>
    <row r="65" spans="1:3" hidden="1" x14ac:dyDescent="0.3">
      <c r="A65" s="26">
        <v>45909</v>
      </c>
      <c r="B65" s="46" t="s">
        <v>21</v>
      </c>
      <c r="C65" s="24">
        <v>64.239999999999995</v>
      </c>
    </row>
    <row r="66" spans="1:3" hidden="1" x14ac:dyDescent="0.3">
      <c r="A66" s="26">
        <v>45916</v>
      </c>
      <c r="B66" s="32" t="s">
        <v>21</v>
      </c>
      <c r="C66" s="24">
        <v>82.59</v>
      </c>
    </row>
    <row r="67" spans="1:3" hidden="1" x14ac:dyDescent="0.3">
      <c r="A67" s="26">
        <v>45916</v>
      </c>
      <c r="B67" s="34" t="s">
        <v>21</v>
      </c>
      <c r="C67" s="24">
        <v>117.25</v>
      </c>
    </row>
    <row r="68" spans="1:3" hidden="1" x14ac:dyDescent="0.3">
      <c r="A68" s="26">
        <v>45916</v>
      </c>
      <c r="B68" s="27" t="s">
        <v>1</v>
      </c>
      <c r="C68" s="24">
        <v>72.55</v>
      </c>
    </row>
    <row r="69" spans="1:3" hidden="1" x14ac:dyDescent="0.3">
      <c r="A69" s="26">
        <v>45917</v>
      </c>
      <c r="B69" s="27" t="s">
        <v>4</v>
      </c>
      <c r="C69" s="24">
        <v>-272.39</v>
      </c>
    </row>
    <row r="70" spans="1:3" hidden="1" x14ac:dyDescent="0.3">
      <c r="A70" s="26">
        <v>45923</v>
      </c>
      <c r="B70" s="32" t="s">
        <v>21</v>
      </c>
      <c r="C70" s="24">
        <v>41.44</v>
      </c>
    </row>
    <row r="71" spans="1:3" hidden="1" x14ac:dyDescent="0.3">
      <c r="A71" s="26">
        <v>45923</v>
      </c>
      <c r="B71" s="34" t="s">
        <v>21</v>
      </c>
      <c r="C71" s="24">
        <v>40.840000000000003</v>
      </c>
    </row>
    <row r="72" spans="1:3" hidden="1" x14ac:dyDescent="0.3">
      <c r="A72" s="26">
        <v>45926</v>
      </c>
      <c r="B72" s="27" t="s">
        <v>4</v>
      </c>
      <c r="C72" s="24">
        <v>-77.680000000000007</v>
      </c>
    </row>
    <row r="73" spans="1:3" hidden="1" x14ac:dyDescent="0.3">
      <c r="A73" s="26">
        <v>45926</v>
      </c>
      <c r="B73" s="27" t="s">
        <v>4</v>
      </c>
      <c r="C73" s="24">
        <v>-4.5999999999999996</v>
      </c>
    </row>
    <row r="74" spans="1:3" hidden="1" x14ac:dyDescent="0.3">
      <c r="A74" s="26">
        <v>45931</v>
      </c>
      <c r="B74" s="27" t="s">
        <v>4</v>
      </c>
      <c r="C74" s="24">
        <v>-162.36000000000001</v>
      </c>
    </row>
    <row r="75" spans="1:3" hidden="1" x14ac:dyDescent="0.3">
      <c r="A75" s="26">
        <v>45930</v>
      </c>
      <c r="B75" s="32" t="s">
        <v>21</v>
      </c>
      <c r="C75" s="24">
        <v>133.44</v>
      </c>
    </row>
    <row r="76" spans="1:3" hidden="1" x14ac:dyDescent="0.3">
      <c r="A76" s="26">
        <v>45930</v>
      </c>
      <c r="B76" s="34" t="s">
        <v>21</v>
      </c>
      <c r="C76" s="24">
        <v>18.54</v>
      </c>
    </row>
    <row r="77" spans="1:3" hidden="1" x14ac:dyDescent="0.3">
      <c r="A77" s="26">
        <v>45930</v>
      </c>
      <c r="B77" s="46" t="s">
        <v>21</v>
      </c>
      <c r="C77" s="24">
        <v>10.38</v>
      </c>
    </row>
    <row r="78" spans="1:3" hidden="1" x14ac:dyDescent="0.3">
      <c r="A78" s="26">
        <v>45937</v>
      </c>
      <c r="B78" s="27" t="s">
        <v>4</v>
      </c>
      <c r="C78" s="24">
        <v>-58.73</v>
      </c>
    </row>
    <row r="79" spans="1:3" hidden="1" x14ac:dyDescent="0.3">
      <c r="A79" s="26">
        <v>45937</v>
      </c>
      <c r="B79" s="27" t="s">
        <v>4</v>
      </c>
      <c r="C79" s="24">
        <v>-261.95</v>
      </c>
    </row>
    <row r="80" spans="1:3" hidden="1" x14ac:dyDescent="0.3">
      <c r="A80" s="26">
        <v>45937</v>
      </c>
      <c r="B80" s="32" t="s">
        <v>21</v>
      </c>
      <c r="C80" s="24">
        <v>84.42</v>
      </c>
    </row>
    <row r="81" spans="1:3" hidden="1" x14ac:dyDescent="0.3">
      <c r="A81" s="26">
        <v>45937</v>
      </c>
      <c r="B81" s="34" t="s">
        <v>21</v>
      </c>
      <c r="C81" s="24">
        <v>216.54</v>
      </c>
    </row>
    <row r="82" spans="1:3" hidden="1" x14ac:dyDescent="0.3">
      <c r="A82" s="26">
        <v>45937</v>
      </c>
      <c r="B82" s="46" t="s">
        <v>21</v>
      </c>
      <c r="C82" s="24">
        <v>19.7</v>
      </c>
    </row>
    <row r="83" spans="1:3" hidden="1" x14ac:dyDescent="0.3">
      <c r="A83" s="26">
        <v>45944</v>
      </c>
      <c r="B83" s="32" t="s">
        <v>21</v>
      </c>
      <c r="C83" s="24">
        <v>39.1</v>
      </c>
    </row>
    <row r="84" spans="1:3" hidden="1" x14ac:dyDescent="0.3">
      <c r="A84" s="26">
        <v>45944</v>
      </c>
      <c r="B84" s="34" t="s">
        <v>21</v>
      </c>
      <c r="C84" s="24">
        <v>346.21</v>
      </c>
    </row>
    <row r="85" spans="1:3" hidden="1" x14ac:dyDescent="0.3">
      <c r="A85" s="26">
        <v>45944</v>
      </c>
      <c r="B85" s="46" t="s">
        <v>21</v>
      </c>
      <c r="C85" s="24">
        <v>26.28</v>
      </c>
    </row>
    <row r="86" spans="1:3" hidden="1" x14ac:dyDescent="0.3">
      <c r="A86" s="26">
        <v>45947</v>
      </c>
      <c r="B86" s="27" t="s">
        <v>4</v>
      </c>
      <c r="C86" s="24">
        <v>-411.59</v>
      </c>
    </row>
    <row r="87" spans="1:3" hidden="1" x14ac:dyDescent="0.3">
      <c r="A87" s="26">
        <v>45951</v>
      </c>
      <c r="B87" s="32" t="s">
        <v>21</v>
      </c>
      <c r="C87" s="24">
        <v>135.97999999999999</v>
      </c>
    </row>
    <row r="88" spans="1:3" hidden="1" x14ac:dyDescent="0.3">
      <c r="A88" s="26">
        <v>45951</v>
      </c>
      <c r="B88" s="34" t="s">
        <v>21</v>
      </c>
      <c r="C88" s="24">
        <v>352.62</v>
      </c>
    </row>
    <row r="89" spans="1:3" hidden="1" x14ac:dyDescent="0.3">
      <c r="A89" s="26">
        <v>45951</v>
      </c>
      <c r="B89" s="46" t="s">
        <v>21</v>
      </c>
      <c r="C89" s="24">
        <v>31.2</v>
      </c>
    </row>
    <row r="90" spans="1:3" hidden="1" x14ac:dyDescent="0.3">
      <c r="A90" s="26">
        <v>45951</v>
      </c>
      <c r="B90" s="27" t="s">
        <v>1</v>
      </c>
      <c r="C90" s="24">
        <v>108.12</v>
      </c>
    </row>
    <row r="91" spans="1:3" hidden="1" x14ac:dyDescent="0.3">
      <c r="A91" s="26">
        <v>45953</v>
      </c>
      <c r="B91" s="27" t="s">
        <v>4</v>
      </c>
      <c r="C91" s="24">
        <v>-320.02</v>
      </c>
    </row>
    <row r="92" spans="1:3" hidden="1" x14ac:dyDescent="0.3">
      <c r="A92" s="26">
        <v>45954</v>
      </c>
      <c r="B92" s="27" t="s">
        <v>4</v>
      </c>
      <c r="C92" s="24">
        <v>-250</v>
      </c>
    </row>
    <row r="93" spans="1:3" hidden="1" x14ac:dyDescent="0.3">
      <c r="A93" s="26">
        <v>45958</v>
      </c>
      <c r="B93" s="27" t="s">
        <v>4</v>
      </c>
      <c r="C93" s="24">
        <v>-68.94</v>
      </c>
    </row>
    <row r="94" spans="1:3" hidden="1" x14ac:dyDescent="0.3">
      <c r="A94" s="26">
        <v>45958</v>
      </c>
      <c r="B94" s="32" t="s">
        <v>21</v>
      </c>
      <c r="C94" s="24">
        <v>41.88</v>
      </c>
    </row>
    <row r="95" spans="1:3" hidden="1" x14ac:dyDescent="0.3">
      <c r="A95" s="26">
        <v>45958</v>
      </c>
      <c r="B95" s="34" t="s">
        <v>21</v>
      </c>
      <c r="C95" s="24">
        <v>27.06</v>
      </c>
    </row>
    <row r="96" spans="1:3" hidden="1" x14ac:dyDescent="0.3">
      <c r="A96" s="26">
        <v>45965</v>
      </c>
      <c r="B96" s="27" t="s">
        <v>4</v>
      </c>
      <c r="C96" s="24">
        <v>-58.89</v>
      </c>
    </row>
    <row r="97" spans="1:6" hidden="1" x14ac:dyDescent="0.3">
      <c r="A97" s="26">
        <v>45965</v>
      </c>
      <c r="B97" s="32" t="s">
        <v>21</v>
      </c>
      <c r="C97" s="24">
        <v>104.56</v>
      </c>
    </row>
    <row r="98" spans="1:6" hidden="1" x14ac:dyDescent="0.3">
      <c r="A98" s="26">
        <v>45965</v>
      </c>
      <c r="B98" s="34" t="s">
        <v>21</v>
      </c>
      <c r="C98" s="24">
        <v>121.46</v>
      </c>
    </row>
    <row r="99" spans="1:6" hidden="1" x14ac:dyDescent="0.3">
      <c r="A99" s="26">
        <v>45965</v>
      </c>
      <c r="B99" s="46" t="s">
        <v>21</v>
      </c>
      <c r="C99" s="24">
        <v>13.99</v>
      </c>
    </row>
    <row r="100" spans="1:6" hidden="1" x14ac:dyDescent="0.3">
      <c r="A100" s="26">
        <v>45965</v>
      </c>
      <c r="B100" s="27" t="s">
        <v>1</v>
      </c>
      <c r="C100" s="24">
        <v>25.06</v>
      </c>
    </row>
    <row r="101" spans="1:6" hidden="1" x14ac:dyDescent="0.3">
      <c r="A101" s="26">
        <v>45966</v>
      </c>
      <c r="B101" s="27" t="s">
        <v>4</v>
      </c>
      <c r="C101" s="24">
        <v>-148.59</v>
      </c>
    </row>
    <row r="102" spans="1:6" hidden="1" x14ac:dyDescent="0.3">
      <c r="A102" s="26">
        <v>45967</v>
      </c>
      <c r="B102" s="27" t="s">
        <v>4</v>
      </c>
      <c r="C102" s="24">
        <v>-116.49</v>
      </c>
    </row>
    <row r="103" spans="1:6" hidden="1" x14ac:dyDescent="0.3">
      <c r="A103" s="26">
        <v>45972</v>
      </c>
      <c r="B103" s="27" t="s">
        <v>1</v>
      </c>
      <c r="C103" s="24">
        <v>459.63</v>
      </c>
    </row>
    <row r="104" spans="1:6" hidden="1" x14ac:dyDescent="0.3">
      <c r="A104" s="26">
        <v>45973</v>
      </c>
      <c r="B104" s="27" t="s">
        <v>4</v>
      </c>
      <c r="C104" s="24">
        <v>-200</v>
      </c>
    </row>
    <row r="105" spans="1:6" hidden="1" x14ac:dyDescent="0.3">
      <c r="A105" s="26">
        <v>45974</v>
      </c>
      <c r="B105" s="27" t="s">
        <v>4</v>
      </c>
      <c r="C105" s="24">
        <v>-259.63</v>
      </c>
    </row>
    <row r="106" spans="1:6" hidden="1" x14ac:dyDescent="0.3">
      <c r="A106" s="26">
        <v>45979</v>
      </c>
      <c r="B106" s="27" t="s">
        <v>4</v>
      </c>
      <c r="C106" s="24">
        <v>-336.04</v>
      </c>
    </row>
    <row r="107" spans="1:6" hidden="1" x14ac:dyDescent="0.3">
      <c r="A107" s="26">
        <v>45979</v>
      </c>
      <c r="B107" s="27" t="s">
        <v>1</v>
      </c>
      <c r="C107" s="24">
        <v>336.04</v>
      </c>
      <c r="F107" s="25">
        <v>-1</v>
      </c>
    </row>
    <row r="108" spans="1:6" hidden="1" x14ac:dyDescent="0.3">
      <c r="A108" s="26">
        <v>45986</v>
      </c>
      <c r="B108" s="27" t="s">
        <v>4</v>
      </c>
      <c r="C108" s="24">
        <v>-502.86</v>
      </c>
    </row>
    <row r="109" spans="1:6" hidden="1" x14ac:dyDescent="0.3">
      <c r="A109" s="26">
        <v>45986</v>
      </c>
      <c r="B109" s="27" t="s">
        <v>1</v>
      </c>
      <c r="C109" s="24">
        <v>502.86</v>
      </c>
    </row>
    <row r="110" spans="1:6" x14ac:dyDescent="0.3">
      <c r="A110" s="26">
        <v>45993</v>
      </c>
      <c r="B110" s="27" t="s">
        <v>4</v>
      </c>
      <c r="C110" s="24">
        <v>-234.43</v>
      </c>
    </row>
    <row r="111" spans="1:6" x14ac:dyDescent="0.3">
      <c r="A111" s="26">
        <v>45993</v>
      </c>
      <c r="B111" s="27" t="s">
        <v>1</v>
      </c>
      <c r="C111" s="24">
        <v>312.95</v>
      </c>
    </row>
    <row r="112" spans="1:6" x14ac:dyDescent="0.3">
      <c r="A112" s="26">
        <v>45995</v>
      </c>
      <c r="B112" s="27" t="s">
        <v>4</v>
      </c>
      <c r="C112" s="24">
        <v>-78.510000000000005</v>
      </c>
    </row>
    <row r="113" spans="1:3" x14ac:dyDescent="0.3">
      <c r="A113" s="26">
        <v>46000</v>
      </c>
      <c r="B113" s="27" t="s">
        <v>1</v>
      </c>
      <c r="C113" s="24">
        <v>386.43</v>
      </c>
    </row>
    <row r="114" spans="1:3" x14ac:dyDescent="0.3">
      <c r="A114" s="26">
        <v>46001</v>
      </c>
      <c r="B114" s="27" t="s">
        <v>4</v>
      </c>
      <c r="C114" s="24">
        <v>-268.98</v>
      </c>
    </row>
    <row r="115" spans="1:3" x14ac:dyDescent="0.3">
      <c r="A115" s="26">
        <v>46007</v>
      </c>
      <c r="B115" s="27" t="s">
        <v>4</v>
      </c>
      <c r="C115" s="24">
        <v>-180.93</v>
      </c>
    </row>
    <row r="116" spans="1:3" x14ac:dyDescent="0.3">
      <c r="A116" s="26">
        <v>46007</v>
      </c>
      <c r="B116" s="27" t="s">
        <v>1</v>
      </c>
      <c r="C116" s="24">
        <v>403.18</v>
      </c>
    </row>
    <row r="117" spans="1:3" x14ac:dyDescent="0.3">
      <c r="A117" s="26">
        <v>46008</v>
      </c>
      <c r="B117" s="27" t="s">
        <v>4</v>
      </c>
      <c r="C117" s="24">
        <v>-131.97</v>
      </c>
    </row>
    <row r="118" spans="1:3" x14ac:dyDescent="0.3">
      <c r="A118" s="26">
        <v>46009</v>
      </c>
      <c r="B118" s="27" t="s">
        <v>4</v>
      </c>
      <c r="C118" s="24">
        <v>-92.24</v>
      </c>
    </row>
    <row r="119" spans="1:3" x14ac:dyDescent="0.3">
      <c r="A119" s="26">
        <v>46013</v>
      </c>
      <c r="B119" s="27" t="s">
        <v>1</v>
      </c>
      <c r="C119" s="24">
        <v>119.84</v>
      </c>
    </row>
    <row r="120" spans="1:3" x14ac:dyDescent="0.3">
      <c r="A120" s="26">
        <v>46013</v>
      </c>
      <c r="B120" s="27" t="s">
        <v>4</v>
      </c>
      <c r="C120" s="24">
        <v>-117.45</v>
      </c>
    </row>
    <row r="121" spans="1:3" x14ac:dyDescent="0.3">
      <c r="A121" s="26">
        <v>46017</v>
      </c>
      <c r="B121" s="27" t="s">
        <v>4</v>
      </c>
      <c r="C121" s="24">
        <v>-119.84</v>
      </c>
    </row>
    <row r="122" spans="1:3" x14ac:dyDescent="0.3">
      <c r="A122" s="26">
        <v>46042</v>
      </c>
      <c r="B122" s="27" t="s">
        <v>1</v>
      </c>
      <c r="C122" s="24">
        <v>445.41</v>
      </c>
    </row>
    <row r="123" spans="1:3" x14ac:dyDescent="0.3">
      <c r="A123" s="26">
        <v>46043</v>
      </c>
      <c r="B123" s="27" t="s">
        <v>4</v>
      </c>
      <c r="C123" s="24">
        <v>-174.16</v>
      </c>
    </row>
    <row r="124" spans="1:3" x14ac:dyDescent="0.3">
      <c r="A124" s="26">
        <v>46043</v>
      </c>
      <c r="B124" s="27" t="s">
        <v>4</v>
      </c>
      <c r="C124" s="24">
        <v>-271.25</v>
      </c>
    </row>
    <row r="125" spans="1:3" x14ac:dyDescent="0.3">
      <c r="A125" s="26">
        <v>46049</v>
      </c>
      <c r="B125" s="27" t="s">
        <v>4</v>
      </c>
      <c r="C125" s="24">
        <v>-225</v>
      </c>
    </row>
    <row r="126" spans="1:3" x14ac:dyDescent="0.3">
      <c r="A126" s="26">
        <v>46049</v>
      </c>
      <c r="B126" s="27" t="s">
        <v>514</v>
      </c>
      <c r="C126" s="24">
        <v>522.95000000000005</v>
      </c>
    </row>
    <row r="127" spans="1:3" x14ac:dyDescent="0.3">
      <c r="A127" s="26">
        <v>46050</v>
      </c>
      <c r="B127" s="27" t="s">
        <v>4</v>
      </c>
      <c r="C127" s="24">
        <v>-297.95</v>
      </c>
    </row>
    <row r="128" spans="1:3" x14ac:dyDescent="0.3">
      <c r="A128" s="26">
        <v>46056</v>
      </c>
      <c r="B128" s="27" t="s">
        <v>1</v>
      </c>
      <c r="C128" s="24">
        <v>512.87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42153-5B6A-4C9F-9559-0F8F70B5EB70}">
  <dimension ref="A1:I99"/>
  <sheetViews>
    <sheetView view="pageBreakPreview" zoomScale="80" zoomScaleNormal="100" zoomScaleSheetLayoutView="80" workbookViewId="0">
      <selection activeCell="C10" sqref="C1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510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17.32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45994</v>
      </c>
      <c r="B5" s="28" t="s">
        <v>21</v>
      </c>
      <c r="C5" s="24">
        <v>35.869999999999997</v>
      </c>
      <c r="D5" s="30"/>
      <c r="E5" s="30"/>
      <c r="F5" s="30"/>
      <c r="G5" s="22"/>
    </row>
    <row r="6" spans="1:9" x14ac:dyDescent="0.3">
      <c r="A6" s="26">
        <v>46001</v>
      </c>
      <c r="B6" s="28" t="s">
        <v>4</v>
      </c>
      <c r="C6" s="24">
        <v>-35.299999999999997</v>
      </c>
    </row>
    <row r="7" spans="1:9" x14ac:dyDescent="0.3">
      <c r="A7" s="26">
        <v>46002</v>
      </c>
      <c r="B7" s="28" t="s">
        <v>1</v>
      </c>
      <c r="C7" s="24">
        <v>15.77</v>
      </c>
    </row>
    <row r="8" spans="1:9" x14ac:dyDescent="0.3">
      <c r="A8" s="26">
        <v>46008</v>
      </c>
      <c r="B8" s="28" t="s">
        <v>4</v>
      </c>
      <c r="C8" s="24">
        <v>-15.6</v>
      </c>
    </row>
    <row r="9" spans="1:9" x14ac:dyDescent="0.3">
      <c r="A9" s="26">
        <v>46043</v>
      </c>
      <c r="B9" s="28" t="s">
        <v>1</v>
      </c>
      <c r="C9" s="24">
        <v>16.579999999999998</v>
      </c>
      <c r="I9" s="25"/>
    </row>
    <row r="10" spans="1:9" x14ac:dyDescent="0.3">
      <c r="B10" s="28"/>
    </row>
    <row r="11" spans="1:9" x14ac:dyDescent="0.3">
      <c r="B11" s="28"/>
    </row>
    <row r="12" spans="1:9" x14ac:dyDescent="0.3">
      <c r="B12" s="28"/>
    </row>
    <row r="13" spans="1:9" x14ac:dyDescent="0.3">
      <c r="B13" s="28"/>
    </row>
    <row r="14" spans="1:9" x14ac:dyDescent="0.3">
      <c r="B14" s="28"/>
    </row>
    <row r="15" spans="1:9" x14ac:dyDescent="0.3">
      <c r="B15" s="28"/>
    </row>
    <row r="16" spans="1:9" x14ac:dyDescent="0.3">
      <c r="B16" s="28"/>
    </row>
    <row r="17" spans="2:2" x14ac:dyDescent="0.3">
      <c r="B17" s="28"/>
    </row>
    <row r="18" spans="2:2" x14ac:dyDescent="0.3">
      <c r="B18" s="28"/>
    </row>
    <row r="19" spans="2:2" x14ac:dyDescent="0.3">
      <c r="B19" s="28"/>
    </row>
    <row r="20" spans="2:2" x14ac:dyDescent="0.3">
      <c r="B20" s="28"/>
    </row>
    <row r="21" spans="2:2" x14ac:dyDescent="0.3">
      <c r="B21" s="28"/>
    </row>
    <row r="22" spans="2:2" x14ac:dyDescent="0.3">
      <c r="B22" s="28"/>
    </row>
    <row r="23" spans="2:2" x14ac:dyDescent="0.3">
      <c r="B23" s="28"/>
    </row>
    <row r="24" spans="2:2" x14ac:dyDescent="0.3">
      <c r="B24" s="28"/>
    </row>
    <row r="25" spans="2:2" x14ac:dyDescent="0.3">
      <c r="B25" s="28"/>
    </row>
    <row r="26" spans="2:2" x14ac:dyDescent="0.3">
      <c r="B26" s="28"/>
    </row>
    <row r="27" spans="2:2" x14ac:dyDescent="0.3">
      <c r="B27" s="28"/>
    </row>
    <row r="28" spans="2:2" x14ac:dyDescent="0.3">
      <c r="B28" s="28"/>
    </row>
    <row r="29" spans="2:2" x14ac:dyDescent="0.3">
      <c r="B29" s="28"/>
    </row>
    <row r="30" spans="2:2" x14ac:dyDescent="0.3">
      <c r="B30" s="28"/>
    </row>
    <row r="31" spans="2:2" x14ac:dyDescent="0.3">
      <c r="B31" s="28"/>
    </row>
    <row r="32" spans="2:2" x14ac:dyDescent="0.3">
      <c r="B32" s="28"/>
    </row>
    <row r="33" spans="2:2" x14ac:dyDescent="0.3">
      <c r="B33" s="28"/>
    </row>
    <row r="34" spans="2:2" x14ac:dyDescent="0.3">
      <c r="B34" s="28"/>
    </row>
    <row r="35" spans="2:2" x14ac:dyDescent="0.3">
      <c r="B35" s="28"/>
    </row>
    <row r="36" spans="2:2" x14ac:dyDescent="0.3">
      <c r="B36" s="28"/>
    </row>
    <row r="37" spans="2:2" x14ac:dyDescent="0.3">
      <c r="B37" s="28"/>
    </row>
    <row r="38" spans="2:2" x14ac:dyDescent="0.3">
      <c r="B38" s="28"/>
    </row>
    <row r="39" spans="2:2" x14ac:dyDescent="0.3">
      <c r="B39" s="28"/>
    </row>
    <row r="40" spans="2:2" x14ac:dyDescent="0.3">
      <c r="B40" s="28"/>
    </row>
    <row r="41" spans="2:2" x14ac:dyDescent="0.3">
      <c r="B41" s="28"/>
    </row>
    <row r="42" spans="2:2" x14ac:dyDescent="0.3">
      <c r="B42" s="28"/>
    </row>
    <row r="43" spans="2:2" x14ac:dyDescent="0.3">
      <c r="B43" s="28"/>
    </row>
    <row r="44" spans="2:2" x14ac:dyDescent="0.3">
      <c r="B44" s="28"/>
    </row>
    <row r="45" spans="2:2" x14ac:dyDescent="0.3">
      <c r="B45" s="28"/>
    </row>
    <row r="46" spans="2:2" x14ac:dyDescent="0.3">
      <c r="B46" s="28"/>
    </row>
    <row r="47" spans="2:2" x14ac:dyDescent="0.3">
      <c r="B47" s="28"/>
    </row>
    <row r="48" spans="2:2" x14ac:dyDescent="0.3">
      <c r="B48" s="28"/>
    </row>
    <row r="49" spans="2:2" x14ac:dyDescent="0.3">
      <c r="B49" s="28"/>
    </row>
    <row r="50" spans="2:2" x14ac:dyDescent="0.3">
      <c r="B50" s="28"/>
    </row>
    <row r="51" spans="2:2" x14ac:dyDescent="0.3">
      <c r="B51" s="28"/>
    </row>
    <row r="52" spans="2:2" x14ac:dyDescent="0.3">
      <c r="B52" s="28"/>
    </row>
    <row r="53" spans="2:2" x14ac:dyDescent="0.3">
      <c r="B53" s="28"/>
    </row>
    <row r="54" spans="2:2" x14ac:dyDescent="0.3">
      <c r="B54" s="28"/>
    </row>
    <row r="55" spans="2:2" x14ac:dyDescent="0.3">
      <c r="B55" s="28"/>
    </row>
    <row r="56" spans="2:2" x14ac:dyDescent="0.3">
      <c r="B56" s="28"/>
    </row>
    <row r="57" spans="2:2" x14ac:dyDescent="0.3">
      <c r="B57" s="28"/>
    </row>
    <row r="58" spans="2:2" x14ac:dyDescent="0.3">
      <c r="B58" s="28"/>
    </row>
    <row r="59" spans="2:2" x14ac:dyDescent="0.3">
      <c r="B59" s="28"/>
    </row>
    <row r="60" spans="2:2" x14ac:dyDescent="0.3">
      <c r="B60" s="28"/>
    </row>
    <row r="61" spans="2:2" x14ac:dyDescent="0.3">
      <c r="B61" s="28"/>
    </row>
    <row r="62" spans="2:2" x14ac:dyDescent="0.3">
      <c r="B62" s="28"/>
    </row>
    <row r="63" spans="2:2" x14ac:dyDescent="0.3">
      <c r="B63" s="28"/>
    </row>
    <row r="64" spans="2:2" x14ac:dyDescent="0.3">
      <c r="B64" s="28"/>
    </row>
    <row r="65" spans="2:2" x14ac:dyDescent="0.3">
      <c r="B65" s="28"/>
    </row>
    <row r="66" spans="2:2" x14ac:dyDescent="0.3">
      <c r="B66" s="28"/>
    </row>
    <row r="67" spans="2:2" x14ac:dyDescent="0.3">
      <c r="B67" s="28"/>
    </row>
    <row r="68" spans="2:2" x14ac:dyDescent="0.3">
      <c r="B68" s="28"/>
    </row>
    <row r="69" spans="2:2" x14ac:dyDescent="0.3">
      <c r="B69" s="28"/>
    </row>
    <row r="70" spans="2:2" x14ac:dyDescent="0.3">
      <c r="B70" s="28"/>
    </row>
    <row r="71" spans="2:2" x14ac:dyDescent="0.3">
      <c r="B71" s="28"/>
    </row>
    <row r="72" spans="2:2" x14ac:dyDescent="0.3">
      <c r="B72" s="28"/>
    </row>
    <row r="75" spans="2:2" x14ac:dyDescent="0.3">
      <c r="B75" s="32"/>
    </row>
    <row r="76" spans="2:2" x14ac:dyDescent="0.3">
      <c r="B76" s="34"/>
    </row>
    <row r="77" spans="2:2" x14ac:dyDescent="0.3">
      <c r="B77" s="46"/>
    </row>
    <row r="80" spans="2:2" x14ac:dyDescent="0.3">
      <c r="B80" s="32"/>
    </row>
    <row r="81" spans="2:2" x14ac:dyDescent="0.3">
      <c r="B81" s="34"/>
    </row>
    <row r="82" spans="2:2" x14ac:dyDescent="0.3">
      <c r="B82" s="46"/>
    </row>
    <row r="83" spans="2:2" x14ac:dyDescent="0.3">
      <c r="B83" s="32"/>
    </row>
    <row r="84" spans="2:2" x14ac:dyDescent="0.3">
      <c r="B84" s="34"/>
    </row>
    <row r="85" spans="2:2" x14ac:dyDescent="0.3">
      <c r="B85" s="46"/>
    </row>
    <row r="87" spans="2:2" x14ac:dyDescent="0.3">
      <c r="B87" s="32"/>
    </row>
    <row r="88" spans="2:2" x14ac:dyDescent="0.3">
      <c r="B88" s="34"/>
    </row>
    <row r="89" spans="2:2" x14ac:dyDescent="0.3">
      <c r="B89" s="46"/>
    </row>
    <row r="94" spans="2:2" x14ac:dyDescent="0.3">
      <c r="B94" s="32"/>
    </row>
    <row r="95" spans="2:2" x14ac:dyDescent="0.3">
      <c r="B95" s="34"/>
    </row>
    <row r="97" spans="2:2" x14ac:dyDescent="0.3">
      <c r="B97" s="32"/>
    </row>
    <row r="98" spans="2:2" x14ac:dyDescent="0.3">
      <c r="B98" s="34"/>
    </row>
    <row r="99" spans="2:2" x14ac:dyDescent="0.3">
      <c r="B99" s="46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4ED19-C1E6-400C-8F09-65D9D935C5E3}">
  <dimension ref="A1:I52"/>
  <sheetViews>
    <sheetView view="pageBreakPreview" zoomScale="70" zoomScaleNormal="100" zoomScaleSheetLayoutView="70" workbookViewId="0">
      <selection activeCell="A47" sqref="A5:XFD4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382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-0.87000000000001165</v>
      </c>
      <c r="D3" s="20">
        <f>SUM(D$4:D$1048576)</f>
        <v>1</v>
      </c>
      <c r="E3" s="20">
        <f>SUM(E$5:E$1048576)</f>
        <v>0</v>
      </c>
      <c r="F3" s="20">
        <f>SUM(F$5:F$1048576)</f>
        <v>-1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45862</v>
      </c>
      <c r="B5" s="32" t="s">
        <v>21</v>
      </c>
      <c r="C5" s="24">
        <v>19.600000000000001</v>
      </c>
      <c r="D5" s="30"/>
      <c r="E5" s="30"/>
      <c r="F5" s="30"/>
      <c r="G5" s="22"/>
    </row>
    <row r="6" spans="1:9" hidden="1" x14ac:dyDescent="0.3">
      <c r="A6" s="21">
        <v>45862</v>
      </c>
      <c r="B6" s="34" t="s">
        <v>1</v>
      </c>
      <c r="C6" s="24">
        <v>16.93</v>
      </c>
    </row>
    <row r="7" spans="1:9" hidden="1" x14ac:dyDescent="0.3">
      <c r="A7" s="26">
        <v>45869</v>
      </c>
      <c r="B7" s="27" t="s">
        <v>4</v>
      </c>
      <c r="C7" s="24">
        <v>-16.059999999999999</v>
      </c>
    </row>
    <row r="8" spans="1:9" hidden="1" x14ac:dyDescent="0.3">
      <c r="A8" s="26">
        <v>45869</v>
      </c>
      <c r="B8" s="32" t="s">
        <v>1</v>
      </c>
      <c r="C8" s="24">
        <v>41.44</v>
      </c>
    </row>
    <row r="9" spans="1:9" hidden="1" x14ac:dyDescent="0.3">
      <c r="A9" s="26">
        <v>45869</v>
      </c>
      <c r="B9" s="34" t="s">
        <v>1</v>
      </c>
      <c r="C9" s="24">
        <v>44.42</v>
      </c>
      <c r="I9" s="25"/>
    </row>
    <row r="10" spans="1:9" hidden="1" x14ac:dyDescent="0.3">
      <c r="A10" s="26">
        <v>45869</v>
      </c>
      <c r="B10" s="46" t="s">
        <v>1</v>
      </c>
      <c r="C10" s="24">
        <v>9.15</v>
      </c>
    </row>
    <row r="11" spans="1:9" hidden="1" x14ac:dyDescent="0.3">
      <c r="A11" s="26">
        <v>45876</v>
      </c>
      <c r="B11" s="27" t="s">
        <v>4</v>
      </c>
      <c r="C11" s="24">
        <v>-20.48</v>
      </c>
    </row>
    <row r="12" spans="1:9" hidden="1" x14ac:dyDescent="0.3">
      <c r="A12" s="26">
        <v>45876</v>
      </c>
      <c r="B12" s="27" t="s">
        <v>4</v>
      </c>
      <c r="C12" s="24">
        <v>-69.739999999999995</v>
      </c>
    </row>
    <row r="13" spans="1:9" hidden="1" x14ac:dyDescent="0.3">
      <c r="A13" s="26">
        <v>45876</v>
      </c>
      <c r="B13" s="27" t="s">
        <v>7</v>
      </c>
      <c r="C13" s="24">
        <v>-25.29</v>
      </c>
    </row>
    <row r="14" spans="1:9" hidden="1" x14ac:dyDescent="0.3">
      <c r="A14" s="26">
        <v>45876</v>
      </c>
      <c r="B14" s="32" t="s">
        <v>1</v>
      </c>
      <c r="C14" s="24">
        <v>49.79</v>
      </c>
      <c r="D14" s="25">
        <v>1</v>
      </c>
    </row>
    <row r="15" spans="1:9" hidden="1" x14ac:dyDescent="0.3">
      <c r="A15" s="26">
        <v>45876</v>
      </c>
      <c r="B15" s="34" t="s">
        <v>1</v>
      </c>
      <c r="C15" s="24">
        <v>57.04</v>
      </c>
    </row>
    <row r="16" spans="1:9" hidden="1" x14ac:dyDescent="0.3">
      <c r="A16" s="26">
        <v>45883</v>
      </c>
      <c r="B16" s="27" t="s">
        <v>4</v>
      </c>
      <c r="C16" s="24">
        <v>-18.59</v>
      </c>
    </row>
    <row r="17" spans="1:3" hidden="1" x14ac:dyDescent="0.3">
      <c r="A17" s="26">
        <v>45883</v>
      </c>
      <c r="B17" s="27" t="s">
        <v>7</v>
      </c>
      <c r="C17" s="24">
        <v>-72.58</v>
      </c>
    </row>
    <row r="18" spans="1:3" hidden="1" x14ac:dyDescent="0.3">
      <c r="A18" s="26">
        <v>45883</v>
      </c>
      <c r="B18" s="34" t="s">
        <v>1</v>
      </c>
      <c r="C18" s="24">
        <v>45.07</v>
      </c>
    </row>
    <row r="19" spans="1:3" hidden="1" x14ac:dyDescent="0.3">
      <c r="A19" s="26">
        <v>45883</v>
      </c>
      <c r="B19" s="46" t="s">
        <v>1</v>
      </c>
      <c r="C19" s="24">
        <v>10.39</v>
      </c>
    </row>
    <row r="20" spans="1:3" hidden="1" x14ac:dyDescent="0.3">
      <c r="A20" s="26">
        <v>45890</v>
      </c>
      <c r="B20" s="27" t="s">
        <v>4</v>
      </c>
      <c r="C20" s="24">
        <v>-71.09</v>
      </c>
    </row>
    <row r="21" spans="1:3" hidden="1" x14ac:dyDescent="0.3">
      <c r="A21" s="26">
        <v>45890</v>
      </c>
      <c r="B21" s="46" t="s">
        <v>1</v>
      </c>
      <c r="C21" s="24">
        <v>15.04</v>
      </c>
    </row>
    <row r="22" spans="1:3" hidden="1" x14ac:dyDescent="0.3">
      <c r="A22" s="26">
        <v>45890</v>
      </c>
      <c r="B22" s="34" t="s">
        <v>1</v>
      </c>
      <c r="C22" s="24">
        <v>132.38</v>
      </c>
    </row>
    <row r="23" spans="1:3" hidden="1" x14ac:dyDescent="0.3">
      <c r="A23" s="26">
        <v>45890</v>
      </c>
      <c r="B23" s="32" t="s">
        <v>1</v>
      </c>
      <c r="C23" s="24">
        <v>9.84</v>
      </c>
    </row>
    <row r="24" spans="1:3" hidden="1" x14ac:dyDescent="0.3">
      <c r="A24" s="26">
        <v>45897</v>
      </c>
      <c r="B24" s="27" t="s">
        <v>4</v>
      </c>
      <c r="C24" s="24">
        <v>-68.61</v>
      </c>
    </row>
    <row r="25" spans="1:3" hidden="1" x14ac:dyDescent="0.3">
      <c r="A25" s="26">
        <v>45897</v>
      </c>
      <c r="B25" s="27" t="s">
        <v>7</v>
      </c>
      <c r="C25" s="24">
        <v>-11.45</v>
      </c>
    </row>
    <row r="26" spans="1:3" hidden="1" x14ac:dyDescent="0.3">
      <c r="A26" s="26">
        <v>45897</v>
      </c>
      <c r="B26" s="32" t="s">
        <v>1</v>
      </c>
      <c r="C26" s="24">
        <v>9.84</v>
      </c>
    </row>
    <row r="27" spans="1:3" hidden="1" x14ac:dyDescent="0.3">
      <c r="A27" s="26">
        <v>45897</v>
      </c>
      <c r="B27" s="34" t="s">
        <v>1</v>
      </c>
      <c r="C27" s="24">
        <v>75.39</v>
      </c>
    </row>
    <row r="28" spans="1:3" hidden="1" x14ac:dyDescent="0.3">
      <c r="A28" s="26">
        <v>45904</v>
      </c>
      <c r="B28" s="27" t="s">
        <v>4</v>
      </c>
      <c r="C28" s="24">
        <v>-65.89</v>
      </c>
    </row>
    <row r="29" spans="1:3" hidden="1" x14ac:dyDescent="0.3">
      <c r="A29" s="26">
        <v>45904</v>
      </c>
      <c r="B29" s="27" t="s">
        <v>4</v>
      </c>
      <c r="C29" s="24">
        <v>-38</v>
      </c>
    </row>
    <row r="30" spans="1:3" hidden="1" x14ac:dyDescent="0.3">
      <c r="A30" s="26">
        <v>45904</v>
      </c>
      <c r="B30" s="27" t="s">
        <v>7</v>
      </c>
      <c r="C30" s="24">
        <f>-58.53</f>
        <v>-58.53</v>
      </c>
    </row>
    <row r="31" spans="1:3" hidden="1" x14ac:dyDescent="0.3">
      <c r="A31" s="26">
        <v>45904</v>
      </c>
      <c r="B31" s="32" t="s">
        <v>1</v>
      </c>
      <c r="C31" s="24">
        <v>7.5</v>
      </c>
    </row>
    <row r="32" spans="1:3" hidden="1" x14ac:dyDescent="0.3">
      <c r="A32" s="26">
        <v>45904</v>
      </c>
      <c r="B32" s="34" t="s">
        <v>1</v>
      </c>
      <c r="C32" s="24">
        <v>65.260000000000005</v>
      </c>
    </row>
    <row r="33" spans="1:3" hidden="1" x14ac:dyDescent="0.3">
      <c r="A33" s="26">
        <v>45904</v>
      </c>
      <c r="B33" s="46" t="s">
        <v>1</v>
      </c>
      <c r="C33" s="24">
        <v>15.69</v>
      </c>
    </row>
    <row r="34" spans="1:3" hidden="1" x14ac:dyDescent="0.3">
      <c r="A34" s="26">
        <v>45911</v>
      </c>
      <c r="B34" s="32" t="s">
        <v>1</v>
      </c>
      <c r="C34" s="24">
        <v>27.85</v>
      </c>
    </row>
    <row r="35" spans="1:3" hidden="1" x14ac:dyDescent="0.3">
      <c r="A35" s="26">
        <v>45911</v>
      </c>
      <c r="B35" s="34" t="s">
        <v>1</v>
      </c>
      <c r="C35" s="24">
        <v>5.22</v>
      </c>
    </row>
    <row r="36" spans="1:3" hidden="1" x14ac:dyDescent="0.3">
      <c r="A36" s="26">
        <v>45916</v>
      </c>
      <c r="B36" s="27" t="s">
        <v>4</v>
      </c>
      <c r="C36" s="24">
        <v>-85.26</v>
      </c>
    </row>
    <row r="37" spans="1:3" hidden="1" x14ac:dyDescent="0.3">
      <c r="A37" s="26">
        <v>45918</v>
      </c>
      <c r="B37" s="27" t="s">
        <v>7</v>
      </c>
      <c r="C37" s="24">
        <v>-33.67</v>
      </c>
    </row>
    <row r="38" spans="1:3" hidden="1" x14ac:dyDescent="0.3">
      <c r="A38" s="26">
        <v>45918</v>
      </c>
      <c r="B38" s="32" t="s">
        <v>1</v>
      </c>
      <c r="C38" s="24">
        <v>29.44</v>
      </c>
    </row>
    <row r="39" spans="1:3" hidden="1" x14ac:dyDescent="0.3">
      <c r="A39" s="26">
        <v>45918</v>
      </c>
      <c r="B39" s="34" t="s">
        <v>1</v>
      </c>
      <c r="C39" s="24">
        <v>32.659999999999997</v>
      </c>
    </row>
    <row r="40" spans="1:3" hidden="1" x14ac:dyDescent="0.3">
      <c r="A40" s="26">
        <v>45918</v>
      </c>
      <c r="B40" s="46" t="s">
        <v>1</v>
      </c>
      <c r="C40" s="24">
        <v>19.14</v>
      </c>
    </row>
    <row r="41" spans="1:3" hidden="1" x14ac:dyDescent="0.3">
      <c r="A41" s="26">
        <v>45929</v>
      </c>
      <c r="B41" s="32" t="s">
        <v>1</v>
      </c>
      <c r="C41" s="24">
        <v>15.85</v>
      </c>
    </row>
    <row r="42" spans="1:3" hidden="1" x14ac:dyDescent="0.3">
      <c r="A42" s="26">
        <v>45933</v>
      </c>
      <c r="B42" s="27" t="s">
        <v>4</v>
      </c>
      <c r="C42" s="24">
        <v>-83.84</v>
      </c>
    </row>
    <row r="43" spans="1:3" hidden="1" x14ac:dyDescent="0.3">
      <c r="A43" s="26">
        <v>45933</v>
      </c>
      <c r="B43" s="27" t="s">
        <v>4</v>
      </c>
      <c r="C43" s="24">
        <v>-15.85</v>
      </c>
    </row>
    <row r="44" spans="1:3" hidden="1" x14ac:dyDescent="0.3">
      <c r="A44" s="26">
        <v>45933</v>
      </c>
      <c r="B44" s="32" t="s">
        <v>1</v>
      </c>
      <c r="C44" s="24">
        <v>29.44</v>
      </c>
    </row>
    <row r="45" spans="1:3" hidden="1" x14ac:dyDescent="0.3">
      <c r="A45" s="26">
        <v>45933</v>
      </c>
      <c r="B45" s="27" t="s">
        <v>4</v>
      </c>
      <c r="C45" s="24">
        <v>-29.44</v>
      </c>
    </row>
    <row r="46" spans="1:3" hidden="1" x14ac:dyDescent="0.3">
      <c r="A46" s="26">
        <v>45940</v>
      </c>
      <c r="B46" s="32" t="s">
        <v>1</v>
      </c>
      <c r="C46" s="24">
        <v>24.2</v>
      </c>
    </row>
    <row r="47" spans="1:3" hidden="1" x14ac:dyDescent="0.3">
      <c r="A47" s="26">
        <v>45947</v>
      </c>
      <c r="B47" s="27" t="s">
        <v>4</v>
      </c>
      <c r="C47" s="24">
        <v>-24.2</v>
      </c>
    </row>
    <row r="48" spans="1:3" x14ac:dyDescent="0.3">
      <c r="A48" s="26">
        <v>45947</v>
      </c>
      <c r="B48" s="32" t="s">
        <v>1</v>
      </c>
      <c r="C48" s="24">
        <v>38.22</v>
      </c>
    </row>
    <row r="49" spans="1:6" x14ac:dyDescent="0.3">
      <c r="A49" s="26">
        <v>45954</v>
      </c>
      <c r="B49" s="27" t="s">
        <v>4</v>
      </c>
      <c r="C49" s="24">
        <v>-27.98</v>
      </c>
    </row>
    <row r="50" spans="1:6" x14ac:dyDescent="0.3">
      <c r="A50" s="26">
        <v>45954</v>
      </c>
      <c r="B50" s="32" t="s">
        <v>1</v>
      </c>
      <c r="C50" s="24">
        <v>27.1</v>
      </c>
      <c r="F50" s="25">
        <v>-1</v>
      </c>
    </row>
    <row r="51" spans="1:6" x14ac:dyDescent="0.3">
      <c r="A51" s="26">
        <v>45954</v>
      </c>
      <c r="B51" s="27" t="s">
        <v>7</v>
      </c>
      <c r="C51" s="24">
        <v>-11.11</v>
      </c>
    </row>
    <row r="52" spans="1:6" x14ac:dyDescent="0.3">
      <c r="A52" s="26">
        <v>45960</v>
      </c>
      <c r="B52" s="27" t="s">
        <v>4</v>
      </c>
      <c r="C52" s="24">
        <v>-27.1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8B41C-97F0-4572-8D20-E0C410551F50}">
  <sheetPr codeName="Hoja76"/>
  <dimension ref="A1:I41"/>
  <sheetViews>
    <sheetView view="pageBreakPreview" zoomScale="80" zoomScaleNormal="100" zoomScaleSheetLayoutView="80" workbookViewId="0">
      <selection activeCell="C42" sqref="C4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83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648.32000000000005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45814</v>
      </c>
      <c r="B5" s="31" t="s">
        <v>21</v>
      </c>
      <c r="C5" s="24">
        <v>175.61</v>
      </c>
      <c r="D5" s="30"/>
      <c r="E5" s="30"/>
      <c r="F5" s="30"/>
      <c r="G5" s="22"/>
    </row>
    <row r="6" spans="1:9" hidden="1" x14ac:dyDescent="0.3">
      <c r="A6" s="21">
        <v>45814</v>
      </c>
      <c r="B6" s="32" t="s">
        <v>21</v>
      </c>
      <c r="C6" s="24">
        <v>31.2</v>
      </c>
    </row>
    <row r="7" spans="1:9" hidden="1" x14ac:dyDescent="0.3">
      <c r="A7" s="26">
        <v>45828</v>
      </c>
      <c r="B7" s="27" t="s">
        <v>4</v>
      </c>
      <c r="C7" s="24">
        <v>-106.81</v>
      </c>
    </row>
    <row r="8" spans="1:9" hidden="1" x14ac:dyDescent="0.3">
      <c r="A8" s="26">
        <v>45833</v>
      </c>
      <c r="B8" s="27" t="s">
        <v>4</v>
      </c>
      <c r="C8" s="24">
        <v>-100</v>
      </c>
    </row>
    <row r="9" spans="1:9" hidden="1" x14ac:dyDescent="0.3">
      <c r="A9" s="26">
        <v>45834</v>
      </c>
      <c r="B9" s="32" t="s">
        <v>21</v>
      </c>
      <c r="C9" s="24">
        <v>17.8</v>
      </c>
      <c r="I9" s="25"/>
    </row>
    <row r="10" spans="1:9" hidden="1" x14ac:dyDescent="0.3">
      <c r="A10" s="26">
        <v>45834</v>
      </c>
      <c r="B10" s="31" t="s">
        <v>1</v>
      </c>
      <c r="C10" s="24">
        <v>132.65</v>
      </c>
    </row>
    <row r="11" spans="1:9" hidden="1" x14ac:dyDescent="0.3">
      <c r="A11" s="26">
        <v>45855</v>
      </c>
      <c r="B11" s="32" t="s">
        <v>21</v>
      </c>
      <c r="C11" s="24">
        <v>51.45</v>
      </c>
    </row>
    <row r="12" spans="1:9" hidden="1" x14ac:dyDescent="0.3">
      <c r="A12" s="26">
        <v>45855</v>
      </c>
      <c r="B12" s="31" t="s">
        <v>1</v>
      </c>
      <c r="C12" s="24">
        <v>59.7</v>
      </c>
    </row>
    <row r="13" spans="1:9" hidden="1" x14ac:dyDescent="0.3">
      <c r="A13" s="26">
        <v>45866</v>
      </c>
      <c r="B13" s="27" t="s">
        <v>4</v>
      </c>
      <c r="C13" s="24">
        <v>-150.44999999999999</v>
      </c>
    </row>
    <row r="14" spans="1:9" hidden="1" x14ac:dyDescent="0.3">
      <c r="A14" s="26">
        <v>45876</v>
      </c>
      <c r="B14" s="27" t="s">
        <v>4</v>
      </c>
      <c r="C14" s="24">
        <v>-111.15</v>
      </c>
    </row>
    <row r="15" spans="1:9" hidden="1" x14ac:dyDescent="0.3">
      <c r="A15" s="26">
        <v>45877</v>
      </c>
      <c r="B15" s="27" t="s">
        <v>1</v>
      </c>
      <c r="C15" s="24">
        <v>322.89999999999998</v>
      </c>
    </row>
    <row r="16" spans="1:9" hidden="1" x14ac:dyDescent="0.3">
      <c r="A16" s="26">
        <v>45877</v>
      </c>
      <c r="B16" s="32" t="s">
        <v>21</v>
      </c>
      <c r="C16" s="24">
        <v>16.5</v>
      </c>
    </row>
    <row r="17" spans="1:3" hidden="1" x14ac:dyDescent="0.3">
      <c r="A17" s="26">
        <v>45896</v>
      </c>
      <c r="B17" s="27" t="s">
        <v>4</v>
      </c>
      <c r="C17" s="24">
        <v>-339.39</v>
      </c>
    </row>
    <row r="18" spans="1:3" hidden="1" x14ac:dyDescent="0.3">
      <c r="A18" s="26">
        <v>45897</v>
      </c>
      <c r="B18" s="27" t="s">
        <v>1</v>
      </c>
      <c r="C18" s="24">
        <v>410.1</v>
      </c>
    </row>
    <row r="19" spans="1:3" hidden="1" x14ac:dyDescent="0.3">
      <c r="A19" s="26">
        <v>45897</v>
      </c>
      <c r="B19" s="32" t="s">
        <v>21</v>
      </c>
      <c r="C19" s="24">
        <v>33.54</v>
      </c>
    </row>
    <row r="20" spans="1:3" hidden="1" x14ac:dyDescent="0.3">
      <c r="A20" s="26">
        <v>45945</v>
      </c>
      <c r="B20" s="27" t="s">
        <v>4</v>
      </c>
      <c r="C20" s="24">
        <v>-107.64</v>
      </c>
    </row>
    <row r="21" spans="1:3" hidden="1" x14ac:dyDescent="0.3">
      <c r="A21" s="26">
        <v>45947</v>
      </c>
      <c r="B21" s="27" t="s">
        <v>4</v>
      </c>
      <c r="C21" s="24">
        <v>-140</v>
      </c>
    </row>
    <row r="22" spans="1:3" hidden="1" x14ac:dyDescent="0.3">
      <c r="A22" s="26">
        <v>45950</v>
      </c>
      <c r="B22" s="27" t="s">
        <v>4</v>
      </c>
      <c r="C22" s="24">
        <v>-100</v>
      </c>
    </row>
    <row r="23" spans="1:3" hidden="1" x14ac:dyDescent="0.3">
      <c r="A23" s="26">
        <v>45952</v>
      </c>
      <c r="B23" s="27" t="s">
        <v>4</v>
      </c>
      <c r="C23" s="24">
        <v>-100</v>
      </c>
    </row>
    <row r="24" spans="1:3" hidden="1" x14ac:dyDescent="0.3">
      <c r="A24" s="26">
        <v>45961</v>
      </c>
      <c r="B24" s="27" t="s">
        <v>1</v>
      </c>
      <c r="C24" s="24">
        <v>358.63</v>
      </c>
    </row>
    <row r="25" spans="1:3" hidden="1" x14ac:dyDescent="0.3">
      <c r="A25" s="26">
        <v>45979</v>
      </c>
      <c r="B25" s="27" t="s">
        <v>4</v>
      </c>
      <c r="C25" s="24">
        <v>-108.63</v>
      </c>
    </row>
    <row r="26" spans="1:3" hidden="1" x14ac:dyDescent="0.3">
      <c r="A26" s="26">
        <v>45981</v>
      </c>
      <c r="B26" s="27" t="s">
        <v>4</v>
      </c>
      <c r="C26" s="24">
        <v>-80</v>
      </c>
    </row>
    <row r="27" spans="1:3" hidden="1" x14ac:dyDescent="0.3">
      <c r="A27" s="26">
        <v>45982</v>
      </c>
      <c r="B27" s="27" t="s">
        <v>4</v>
      </c>
      <c r="C27" s="24">
        <v>-170</v>
      </c>
    </row>
    <row r="28" spans="1:3" x14ac:dyDescent="0.3">
      <c r="A28" s="26">
        <v>45988</v>
      </c>
      <c r="B28" s="27" t="s">
        <v>1</v>
      </c>
      <c r="C28" s="24">
        <v>174.3</v>
      </c>
    </row>
    <row r="29" spans="1:3" x14ac:dyDescent="0.3">
      <c r="A29" s="26">
        <v>46002</v>
      </c>
      <c r="B29" s="27" t="s">
        <v>4</v>
      </c>
      <c r="C29" s="24">
        <v>-168.39</v>
      </c>
    </row>
    <row r="30" spans="1:3" x14ac:dyDescent="0.3">
      <c r="A30" s="26">
        <v>46003</v>
      </c>
      <c r="B30" s="27" t="s">
        <v>1</v>
      </c>
      <c r="C30" s="24">
        <v>288.70999999999998</v>
      </c>
    </row>
    <row r="31" spans="1:3" x14ac:dyDescent="0.3">
      <c r="A31" s="26">
        <v>46004</v>
      </c>
      <c r="B31" s="27" t="s">
        <v>4</v>
      </c>
      <c r="C31" s="24">
        <v>-4</v>
      </c>
    </row>
    <row r="32" spans="1:3" x14ac:dyDescent="0.3">
      <c r="A32" s="26">
        <v>46010</v>
      </c>
      <c r="B32" s="27" t="s">
        <v>4</v>
      </c>
      <c r="C32" s="24">
        <v>-108.81</v>
      </c>
    </row>
    <row r="33" spans="1:3" x14ac:dyDescent="0.3">
      <c r="A33" s="26">
        <v>46010</v>
      </c>
      <c r="B33" s="27" t="s">
        <v>4</v>
      </c>
      <c r="C33" s="24">
        <v>-179.9</v>
      </c>
    </row>
    <row r="34" spans="1:3" x14ac:dyDescent="0.3">
      <c r="A34" s="26">
        <v>46010</v>
      </c>
      <c r="B34" s="27" t="s">
        <v>1</v>
      </c>
      <c r="C34" s="24">
        <v>1521.48</v>
      </c>
    </row>
    <row r="35" spans="1:3" x14ac:dyDescent="0.3">
      <c r="A35" s="26">
        <v>46024</v>
      </c>
      <c r="B35" s="27" t="s">
        <v>4</v>
      </c>
      <c r="C35" s="24">
        <v>-121.48</v>
      </c>
    </row>
    <row r="36" spans="1:3" x14ac:dyDescent="0.3">
      <c r="A36" s="26">
        <v>45662</v>
      </c>
      <c r="B36" s="27" t="s">
        <v>4</v>
      </c>
      <c r="C36" s="24">
        <v>-150</v>
      </c>
    </row>
    <row r="37" spans="1:3" x14ac:dyDescent="0.3">
      <c r="A37" s="26">
        <v>46037</v>
      </c>
      <c r="B37" s="27" t="s">
        <v>4</v>
      </c>
      <c r="C37" s="24">
        <v>-130</v>
      </c>
    </row>
    <row r="38" spans="1:3" x14ac:dyDescent="0.3">
      <c r="A38" s="26">
        <v>46042</v>
      </c>
      <c r="B38" s="27" t="s">
        <v>4</v>
      </c>
      <c r="C38" s="24">
        <v>-120</v>
      </c>
    </row>
    <row r="39" spans="1:3" x14ac:dyDescent="0.3">
      <c r="A39" s="26">
        <v>46049</v>
      </c>
      <c r="B39" s="27" t="s">
        <v>4</v>
      </c>
      <c r="C39" s="24">
        <v>-150</v>
      </c>
    </row>
    <row r="40" spans="1:3" x14ac:dyDescent="0.3">
      <c r="A40" s="26">
        <v>46056</v>
      </c>
      <c r="B40" s="27" t="s">
        <v>4</v>
      </c>
      <c r="C40" s="24">
        <v>-150</v>
      </c>
    </row>
    <row r="41" spans="1:3" x14ac:dyDescent="0.3">
      <c r="A41" s="26">
        <v>46057</v>
      </c>
      <c r="B41" s="27" t="s">
        <v>4</v>
      </c>
      <c r="C41" s="24">
        <v>-49.6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3FF47-A178-4463-B8FA-8EF1F5DE4C04}">
  <dimension ref="A1:I39"/>
  <sheetViews>
    <sheetView view="pageBreakPreview" zoomScale="80" zoomScaleNormal="100" zoomScaleSheetLayoutView="80" workbookViewId="0">
      <selection sqref="A1:H4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394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 t="s">
        <v>395</v>
      </c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-1.9999999999997797E-2</v>
      </c>
      <c r="D3" s="20">
        <f>SUM(D$4:D$1048576)</f>
        <v>0</v>
      </c>
      <c r="E3" s="20">
        <f>SUM(E$5:E$1048576)</f>
        <v>1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45870</v>
      </c>
      <c r="B5" s="32" t="s">
        <v>21</v>
      </c>
      <c r="C5" s="24">
        <v>25.45</v>
      </c>
      <c r="D5" s="30"/>
      <c r="E5" s="30">
        <v>1</v>
      </c>
      <c r="F5" s="30"/>
      <c r="G5" s="22"/>
    </row>
    <row r="6" spans="1:9" x14ac:dyDescent="0.3">
      <c r="A6" s="26">
        <v>45870</v>
      </c>
      <c r="B6" s="34" t="s">
        <v>1</v>
      </c>
      <c r="C6" s="24">
        <v>45.72</v>
      </c>
    </row>
    <row r="7" spans="1:9" x14ac:dyDescent="0.3">
      <c r="A7" s="21">
        <v>45877</v>
      </c>
      <c r="B7" s="27" t="s">
        <v>7</v>
      </c>
      <c r="C7" s="24">
        <v>-71.19</v>
      </c>
    </row>
    <row r="8" spans="1:9" x14ac:dyDescent="0.3">
      <c r="A8" s="21">
        <v>45877</v>
      </c>
      <c r="B8" s="32" t="s">
        <v>21</v>
      </c>
      <c r="C8" s="24">
        <v>9.6</v>
      </c>
    </row>
    <row r="9" spans="1:9" x14ac:dyDescent="0.3">
      <c r="A9" s="21">
        <v>45877</v>
      </c>
      <c r="B9" s="34" t="s">
        <v>1</v>
      </c>
      <c r="C9" s="24">
        <v>5.46</v>
      </c>
      <c r="I9" s="25"/>
    </row>
    <row r="10" spans="1:9" x14ac:dyDescent="0.3">
      <c r="A10" s="26">
        <v>45881</v>
      </c>
      <c r="B10" s="27" t="s">
        <v>7</v>
      </c>
      <c r="C10" s="24">
        <v>-15.06</v>
      </c>
    </row>
    <row r="11" spans="1:9" x14ac:dyDescent="0.3">
      <c r="B11" s="32"/>
    </row>
    <row r="12" spans="1:9" x14ac:dyDescent="0.3">
      <c r="B12" s="31"/>
    </row>
    <row r="17" spans="2:2" x14ac:dyDescent="0.3">
      <c r="B17" s="34"/>
    </row>
    <row r="18" spans="2:2" x14ac:dyDescent="0.3">
      <c r="B18" s="46"/>
    </row>
    <row r="21" spans="2:2" x14ac:dyDescent="0.3">
      <c r="B21" s="34"/>
    </row>
    <row r="22" spans="2:2" x14ac:dyDescent="0.3">
      <c r="B22" s="46"/>
    </row>
    <row r="24" spans="2:2" x14ac:dyDescent="0.3">
      <c r="B24" s="32"/>
    </row>
    <row r="25" spans="2:2" x14ac:dyDescent="0.3">
      <c r="B25" s="34"/>
    </row>
    <row r="26" spans="2:2" x14ac:dyDescent="0.3">
      <c r="B26" s="46"/>
    </row>
    <row r="29" spans="2:2" x14ac:dyDescent="0.3">
      <c r="B29" s="32"/>
    </row>
    <row r="30" spans="2:2" x14ac:dyDescent="0.3">
      <c r="B30" s="34"/>
    </row>
    <row r="32" spans="2:2" x14ac:dyDescent="0.3">
      <c r="B32" s="32"/>
    </row>
    <row r="33" spans="2:2" x14ac:dyDescent="0.3">
      <c r="B33" s="34"/>
    </row>
    <row r="35" spans="2:2" x14ac:dyDescent="0.3">
      <c r="B35" s="32"/>
    </row>
    <row r="36" spans="2:2" x14ac:dyDescent="0.3">
      <c r="B36" s="34"/>
    </row>
    <row r="38" spans="2:2" x14ac:dyDescent="0.3">
      <c r="B38" s="32"/>
    </row>
    <row r="39" spans="2:2" x14ac:dyDescent="0.3">
      <c r="B39" s="34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0992C-4450-4428-94CD-CEBF788855CD}">
  <sheetPr codeName="Hoja77"/>
  <dimension ref="A1:I142"/>
  <sheetViews>
    <sheetView view="pageBreakPreview" zoomScale="80" zoomScaleNormal="100" zoomScaleSheetLayoutView="80" workbookViewId="0">
      <selection activeCell="C143" sqref="C14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49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0.66500000000009152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45813</v>
      </c>
      <c r="B5" s="31" t="s">
        <v>1</v>
      </c>
      <c r="C5" s="24">
        <v>41.6</v>
      </c>
      <c r="D5" s="30"/>
      <c r="E5" s="30"/>
      <c r="F5" s="30"/>
      <c r="G5" s="22"/>
    </row>
    <row r="6" spans="1:9" hidden="1" x14ac:dyDescent="0.3">
      <c r="A6" s="21">
        <v>45813</v>
      </c>
      <c r="B6" s="32" t="s">
        <v>21</v>
      </c>
      <c r="C6" s="24">
        <v>45.15</v>
      </c>
    </row>
    <row r="7" spans="1:9" hidden="1" x14ac:dyDescent="0.3">
      <c r="A7" s="21">
        <v>45813</v>
      </c>
      <c r="B7" s="34" t="s">
        <v>21</v>
      </c>
      <c r="C7" s="24">
        <v>205.04</v>
      </c>
    </row>
    <row r="8" spans="1:9" hidden="1" x14ac:dyDescent="0.3">
      <c r="A8" s="26">
        <v>45817</v>
      </c>
      <c r="B8" s="27" t="s">
        <v>4</v>
      </c>
      <c r="C8" s="24">
        <v>-251.11</v>
      </c>
    </row>
    <row r="9" spans="1:9" hidden="1" x14ac:dyDescent="0.3">
      <c r="A9" s="26">
        <v>45819</v>
      </c>
      <c r="B9" s="27" t="s">
        <v>1</v>
      </c>
      <c r="C9" s="24">
        <v>41.6</v>
      </c>
      <c r="I9" s="25"/>
    </row>
    <row r="10" spans="1:9" hidden="1" x14ac:dyDescent="0.3">
      <c r="A10" s="26">
        <v>45819</v>
      </c>
      <c r="B10" s="34" t="s">
        <v>21</v>
      </c>
      <c r="C10" s="24">
        <v>95.93</v>
      </c>
    </row>
    <row r="11" spans="1:9" hidden="1" x14ac:dyDescent="0.3">
      <c r="A11" s="26">
        <v>45819</v>
      </c>
      <c r="B11" s="46" t="s">
        <v>21</v>
      </c>
      <c r="C11" s="24">
        <v>20.68</v>
      </c>
    </row>
    <row r="12" spans="1:9" hidden="1" x14ac:dyDescent="0.3">
      <c r="A12" s="26">
        <v>45821</v>
      </c>
      <c r="B12" s="31" t="s">
        <v>4</v>
      </c>
      <c r="C12" s="24">
        <v>-150</v>
      </c>
    </row>
    <row r="13" spans="1:9" hidden="1" x14ac:dyDescent="0.3">
      <c r="A13" s="26">
        <v>45824</v>
      </c>
      <c r="B13" s="27" t="s">
        <v>4</v>
      </c>
      <c r="C13" s="24">
        <v>-8.1199999999999992</v>
      </c>
    </row>
    <row r="14" spans="1:9" hidden="1" x14ac:dyDescent="0.3">
      <c r="A14" s="26">
        <v>45825</v>
      </c>
      <c r="B14" s="27" t="s">
        <v>257</v>
      </c>
      <c r="C14" s="24">
        <v>-40.68</v>
      </c>
    </row>
    <row r="15" spans="1:9" hidden="1" x14ac:dyDescent="0.3">
      <c r="A15" s="26">
        <v>45826</v>
      </c>
      <c r="B15" s="27" t="s">
        <v>4</v>
      </c>
      <c r="C15" s="24">
        <v>-176.14</v>
      </c>
    </row>
    <row r="16" spans="1:9" hidden="1" x14ac:dyDescent="0.3">
      <c r="A16" s="26">
        <v>45826</v>
      </c>
      <c r="B16" s="27" t="s">
        <v>1</v>
      </c>
      <c r="C16" s="24">
        <v>62.4</v>
      </c>
    </row>
    <row r="17" spans="1:4" hidden="1" x14ac:dyDescent="0.3">
      <c r="A17" s="26">
        <v>45826</v>
      </c>
      <c r="B17" s="34" t="s">
        <v>21</v>
      </c>
      <c r="C17" s="24">
        <v>107.99</v>
      </c>
    </row>
    <row r="18" spans="1:4" hidden="1" x14ac:dyDescent="0.3">
      <c r="A18" s="26">
        <v>45826</v>
      </c>
      <c r="B18" s="46" t="s">
        <v>21</v>
      </c>
      <c r="C18" s="24">
        <v>5.39</v>
      </c>
    </row>
    <row r="19" spans="1:4" hidden="1" x14ac:dyDescent="0.3">
      <c r="A19" s="26">
        <v>45833</v>
      </c>
      <c r="B19" s="27" t="s">
        <v>4</v>
      </c>
      <c r="C19" s="24">
        <v>-151.44</v>
      </c>
    </row>
    <row r="20" spans="1:4" hidden="1" x14ac:dyDescent="0.3">
      <c r="A20" s="26">
        <v>45833</v>
      </c>
      <c r="B20" s="27" t="s">
        <v>1</v>
      </c>
      <c r="C20" s="24">
        <v>62.4</v>
      </c>
    </row>
    <row r="21" spans="1:4" hidden="1" x14ac:dyDescent="0.3">
      <c r="A21" s="26">
        <v>45833</v>
      </c>
      <c r="B21" s="34" t="s">
        <v>21</v>
      </c>
      <c r="C21" s="24">
        <v>59.024999999999999</v>
      </c>
    </row>
    <row r="22" spans="1:4" hidden="1" x14ac:dyDescent="0.3">
      <c r="A22" s="26">
        <v>45833</v>
      </c>
      <c r="B22" s="46" t="s">
        <v>21</v>
      </c>
      <c r="C22" s="24">
        <v>30.02</v>
      </c>
    </row>
    <row r="23" spans="1:4" hidden="1" x14ac:dyDescent="0.3">
      <c r="A23" s="26">
        <v>45840</v>
      </c>
      <c r="B23" s="27" t="s">
        <v>4</v>
      </c>
      <c r="C23" s="24">
        <v>-153.97</v>
      </c>
    </row>
    <row r="24" spans="1:4" hidden="1" x14ac:dyDescent="0.3">
      <c r="A24" s="26">
        <v>45840</v>
      </c>
      <c r="B24" s="32" t="s">
        <v>21</v>
      </c>
      <c r="C24" s="24">
        <v>20.64</v>
      </c>
    </row>
    <row r="25" spans="1:4" hidden="1" x14ac:dyDescent="0.3">
      <c r="A25" s="26">
        <v>45840</v>
      </c>
      <c r="B25" s="34" t="s">
        <v>1</v>
      </c>
      <c r="C25" s="24">
        <v>107.25</v>
      </c>
    </row>
    <row r="26" spans="1:4" hidden="1" x14ac:dyDescent="0.3">
      <c r="A26" s="26">
        <v>45840</v>
      </c>
      <c r="B26" s="46" t="s">
        <v>21</v>
      </c>
      <c r="C26" s="24">
        <v>26.08</v>
      </c>
    </row>
    <row r="27" spans="1:4" hidden="1" x14ac:dyDescent="0.3">
      <c r="A27" s="26">
        <v>45847</v>
      </c>
      <c r="B27" s="27" t="s">
        <v>4</v>
      </c>
      <c r="C27" s="24">
        <v>-105.23</v>
      </c>
    </row>
    <row r="28" spans="1:4" hidden="1" x14ac:dyDescent="0.3">
      <c r="A28" s="26">
        <v>45847</v>
      </c>
      <c r="B28" s="27" t="s">
        <v>1</v>
      </c>
      <c r="C28" s="24">
        <v>17.43</v>
      </c>
    </row>
    <row r="29" spans="1:4" hidden="1" x14ac:dyDescent="0.3">
      <c r="A29" s="26">
        <v>45847</v>
      </c>
      <c r="B29" s="32" t="s">
        <v>21</v>
      </c>
      <c r="C29" s="24">
        <v>25.69</v>
      </c>
      <c r="D29" s="25">
        <v>1</v>
      </c>
    </row>
    <row r="30" spans="1:4" hidden="1" x14ac:dyDescent="0.3">
      <c r="A30" s="26">
        <v>45847</v>
      </c>
      <c r="B30" s="34" t="s">
        <v>1</v>
      </c>
      <c r="C30" s="24">
        <v>62.11</v>
      </c>
    </row>
    <row r="31" spans="1:4" hidden="1" x14ac:dyDescent="0.3">
      <c r="A31" s="26">
        <v>45854</v>
      </c>
      <c r="B31" s="27" t="s">
        <v>4</v>
      </c>
      <c r="C31" s="24">
        <v>-36.479999999999997</v>
      </c>
    </row>
    <row r="32" spans="1:4" hidden="1" x14ac:dyDescent="0.3">
      <c r="A32" s="26">
        <v>45854</v>
      </c>
      <c r="B32" s="32" t="s">
        <v>21</v>
      </c>
      <c r="C32" s="24">
        <v>7.5</v>
      </c>
    </row>
    <row r="33" spans="1:4" hidden="1" x14ac:dyDescent="0.3">
      <c r="A33" s="26">
        <v>45854</v>
      </c>
      <c r="B33" s="34" t="s">
        <v>1</v>
      </c>
      <c r="C33" s="24">
        <v>28.98</v>
      </c>
    </row>
    <row r="34" spans="1:4" hidden="1" x14ac:dyDescent="0.3">
      <c r="A34" s="26">
        <v>45861</v>
      </c>
      <c r="B34" s="27" t="s">
        <v>4</v>
      </c>
      <c r="C34" s="24">
        <v>-206.59</v>
      </c>
    </row>
    <row r="35" spans="1:4" hidden="1" x14ac:dyDescent="0.3">
      <c r="A35" s="26">
        <v>45861</v>
      </c>
      <c r="B35" s="32" t="s">
        <v>21</v>
      </c>
      <c r="C35" s="24">
        <v>25.56</v>
      </c>
      <c r="D35" s="25">
        <v>-1</v>
      </c>
    </row>
    <row r="36" spans="1:4" hidden="1" x14ac:dyDescent="0.3">
      <c r="A36" s="26">
        <v>45861</v>
      </c>
      <c r="B36" s="34" t="s">
        <v>1</v>
      </c>
      <c r="C36" s="24">
        <v>181.03</v>
      </c>
    </row>
    <row r="37" spans="1:4" hidden="1" x14ac:dyDescent="0.3">
      <c r="A37" s="26">
        <v>45868</v>
      </c>
      <c r="B37" s="27" t="s">
        <v>4</v>
      </c>
      <c r="C37" s="24">
        <v>-147.63999999999999</v>
      </c>
    </row>
    <row r="38" spans="1:4" hidden="1" x14ac:dyDescent="0.3">
      <c r="A38" s="26">
        <v>45868</v>
      </c>
      <c r="B38" s="32" t="s">
        <v>21</v>
      </c>
      <c r="C38" s="24">
        <v>25.69</v>
      </c>
    </row>
    <row r="39" spans="1:4" hidden="1" x14ac:dyDescent="0.3">
      <c r="A39" s="26">
        <v>45868</v>
      </c>
      <c r="B39" s="34" t="s">
        <v>1</v>
      </c>
      <c r="C39" s="24">
        <v>121.96</v>
      </c>
    </row>
    <row r="40" spans="1:4" hidden="1" x14ac:dyDescent="0.3">
      <c r="A40" s="26">
        <v>45875</v>
      </c>
      <c r="B40" s="32" t="s">
        <v>21</v>
      </c>
      <c r="C40" s="24">
        <v>21.6</v>
      </c>
    </row>
    <row r="41" spans="1:4" hidden="1" x14ac:dyDescent="0.3">
      <c r="A41" s="26">
        <v>45875</v>
      </c>
      <c r="B41" s="34" t="s">
        <v>1</v>
      </c>
      <c r="C41" s="24">
        <v>24.14</v>
      </c>
    </row>
    <row r="42" spans="1:4" hidden="1" x14ac:dyDescent="0.3">
      <c r="A42" s="26">
        <v>45875</v>
      </c>
      <c r="B42" s="46" t="s">
        <v>21</v>
      </c>
      <c r="C42" s="24">
        <v>17.5</v>
      </c>
    </row>
    <row r="43" spans="1:4" hidden="1" x14ac:dyDescent="0.3">
      <c r="A43" s="26">
        <v>45876</v>
      </c>
      <c r="B43" s="27" t="s">
        <v>4</v>
      </c>
      <c r="C43" s="24">
        <v>-51.48</v>
      </c>
    </row>
    <row r="44" spans="1:4" hidden="1" x14ac:dyDescent="0.3">
      <c r="A44" s="26">
        <v>45882</v>
      </c>
      <c r="B44" s="27" t="s">
        <v>1</v>
      </c>
      <c r="C44" s="24">
        <v>17.43</v>
      </c>
    </row>
    <row r="45" spans="1:4" hidden="1" x14ac:dyDescent="0.3">
      <c r="A45" s="26">
        <v>45882</v>
      </c>
      <c r="B45" s="32" t="s">
        <v>21</v>
      </c>
      <c r="C45" s="24">
        <v>17.34</v>
      </c>
    </row>
    <row r="46" spans="1:4" hidden="1" x14ac:dyDescent="0.3">
      <c r="A46" s="26">
        <v>45882</v>
      </c>
      <c r="B46" s="34" t="s">
        <v>1</v>
      </c>
      <c r="C46" s="24">
        <v>67.48</v>
      </c>
    </row>
    <row r="47" spans="1:4" hidden="1" x14ac:dyDescent="0.3">
      <c r="A47" s="26">
        <v>45882</v>
      </c>
      <c r="B47" s="46" t="s">
        <v>21</v>
      </c>
      <c r="C47" s="24">
        <v>5.66</v>
      </c>
    </row>
    <row r="48" spans="1:4" hidden="1" x14ac:dyDescent="0.3">
      <c r="A48" s="26">
        <v>45884</v>
      </c>
      <c r="B48" s="27" t="s">
        <v>4</v>
      </c>
      <c r="C48" s="24">
        <v>-112.86</v>
      </c>
    </row>
    <row r="49" spans="1:3" hidden="1" x14ac:dyDescent="0.3">
      <c r="A49" s="26">
        <v>45889</v>
      </c>
      <c r="B49" s="27" t="s">
        <v>4</v>
      </c>
      <c r="C49" s="24">
        <v>-151.04</v>
      </c>
    </row>
    <row r="50" spans="1:3" hidden="1" x14ac:dyDescent="0.3">
      <c r="A50" s="26">
        <v>45889</v>
      </c>
      <c r="B50" s="27" t="s">
        <v>1</v>
      </c>
      <c r="C50" s="24">
        <v>62.4</v>
      </c>
    </row>
    <row r="51" spans="1:3" hidden="1" x14ac:dyDescent="0.3">
      <c r="A51" s="26">
        <v>45889</v>
      </c>
      <c r="B51" s="34" t="s">
        <v>1</v>
      </c>
      <c r="C51" s="24">
        <v>82.8</v>
      </c>
    </row>
    <row r="52" spans="1:3" hidden="1" x14ac:dyDescent="0.3">
      <c r="A52" s="26">
        <v>45896</v>
      </c>
      <c r="B52" s="27" t="s">
        <v>4</v>
      </c>
      <c r="C52" s="24">
        <v>-262.45</v>
      </c>
    </row>
    <row r="53" spans="1:3" hidden="1" x14ac:dyDescent="0.3">
      <c r="A53" s="26">
        <v>45896</v>
      </c>
      <c r="B53" s="27" t="s">
        <v>4</v>
      </c>
      <c r="C53" s="24">
        <v>-3.96</v>
      </c>
    </row>
    <row r="54" spans="1:3" hidden="1" x14ac:dyDescent="0.3">
      <c r="A54" s="26">
        <v>45896</v>
      </c>
      <c r="B54" s="27" t="s">
        <v>1</v>
      </c>
      <c r="C54" s="24">
        <v>20.8</v>
      </c>
    </row>
    <row r="55" spans="1:3" hidden="1" x14ac:dyDescent="0.3">
      <c r="A55" s="26">
        <v>45896</v>
      </c>
      <c r="B55" s="32" t="s">
        <v>21</v>
      </c>
      <c r="C55" s="24">
        <v>31.57</v>
      </c>
    </row>
    <row r="56" spans="1:3" hidden="1" x14ac:dyDescent="0.3">
      <c r="A56" s="26">
        <v>45896</v>
      </c>
      <c r="B56" s="34" t="s">
        <v>1</v>
      </c>
      <c r="C56" s="24">
        <v>214.04</v>
      </c>
    </row>
    <row r="57" spans="1:3" hidden="1" x14ac:dyDescent="0.3">
      <c r="A57" s="26">
        <v>45903</v>
      </c>
      <c r="B57" s="27" t="s">
        <v>1</v>
      </c>
      <c r="C57" s="24">
        <v>17.43</v>
      </c>
    </row>
    <row r="58" spans="1:3" hidden="1" x14ac:dyDescent="0.3">
      <c r="A58" s="26">
        <v>45903</v>
      </c>
      <c r="B58" s="32" t="s">
        <v>21</v>
      </c>
      <c r="C58" s="24">
        <v>15.72</v>
      </c>
    </row>
    <row r="59" spans="1:3" hidden="1" x14ac:dyDescent="0.3">
      <c r="A59" s="26">
        <v>45903</v>
      </c>
      <c r="B59" s="34" t="s">
        <v>1</v>
      </c>
      <c r="C59" s="24">
        <v>53.9</v>
      </c>
    </row>
    <row r="60" spans="1:3" hidden="1" x14ac:dyDescent="0.3">
      <c r="A60" s="26">
        <v>45903</v>
      </c>
      <c r="B60" s="46" t="s">
        <v>21</v>
      </c>
      <c r="C60" s="24">
        <v>6.13</v>
      </c>
    </row>
    <row r="61" spans="1:3" hidden="1" x14ac:dyDescent="0.3">
      <c r="A61" s="26">
        <v>45904</v>
      </c>
      <c r="B61" s="27" t="s">
        <v>4</v>
      </c>
      <c r="C61" s="24">
        <v>-92.61</v>
      </c>
    </row>
    <row r="62" spans="1:3" hidden="1" x14ac:dyDescent="0.3">
      <c r="A62" s="26">
        <v>45911</v>
      </c>
      <c r="B62" s="27" t="s">
        <v>4</v>
      </c>
      <c r="C62" s="24">
        <v>-76.41</v>
      </c>
    </row>
    <row r="63" spans="1:3" hidden="1" x14ac:dyDescent="0.3">
      <c r="A63" s="26">
        <v>45911</v>
      </c>
      <c r="B63" s="32" t="s">
        <v>21</v>
      </c>
      <c r="C63" s="24">
        <v>4.92</v>
      </c>
    </row>
    <row r="64" spans="1:3" hidden="1" x14ac:dyDescent="0.3">
      <c r="A64" s="26">
        <v>45911</v>
      </c>
      <c r="B64" s="34" t="s">
        <v>1</v>
      </c>
      <c r="C64" s="24">
        <v>51.04</v>
      </c>
    </row>
    <row r="65" spans="1:4" hidden="1" x14ac:dyDescent="0.3">
      <c r="A65" s="26">
        <v>45911</v>
      </c>
      <c r="B65" s="46" t="s">
        <v>21</v>
      </c>
      <c r="C65" s="24">
        <v>20.45</v>
      </c>
    </row>
    <row r="66" spans="1:4" hidden="1" x14ac:dyDescent="0.3">
      <c r="A66" s="26">
        <v>45917</v>
      </c>
      <c r="B66" s="27" t="s">
        <v>4</v>
      </c>
      <c r="C66" s="24">
        <v>-227.22</v>
      </c>
    </row>
    <row r="67" spans="1:4" hidden="1" x14ac:dyDescent="0.3">
      <c r="A67" s="26">
        <v>45917</v>
      </c>
      <c r="B67" s="32" t="s">
        <v>21</v>
      </c>
      <c r="C67" s="24">
        <v>30.61</v>
      </c>
      <c r="D67" s="25">
        <v>1</v>
      </c>
    </row>
    <row r="68" spans="1:4" hidden="1" x14ac:dyDescent="0.3">
      <c r="A68" s="26">
        <v>45917</v>
      </c>
      <c r="B68" s="34" t="s">
        <v>1</v>
      </c>
      <c r="C68" s="24">
        <v>196.61</v>
      </c>
    </row>
    <row r="69" spans="1:4" hidden="1" x14ac:dyDescent="0.3">
      <c r="A69" s="26">
        <v>45924</v>
      </c>
      <c r="B69" s="27" t="s">
        <v>4</v>
      </c>
      <c r="C69" s="24">
        <v>-29.46</v>
      </c>
    </row>
    <row r="70" spans="1:4" hidden="1" x14ac:dyDescent="0.3">
      <c r="A70" s="26">
        <v>45924</v>
      </c>
      <c r="B70" s="32" t="s">
        <v>21</v>
      </c>
      <c r="C70" s="24">
        <v>17.34</v>
      </c>
      <c r="D70" s="25">
        <v>-1</v>
      </c>
    </row>
    <row r="71" spans="1:4" hidden="1" x14ac:dyDescent="0.3">
      <c r="A71" s="26">
        <v>45924</v>
      </c>
      <c r="B71" s="34" t="s">
        <v>1</v>
      </c>
      <c r="C71" s="24">
        <v>12.12</v>
      </c>
    </row>
    <row r="72" spans="1:4" hidden="1" x14ac:dyDescent="0.3">
      <c r="A72" s="26">
        <v>45931</v>
      </c>
      <c r="B72" s="27" t="s">
        <v>4</v>
      </c>
      <c r="C72" s="24">
        <v>-139.33000000000001</v>
      </c>
    </row>
    <row r="73" spans="1:4" hidden="1" x14ac:dyDescent="0.3">
      <c r="A73" s="26">
        <v>45931</v>
      </c>
      <c r="B73" s="27" t="s">
        <v>1</v>
      </c>
      <c r="C73" s="24">
        <v>208</v>
      </c>
      <c r="D73" s="25">
        <v>8</v>
      </c>
    </row>
    <row r="74" spans="1:4" hidden="1" x14ac:dyDescent="0.3">
      <c r="A74" s="26">
        <v>45931</v>
      </c>
      <c r="B74" s="32" t="s">
        <v>21</v>
      </c>
      <c r="C74" s="24">
        <v>9.84</v>
      </c>
    </row>
    <row r="75" spans="1:4" hidden="1" x14ac:dyDescent="0.3">
      <c r="A75" s="26">
        <v>45931</v>
      </c>
      <c r="B75" s="34" t="s">
        <v>1</v>
      </c>
      <c r="C75" s="24">
        <v>156.24</v>
      </c>
    </row>
    <row r="76" spans="1:4" hidden="1" x14ac:dyDescent="0.3">
      <c r="A76" s="26">
        <v>45931</v>
      </c>
      <c r="B76" s="46" t="s">
        <v>21</v>
      </c>
      <c r="C76" s="24">
        <v>8.0399999999999991</v>
      </c>
    </row>
    <row r="77" spans="1:4" hidden="1" x14ac:dyDescent="0.3">
      <c r="A77" s="26">
        <v>45932</v>
      </c>
      <c r="B77" s="27" t="s">
        <v>4</v>
      </c>
      <c r="C77" s="24">
        <v>-74.459999999999994</v>
      </c>
    </row>
    <row r="78" spans="1:4" hidden="1" x14ac:dyDescent="0.3">
      <c r="A78" s="26">
        <v>45936</v>
      </c>
      <c r="B78" s="27" t="s">
        <v>4</v>
      </c>
      <c r="C78" s="24">
        <v>-44</v>
      </c>
    </row>
    <row r="79" spans="1:4" hidden="1" x14ac:dyDescent="0.3">
      <c r="A79" s="26">
        <v>45936</v>
      </c>
      <c r="B79" s="27" t="s">
        <v>4</v>
      </c>
      <c r="C79" s="24">
        <v>-63</v>
      </c>
    </row>
    <row r="80" spans="1:4" hidden="1" x14ac:dyDescent="0.3">
      <c r="A80" s="26">
        <v>45938</v>
      </c>
      <c r="B80" s="32" t="s">
        <v>21</v>
      </c>
      <c r="C80" s="24">
        <v>11.76</v>
      </c>
    </row>
    <row r="81" spans="1:4" hidden="1" x14ac:dyDescent="0.3">
      <c r="A81" s="26">
        <v>45938</v>
      </c>
      <c r="B81" s="34" t="s">
        <v>1</v>
      </c>
      <c r="C81" s="24">
        <v>8.17</v>
      </c>
    </row>
    <row r="82" spans="1:4" hidden="1" x14ac:dyDescent="0.3">
      <c r="A82" s="26">
        <v>45939</v>
      </c>
      <c r="B82" s="27" t="s">
        <v>4</v>
      </c>
      <c r="C82" s="24">
        <v>-81.27</v>
      </c>
    </row>
    <row r="83" spans="1:4" hidden="1" x14ac:dyDescent="0.3">
      <c r="A83" s="26">
        <v>45945</v>
      </c>
      <c r="B83" s="27" t="s">
        <v>1</v>
      </c>
      <c r="D83" s="25">
        <v>-8</v>
      </c>
    </row>
    <row r="84" spans="1:4" hidden="1" x14ac:dyDescent="0.3">
      <c r="A84" s="26">
        <v>45945</v>
      </c>
      <c r="B84" s="32" t="s">
        <v>21</v>
      </c>
      <c r="C84" s="24">
        <v>26.22</v>
      </c>
    </row>
    <row r="85" spans="1:4" hidden="1" x14ac:dyDescent="0.3">
      <c r="A85" s="26">
        <v>45945</v>
      </c>
      <c r="B85" s="34" t="s">
        <v>1</v>
      </c>
      <c r="C85" s="24">
        <v>182.98</v>
      </c>
    </row>
    <row r="86" spans="1:4" hidden="1" x14ac:dyDescent="0.3">
      <c r="A86" s="26">
        <v>45945</v>
      </c>
      <c r="B86" s="46" t="s">
        <v>21</v>
      </c>
      <c r="C86" s="24">
        <v>8.2799999999999994</v>
      </c>
    </row>
    <row r="87" spans="1:4" hidden="1" x14ac:dyDescent="0.3">
      <c r="A87" s="26">
        <v>45946</v>
      </c>
      <c r="B87" s="27" t="s">
        <v>4</v>
      </c>
      <c r="C87" s="24">
        <v>-217.48</v>
      </c>
    </row>
    <row r="88" spans="1:4" hidden="1" x14ac:dyDescent="0.3">
      <c r="A88" s="26">
        <v>45952</v>
      </c>
      <c r="B88" s="32" t="s">
        <v>21</v>
      </c>
      <c r="C88" s="24">
        <v>7.5</v>
      </c>
    </row>
    <row r="89" spans="1:4" hidden="1" x14ac:dyDescent="0.3">
      <c r="A89" s="26">
        <v>45952</v>
      </c>
      <c r="B89" s="34" t="s">
        <v>1</v>
      </c>
      <c r="C89" s="24">
        <v>19.329999999999998</v>
      </c>
    </row>
    <row r="90" spans="1:4" hidden="1" x14ac:dyDescent="0.3">
      <c r="A90" s="26">
        <v>45952</v>
      </c>
      <c r="B90" s="46" t="s">
        <v>21</v>
      </c>
      <c r="C90" s="24">
        <v>12.55</v>
      </c>
    </row>
    <row r="91" spans="1:4" hidden="1" x14ac:dyDescent="0.3">
      <c r="A91" s="26">
        <v>45953</v>
      </c>
      <c r="B91" s="27" t="s">
        <v>4</v>
      </c>
      <c r="C91" s="24">
        <v>-38.97</v>
      </c>
    </row>
    <row r="92" spans="1:4" hidden="1" x14ac:dyDescent="0.3">
      <c r="A92" s="26">
        <v>45959</v>
      </c>
      <c r="B92" s="27" t="s">
        <v>4</v>
      </c>
      <c r="C92" s="24">
        <v>-77.47</v>
      </c>
    </row>
    <row r="93" spans="1:4" hidden="1" x14ac:dyDescent="0.3">
      <c r="A93" s="26">
        <v>45959</v>
      </c>
      <c r="B93" s="32" t="s">
        <v>21</v>
      </c>
      <c r="C93" s="24">
        <v>25.56</v>
      </c>
    </row>
    <row r="94" spans="1:4" hidden="1" x14ac:dyDescent="0.3">
      <c r="A94" s="26">
        <v>45959</v>
      </c>
      <c r="B94" s="34" t="s">
        <v>1</v>
      </c>
      <c r="C94" s="24">
        <v>41.47</v>
      </c>
    </row>
    <row r="95" spans="1:4" hidden="1" x14ac:dyDescent="0.3">
      <c r="A95" s="26">
        <v>45959</v>
      </c>
      <c r="B95" s="46" t="s">
        <v>21</v>
      </c>
      <c r="C95" s="24">
        <v>8.82</v>
      </c>
    </row>
    <row r="96" spans="1:4" hidden="1" x14ac:dyDescent="0.3">
      <c r="A96" s="26">
        <v>45960</v>
      </c>
      <c r="B96" s="27" t="s">
        <v>4</v>
      </c>
      <c r="C96" s="24">
        <v>-39.200000000000003</v>
      </c>
    </row>
    <row r="97" spans="1:3" hidden="1" x14ac:dyDescent="0.3">
      <c r="A97" s="26">
        <v>45960</v>
      </c>
      <c r="B97" s="34" t="s">
        <v>1</v>
      </c>
      <c r="C97" s="24">
        <v>39.200000000000003</v>
      </c>
    </row>
    <row r="98" spans="1:3" hidden="1" x14ac:dyDescent="0.3">
      <c r="A98" s="26">
        <v>45966</v>
      </c>
      <c r="B98" s="27" t="s">
        <v>4</v>
      </c>
      <c r="C98" s="24">
        <v>-285.83999999999997</v>
      </c>
    </row>
    <row r="99" spans="1:3" hidden="1" x14ac:dyDescent="0.3">
      <c r="A99" s="26">
        <v>45966</v>
      </c>
      <c r="B99" s="32" t="s">
        <v>21</v>
      </c>
      <c r="C99" s="24">
        <v>59.58</v>
      </c>
    </row>
    <row r="100" spans="1:3" hidden="1" x14ac:dyDescent="0.3">
      <c r="A100" s="26">
        <v>45966</v>
      </c>
      <c r="B100" s="34" t="s">
        <v>1</v>
      </c>
      <c r="C100" s="24">
        <v>278.94</v>
      </c>
    </row>
    <row r="101" spans="1:3" hidden="1" x14ac:dyDescent="0.3">
      <c r="A101" s="26">
        <v>45966</v>
      </c>
      <c r="B101" s="46" t="s">
        <v>21</v>
      </c>
      <c r="C101" s="24">
        <v>47.32</v>
      </c>
    </row>
    <row r="102" spans="1:3" hidden="1" x14ac:dyDescent="0.3">
      <c r="A102" s="26">
        <v>45971</v>
      </c>
      <c r="B102" s="27" t="s">
        <v>4</v>
      </c>
      <c r="C102" s="24">
        <v>-45</v>
      </c>
    </row>
    <row r="103" spans="1:3" hidden="1" x14ac:dyDescent="0.3">
      <c r="A103" s="26">
        <v>45972</v>
      </c>
      <c r="B103" s="27" t="s">
        <v>4</v>
      </c>
      <c r="C103" s="24">
        <v>-55</v>
      </c>
    </row>
    <row r="104" spans="1:3" hidden="1" x14ac:dyDescent="0.3">
      <c r="A104" s="26">
        <v>45973</v>
      </c>
      <c r="B104" s="27" t="s">
        <v>1</v>
      </c>
      <c r="C104" s="24">
        <v>247.21</v>
      </c>
    </row>
    <row r="105" spans="1:3" hidden="1" x14ac:dyDescent="0.3">
      <c r="A105" s="26">
        <v>45978</v>
      </c>
      <c r="B105" s="27" t="s">
        <v>4</v>
      </c>
      <c r="C105" s="24">
        <v>-247.21</v>
      </c>
    </row>
    <row r="106" spans="1:3" hidden="1" x14ac:dyDescent="0.3">
      <c r="A106" s="26">
        <v>45980</v>
      </c>
      <c r="B106" s="27" t="s">
        <v>4</v>
      </c>
      <c r="C106" s="24">
        <v>-74.319999999999993</v>
      </c>
    </row>
    <row r="107" spans="1:3" hidden="1" x14ac:dyDescent="0.3">
      <c r="A107" s="26">
        <v>45980</v>
      </c>
      <c r="B107" s="27" t="s">
        <v>4</v>
      </c>
      <c r="C107" s="24">
        <v>-49</v>
      </c>
    </row>
    <row r="108" spans="1:3" hidden="1" x14ac:dyDescent="0.3">
      <c r="A108" s="26">
        <v>45980</v>
      </c>
      <c r="B108" s="27" t="s">
        <v>1</v>
      </c>
      <c r="C108" s="24">
        <v>244.32</v>
      </c>
    </row>
    <row r="109" spans="1:3" hidden="1" x14ac:dyDescent="0.3">
      <c r="A109" s="26">
        <v>45982</v>
      </c>
      <c r="B109" s="27" t="s">
        <v>4</v>
      </c>
      <c r="C109" s="24">
        <v>-61</v>
      </c>
    </row>
    <row r="110" spans="1:3" hidden="1" x14ac:dyDescent="0.3">
      <c r="A110" s="26">
        <v>45983</v>
      </c>
      <c r="B110" s="27" t="s">
        <v>4</v>
      </c>
      <c r="C110" s="24">
        <v>-49.68</v>
      </c>
    </row>
    <row r="111" spans="1:3" hidden="1" x14ac:dyDescent="0.3">
      <c r="A111" s="26">
        <v>45985</v>
      </c>
      <c r="B111" s="27" t="s">
        <v>4</v>
      </c>
      <c r="C111" s="24">
        <v>-10</v>
      </c>
    </row>
    <row r="112" spans="1:3" hidden="1" x14ac:dyDescent="0.3">
      <c r="A112" s="26">
        <v>45987</v>
      </c>
      <c r="B112" s="27" t="s">
        <v>4</v>
      </c>
      <c r="C112" s="24">
        <v>-95.74</v>
      </c>
    </row>
    <row r="113" spans="1:3" hidden="1" x14ac:dyDescent="0.3">
      <c r="A113" s="26">
        <v>45987</v>
      </c>
      <c r="B113" s="27" t="s">
        <v>4</v>
      </c>
      <c r="C113" s="24">
        <v>-43</v>
      </c>
    </row>
    <row r="114" spans="1:3" hidden="1" x14ac:dyDescent="0.3">
      <c r="A114" s="26">
        <v>45987</v>
      </c>
      <c r="B114" s="27" t="s">
        <v>1</v>
      </c>
      <c r="C114" s="24">
        <v>138.74</v>
      </c>
    </row>
    <row r="115" spans="1:3" x14ac:dyDescent="0.3">
      <c r="A115" s="26">
        <v>45994</v>
      </c>
      <c r="B115" s="27" t="s">
        <v>4</v>
      </c>
      <c r="C115" s="24">
        <v>-360</v>
      </c>
    </row>
    <row r="116" spans="1:3" x14ac:dyDescent="0.3">
      <c r="A116" s="26">
        <v>45994</v>
      </c>
      <c r="B116" s="27" t="s">
        <v>1</v>
      </c>
      <c r="C116" s="24">
        <v>399.18</v>
      </c>
    </row>
    <row r="117" spans="1:3" x14ac:dyDescent="0.3">
      <c r="A117" s="26">
        <v>45996</v>
      </c>
      <c r="B117" s="27" t="s">
        <v>4</v>
      </c>
      <c r="C117" s="24">
        <v>-39.18</v>
      </c>
    </row>
    <row r="118" spans="1:3" x14ac:dyDescent="0.3">
      <c r="A118" s="26">
        <v>46001</v>
      </c>
      <c r="B118" s="27" t="s">
        <v>1</v>
      </c>
      <c r="C118" s="24">
        <v>225.04</v>
      </c>
    </row>
    <row r="119" spans="1:3" x14ac:dyDescent="0.3">
      <c r="A119" s="26">
        <v>46004</v>
      </c>
      <c r="B119" s="27" t="s">
        <v>4</v>
      </c>
      <c r="C119" s="24">
        <v>-95.04</v>
      </c>
    </row>
    <row r="120" spans="1:3" x14ac:dyDescent="0.3">
      <c r="A120" s="26">
        <v>46008</v>
      </c>
      <c r="B120" s="27" t="s">
        <v>4</v>
      </c>
      <c r="C120" s="24">
        <v>-30</v>
      </c>
    </row>
    <row r="121" spans="1:3" x14ac:dyDescent="0.3">
      <c r="A121" s="26">
        <v>46008</v>
      </c>
      <c r="B121" s="27" t="s">
        <v>1</v>
      </c>
      <c r="C121" s="24">
        <v>251.18</v>
      </c>
    </row>
    <row r="122" spans="1:3" x14ac:dyDescent="0.3">
      <c r="A122" s="26">
        <v>46009</v>
      </c>
      <c r="B122" s="27" t="s">
        <v>4</v>
      </c>
      <c r="C122" s="24">
        <v>-100</v>
      </c>
    </row>
    <row r="123" spans="1:3" x14ac:dyDescent="0.3">
      <c r="A123" s="26">
        <v>46012</v>
      </c>
      <c r="B123" s="27" t="s">
        <v>4</v>
      </c>
      <c r="C123" s="24">
        <v>-141.18</v>
      </c>
    </row>
    <row r="124" spans="1:3" x14ac:dyDescent="0.3">
      <c r="A124" s="26">
        <v>46013</v>
      </c>
      <c r="B124" s="27" t="s">
        <v>4</v>
      </c>
      <c r="C124" s="24">
        <v>-110</v>
      </c>
    </row>
    <row r="125" spans="1:3" x14ac:dyDescent="0.3">
      <c r="A125" s="26">
        <v>46013</v>
      </c>
      <c r="B125" s="27" t="s">
        <v>1</v>
      </c>
      <c r="C125" s="24">
        <v>151.27000000000001</v>
      </c>
    </row>
    <row r="126" spans="1:3" x14ac:dyDescent="0.3">
      <c r="A126" s="26">
        <v>46017</v>
      </c>
      <c r="B126" s="27" t="s">
        <v>4</v>
      </c>
      <c r="C126" s="24">
        <v>-151.27000000000001</v>
      </c>
    </row>
    <row r="127" spans="1:3" x14ac:dyDescent="0.3">
      <c r="A127" s="26">
        <v>46021</v>
      </c>
      <c r="B127" s="27" t="s">
        <v>1</v>
      </c>
      <c r="C127" s="24">
        <v>151.49</v>
      </c>
    </row>
    <row r="128" spans="1:3" x14ac:dyDescent="0.3">
      <c r="A128" s="26">
        <v>46027</v>
      </c>
      <c r="B128" s="27" t="s">
        <v>4</v>
      </c>
      <c r="C128" s="24">
        <v>-151.49</v>
      </c>
    </row>
    <row r="129" spans="1:3" x14ac:dyDescent="0.3">
      <c r="A129" s="26">
        <v>46029</v>
      </c>
      <c r="B129" s="27" t="s">
        <v>4</v>
      </c>
      <c r="C129" s="24">
        <v>-421.77</v>
      </c>
    </row>
    <row r="130" spans="1:3" x14ac:dyDescent="0.3">
      <c r="A130" s="26">
        <v>46029</v>
      </c>
      <c r="B130" s="27" t="s">
        <v>1</v>
      </c>
      <c r="C130" s="24">
        <v>421.77</v>
      </c>
    </row>
    <row r="131" spans="1:3" x14ac:dyDescent="0.3">
      <c r="A131" s="26">
        <v>46036</v>
      </c>
      <c r="B131" s="27" t="s">
        <v>4</v>
      </c>
      <c r="C131" s="24">
        <v>-111.25</v>
      </c>
    </row>
    <row r="132" spans="1:3" x14ac:dyDescent="0.3">
      <c r="A132" s="26">
        <v>46036</v>
      </c>
      <c r="B132" s="27" t="s">
        <v>4</v>
      </c>
      <c r="C132" s="24">
        <v>-74.010000000000005</v>
      </c>
    </row>
    <row r="133" spans="1:3" x14ac:dyDescent="0.3">
      <c r="A133" s="26">
        <v>45671</v>
      </c>
      <c r="B133" s="27" t="s">
        <v>1</v>
      </c>
      <c r="C133" s="24">
        <v>185.26</v>
      </c>
    </row>
    <row r="134" spans="1:3" x14ac:dyDescent="0.3">
      <c r="A134" s="26">
        <v>46043</v>
      </c>
      <c r="B134" s="27" t="s">
        <v>4</v>
      </c>
      <c r="C134" s="24">
        <v>-22.92</v>
      </c>
    </row>
    <row r="135" spans="1:3" x14ac:dyDescent="0.3">
      <c r="A135" s="26">
        <v>46043</v>
      </c>
      <c r="B135" s="27" t="s">
        <v>4</v>
      </c>
      <c r="C135" s="24">
        <v>-73.58</v>
      </c>
    </row>
    <row r="136" spans="1:3" x14ac:dyDescent="0.3">
      <c r="A136" s="26">
        <v>46043</v>
      </c>
      <c r="B136" s="27" t="s">
        <v>1</v>
      </c>
      <c r="C136" s="24">
        <v>155.44999999999999</v>
      </c>
    </row>
    <row r="137" spans="1:3" x14ac:dyDescent="0.3">
      <c r="A137" s="26">
        <v>46044</v>
      </c>
      <c r="B137" s="27" t="s">
        <v>4</v>
      </c>
      <c r="C137" s="24">
        <v>-59.38</v>
      </c>
    </row>
    <row r="138" spans="1:3" x14ac:dyDescent="0.3">
      <c r="A138" s="26">
        <v>46050</v>
      </c>
      <c r="B138" s="27" t="s">
        <v>4</v>
      </c>
      <c r="C138" s="24">
        <v>-266.11</v>
      </c>
    </row>
    <row r="139" spans="1:3" x14ac:dyDescent="0.3">
      <c r="A139" s="26">
        <v>46050</v>
      </c>
      <c r="B139" s="27" t="s">
        <v>4</v>
      </c>
      <c r="C139" s="24">
        <v>-27.02</v>
      </c>
    </row>
    <row r="140" spans="1:3" x14ac:dyDescent="0.3">
      <c r="A140" s="26">
        <v>46050</v>
      </c>
      <c r="B140" s="27" t="s">
        <v>1</v>
      </c>
      <c r="C140" s="24">
        <v>295.7</v>
      </c>
    </row>
    <row r="141" spans="1:3" x14ac:dyDescent="0.3">
      <c r="A141" s="26">
        <v>46055</v>
      </c>
      <c r="B141" s="27" t="s">
        <v>4</v>
      </c>
      <c r="C141" s="24">
        <v>-88.86</v>
      </c>
    </row>
    <row r="142" spans="1:3" x14ac:dyDescent="0.3">
      <c r="A142" s="26">
        <v>46052</v>
      </c>
      <c r="B142" s="27" t="s">
        <v>1</v>
      </c>
      <c r="C142" s="24">
        <v>87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AF67F-F338-44D0-B14C-D5F64697C6A2}">
  <dimension ref="A1:H22"/>
  <sheetViews>
    <sheetView view="pageBreakPreview" zoomScale="80" zoomScaleNormal="100" zoomScaleSheetLayoutView="8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366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367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45854</v>
      </c>
      <c r="B5" s="32" t="s">
        <v>21</v>
      </c>
      <c r="C5" s="24">
        <v>15.85</v>
      </c>
      <c r="D5" s="30"/>
      <c r="E5" s="30"/>
      <c r="F5" s="30"/>
      <c r="G5" s="22"/>
    </row>
    <row r="6" spans="1:8" hidden="1" x14ac:dyDescent="0.3">
      <c r="A6" s="21">
        <v>45868</v>
      </c>
      <c r="B6" s="27" t="s">
        <v>7</v>
      </c>
      <c r="C6" s="24">
        <v>-15.85</v>
      </c>
    </row>
    <row r="7" spans="1:8" hidden="1" x14ac:dyDescent="0.3">
      <c r="A7" s="21">
        <v>45868</v>
      </c>
      <c r="B7" s="32" t="s">
        <v>1</v>
      </c>
      <c r="C7" s="24">
        <v>12.1</v>
      </c>
    </row>
    <row r="8" spans="1:8" hidden="1" x14ac:dyDescent="0.3">
      <c r="A8" s="21">
        <v>45875</v>
      </c>
      <c r="B8" s="27" t="s">
        <v>7</v>
      </c>
      <c r="C8" s="24">
        <v>-12.12</v>
      </c>
    </row>
    <row r="9" spans="1:8" hidden="1" x14ac:dyDescent="0.3">
      <c r="A9" s="21">
        <v>45875</v>
      </c>
      <c r="B9" s="27" t="s">
        <v>1</v>
      </c>
      <c r="C9" s="24">
        <v>20.8</v>
      </c>
    </row>
    <row r="10" spans="1:8" hidden="1" x14ac:dyDescent="0.3">
      <c r="A10" s="26">
        <v>45877</v>
      </c>
      <c r="B10" s="34" t="s">
        <v>1</v>
      </c>
      <c r="C10" s="24">
        <v>12.9</v>
      </c>
    </row>
    <row r="11" spans="1:8" hidden="1" x14ac:dyDescent="0.3">
      <c r="A11" s="26">
        <v>45882</v>
      </c>
      <c r="B11" s="27" t="s">
        <v>7</v>
      </c>
      <c r="C11" s="24">
        <v>-33.869999999999997</v>
      </c>
    </row>
    <row r="12" spans="1:8" hidden="1" x14ac:dyDescent="0.3">
      <c r="A12" s="26">
        <v>45910</v>
      </c>
      <c r="B12" s="32" t="s">
        <v>1</v>
      </c>
      <c r="C12" s="24">
        <v>20.45</v>
      </c>
    </row>
    <row r="13" spans="1:8" hidden="1" x14ac:dyDescent="0.3">
      <c r="A13" s="26">
        <v>45931</v>
      </c>
      <c r="B13" s="27" t="s">
        <v>7</v>
      </c>
      <c r="C13" s="24">
        <v>-20.260000000000002</v>
      </c>
    </row>
    <row r="14" spans="1:8" hidden="1" x14ac:dyDescent="0.3">
      <c r="A14" s="26">
        <v>45945</v>
      </c>
      <c r="B14" s="32" t="s">
        <v>1</v>
      </c>
      <c r="C14" s="24">
        <v>16.38</v>
      </c>
    </row>
    <row r="15" spans="1:8" hidden="1" x14ac:dyDescent="0.3">
      <c r="A15" s="26">
        <v>45952</v>
      </c>
      <c r="B15" s="27" t="s">
        <v>7</v>
      </c>
      <c r="C15" s="24">
        <v>-16.48</v>
      </c>
    </row>
    <row r="16" spans="1:8" x14ac:dyDescent="0.3">
      <c r="A16" s="26">
        <v>45973</v>
      </c>
      <c r="B16" s="27" t="s">
        <v>1</v>
      </c>
      <c r="C16" s="24">
        <v>4.5999999999999996</v>
      </c>
    </row>
    <row r="17" spans="1:3" x14ac:dyDescent="0.3">
      <c r="A17" s="26">
        <v>45975</v>
      </c>
      <c r="B17" s="27" t="s">
        <v>1</v>
      </c>
      <c r="C17" s="24">
        <v>14.79</v>
      </c>
    </row>
    <row r="18" spans="1:3" x14ac:dyDescent="0.3">
      <c r="A18" s="26">
        <v>45987</v>
      </c>
      <c r="B18" s="27" t="s">
        <v>7</v>
      </c>
      <c r="C18" s="24">
        <v>-19.39</v>
      </c>
    </row>
    <row r="19" spans="1:3" x14ac:dyDescent="0.3">
      <c r="A19" s="26">
        <v>45987</v>
      </c>
      <c r="B19" s="27" t="s">
        <v>1</v>
      </c>
      <c r="C19" s="24">
        <v>16.38</v>
      </c>
    </row>
    <row r="20" spans="1:3" x14ac:dyDescent="0.3">
      <c r="A20" s="26">
        <v>46001</v>
      </c>
      <c r="B20" s="27" t="s">
        <v>7</v>
      </c>
      <c r="C20" s="24">
        <v>-16.420000000000002</v>
      </c>
    </row>
    <row r="21" spans="1:3" x14ac:dyDescent="0.3">
      <c r="A21" s="26">
        <v>46036</v>
      </c>
      <c r="B21" s="27" t="s">
        <v>1</v>
      </c>
      <c r="C21" s="24">
        <v>17.28</v>
      </c>
    </row>
    <row r="22" spans="1:3" x14ac:dyDescent="0.3">
      <c r="A22" s="26">
        <v>46043</v>
      </c>
      <c r="B22" s="27" t="s">
        <v>4</v>
      </c>
      <c r="C22" s="24">
        <v>-17.14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6D3C1-72BD-4FDA-9B07-0CE07F56D07B}">
  <sheetPr codeName="Hoja78"/>
  <dimension ref="A1:H24"/>
  <sheetViews>
    <sheetView view="pageBreakPreview" zoomScale="80" zoomScaleNormal="100" zoomScaleSheetLayoutView="80" workbookViewId="0">
      <selection activeCell="C25" sqref="C2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159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157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1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45819</v>
      </c>
      <c r="B5" s="32" t="s">
        <v>21</v>
      </c>
      <c r="C5" s="24">
        <v>30.85</v>
      </c>
      <c r="D5" s="30"/>
      <c r="E5" s="30">
        <v>1</v>
      </c>
      <c r="F5" s="30"/>
      <c r="G5" s="22"/>
    </row>
    <row r="6" spans="1:8" x14ac:dyDescent="0.3">
      <c r="A6" s="21">
        <v>45825</v>
      </c>
      <c r="B6" s="27" t="s">
        <v>4</v>
      </c>
      <c r="C6" s="24">
        <v>-30.87</v>
      </c>
    </row>
    <row r="7" spans="1:8" x14ac:dyDescent="0.3">
      <c r="A7" s="21">
        <v>45840</v>
      </c>
      <c r="B7" s="32" t="s">
        <v>21</v>
      </c>
      <c r="C7" s="24">
        <v>20.45</v>
      </c>
    </row>
    <row r="8" spans="1:8" x14ac:dyDescent="0.3">
      <c r="A8" s="21">
        <v>45840</v>
      </c>
      <c r="B8" s="34" t="s">
        <v>21</v>
      </c>
      <c r="C8" s="24">
        <v>20</v>
      </c>
    </row>
    <row r="9" spans="1:8" x14ac:dyDescent="0.3">
      <c r="A9" s="26">
        <v>45847</v>
      </c>
      <c r="B9" s="27" t="s">
        <v>7</v>
      </c>
      <c r="C9" s="24">
        <v>-20</v>
      </c>
    </row>
    <row r="10" spans="1:8" x14ac:dyDescent="0.3">
      <c r="A10" s="26">
        <v>45847</v>
      </c>
      <c r="B10" s="32" t="s">
        <v>21</v>
      </c>
      <c r="C10" s="24">
        <v>15.85</v>
      </c>
    </row>
    <row r="11" spans="1:8" x14ac:dyDescent="0.3">
      <c r="A11" s="26">
        <v>45868</v>
      </c>
      <c r="B11" s="27" t="s">
        <v>7</v>
      </c>
      <c r="C11" s="24">
        <v>-36.29</v>
      </c>
    </row>
    <row r="12" spans="1:8" x14ac:dyDescent="0.3">
      <c r="A12" s="26">
        <v>45868</v>
      </c>
      <c r="B12" s="32" t="s">
        <v>21</v>
      </c>
      <c r="C12" s="24">
        <v>15.85</v>
      </c>
    </row>
    <row r="13" spans="1:8" x14ac:dyDescent="0.3">
      <c r="A13" s="26">
        <v>45868</v>
      </c>
      <c r="B13" s="34" t="s">
        <v>21</v>
      </c>
      <c r="C13" s="24">
        <v>19.8</v>
      </c>
    </row>
    <row r="14" spans="1:8" x14ac:dyDescent="0.3">
      <c r="A14" s="26">
        <v>45896</v>
      </c>
      <c r="B14" s="27" t="s">
        <v>7</v>
      </c>
      <c r="C14" s="24">
        <v>-35.64</v>
      </c>
    </row>
    <row r="15" spans="1:8" x14ac:dyDescent="0.3">
      <c r="A15" s="26">
        <v>45896</v>
      </c>
      <c r="B15" s="32" t="s">
        <v>21</v>
      </c>
      <c r="C15" s="24">
        <v>15.85</v>
      </c>
    </row>
    <row r="16" spans="1:8" x14ac:dyDescent="0.3">
      <c r="A16" s="26">
        <v>45896</v>
      </c>
      <c r="B16" s="34" t="s">
        <v>21</v>
      </c>
      <c r="C16" s="24">
        <v>19.8</v>
      </c>
    </row>
    <row r="17" spans="1:3" x14ac:dyDescent="0.3">
      <c r="A17" s="26">
        <v>45915</v>
      </c>
      <c r="B17" s="27" t="s">
        <v>4</v>
      </c>
      <c r="C17" s="24">
        <v>-35.65</v>
      </c>
    </row>
    <row r="18" spans="1:3" x14ac:dyDescent="0.3">
      <c r="A18" s="26">
        <v>45917</v>
      </c>
      <c r="B18" s="32" t="s">
        <v>21</v>
      </c>
      <c r="C18" s="24">
        <v>15.85</v>
      </c>
    </row>
    <row r="19" spans="1:3" x14ac:dyDescent="0.3">
      <c r="A19" s="26">
        <v>45917</v>
      </c>
      <c r="B19" s="34" t="s">
        <v>21</v>
      </c>
      <c r="C19" s="24">
        <v>19.8</v>
      </c>
    </row>
    <row r="20" spans="1:3" x14ac:dyDescent="0.3">
      <c r="A20" s="26">
        <v>45986</v>
      </c>
      <c r="B20" s="27" t="s">
        <v>4</v>
      </c>
      <c r="C20" s="24">
        <v>-35.29</v>
      </c>
    </row>
    <row r="21" spans="1:3" x14ac:dyDescent="0.3">
      <c r="A21" s="26">
        <v>46029</v>
      </c>
      <c r="B21" s="27" t="s">
        <v>1</v>
      </c>
      <c r="C21" s="24">
        <v>41.78</v>
      </c>
    </row>
    <row r="22" spans="1:3" x14ac:dyDescent="0.3">
      <c r="A22" s="26">
        <v>46034</v>
      </c>
      <c r="B22" s="27" t="s">
        <v>4</v>
      </c>
      <c r="C22" s="24">
        <v>-42.14</v>
      </c>
    </row>
    <row r="23" spans="1:3" x14ac:dyDescent="0.3">
      <c r="A23" s="26">
        <v>46036</v>
      </c>
      <c r="B23" s="27" t="s">
        <v>1</v>
      </c>
      <c r="C23" s="24">
        <v>47.63</v>
      </c>
    </row>
    <row r="24" spans="1:3" x14ac:dyDescent="0.3">
      <c r="A24" s="26">
        <v>46050</v>
      </c>
      <c r="B24" s="27" t="s">
        <v>4</v>
      </c>
      <c r="C24" s="24">
        <v>-47.63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2684E-1955-49B3-A60E-BD64AB7259B0}">
  <sheetPr codeName="Hoja79"/>
  <dimension ref="A1:H12"/>
  <sheetViews>
    <sheetView view="pageBreakPreview" zoomScale="80" zoomScaleNormal="100" zoomScaleSheetLayoutView="8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184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185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45819</v>
      </c>
      <c r="B5" s="32" t="s">
        <v>21</v>
      </c>
      <c r="C5" s="24">
        <v>15.4</v>
      </c>
      <c r="D5" s="30"/>
      <c r="E5" s="30"/>
      <c r="F5" s="30"/>
      <c r="G5" s="22"/>
    </row>
    <row r="6" spans="1:8" x14ac:dyDescent="0.3">
      <c r="A6" s="21">
        <v>45826</v>
      </c>
      <c r="B6" s="27" t="s">
        <v>4</v>
      </c>
      <c r="C6" s="24">
        <v>-15.4</v>
      </c>
    </row>
    <row r="7" spans="1:8" x14ac:dyDescent="0.3">
      <c r="A7" s="21"/>
    </row>
    <row r="10" spans="1:8" x14ac:dyDescent="0.3">
      <c r="B10" s="31"/>
    </row>
    <row r="12" spans="1:8" x14ac:dyDescent="0.3">
      <c r="B12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3CC0-0D37-4368-AA15-F13468C2B5A1}">
  <dimension ref="A1:H86"/>
  <sheetViews>
    <sheetView view="pageBreakPreview" zoomScale="80" zoomScaleNormal="100" zoomScaleSheetLayoutView="80" workbookViewId="0">
      <selection activeCell="C38" sqref="C3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324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325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5.0000000000000107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45835</v>
      </c>
      <c r="B5" s="32" t="s">
        <v>1</v>
      </c>
      <c r="C5" s="24">
        <v>15.85</v>
      </c>
      <c r="D5" s="30"/>
      <c r="E5" s="30"/>
      <c r="F5" s="30"/>
      <c r="G5" s="22"/>
    </row>
    <row r="6" spans="1:8" hidden="1" x14ac:dyDescent="0.3">
      <c r="A6" s="21">
        <v>45846</v>
      </c>
      <c r="B6" s="27" t="s">
        <v>4</v>
      </c>
      <c r="C6" s="24">
        <v>-15.85</v>
      </c>
    </row>
    <row r="7" spans="1:8" hidden="1" x14ac:dyDescent="0.3">
      <c r="A7" s="21">
        <v>45870</v>
      </c>
      <c r="B7" s="27" t="s">
        <v>4</v>
      </c>
      <c r="C7" s="24">
        <v>-35.65</v>
      </c>
    </row>
    <row r="8" spans="1:8" hidden="1" x14ac:dyDescent="0.3">
      <c r="A8" s="21">
        <v>45870</v>
      </c>
      <c r="B8" s="27" t="s">
        <v>7</v>
      </c>
      <c r="C8" s="24">
        <v>-35.64</v>
      </c>
    </row>
    <row r="9" spans="1:8" hidden="1" x14ac:dyDescent="0.3">
      <c r="A9" s="21">
        <v>45870</v>
      </c>
      <c r="B9" s="32" t="s">
        <v>1</v>
      </c>
      <c r="C9" s="24">
        <v>15.85</v>
      </c>
    </row>
    <row r="10" spans="1:8" hidden="1" x14ac:dyDescent="0.3">
      <c r="A10" s="21">
        <v>45870</v>
      </c>
      <c r="B10" s="34" t="s">
        <v>1</v>
      </c>
      <c r="C10" s="24">
        <v>19.8</v>
      </c>
    </row>
    <row r="11" spans="1:8" hidden="1" x14ac:dyDescent="0.3">
      <c r="A11" s="26">
        <v>45881</v>
      </c>
      <c r="B11" s="32" t="s">
        <v>1</v>
      </c>
      <c r="C11" s="24">
        <v>31.7</v>
      </c>
    </row>
    <row r="12" spans="1:8" hidden="1" x14ac:dyDescent="0.3">
      <c r="A12" s="26">
        <v>45918</v>
      </c>
      <c r="B12" s="32" t="s">
        <v>1</v>
      </c>
      <c r="C12" s="24">
        <v>4.32</v>
      </c>
    </row>
    <row r="13" spans="1:8" hidden="1" x14ac:dyDescent="0.3">
      <c r="A13" s="26">
        <v>45933</v>
      </c>
      <c r="B13" s="27" t="s">
        <v>7</v>
      </c>
      <c r="C13" s="24">
        <v>-25.7</v>
      </c>
    </row>
    <row r="14" spans="1:8" hidden="1" x14ac:dyDescent="0.3">
      <c r="A14" s="26">
        <v>45933</v>
      </c>
      <c r="B14" s="34" t="s">
        <v>1</v>
      </c>
      <c r="C14" s="24">
        <v>25.7</v>
      </c>
    </row>
    <row r="15" spans="1:8" hidden="1" x14ac:dyDescent="0.3">
      <c r="A15" s="26">
        <v>45940</v>
      </c>
      <c r="B15" s="27" t="s">
        <v>4</v>
      </c>
      <c r="C15" s="24">
        <v>-29.58</v>
      </c>
    </row>
    <row r="16" spans="1:8" hidden="1" x14ac:dyDescent="0.3">
      <c r="A16" s="26">
        <v>45940</v>
      </c>
      <c r="B16" s="34" t="s">
        <v>1</v>
      </c>
      <c r="C16" s="24">
        <v>29.58</v>
      </c>
    </row>
    <row r="17" spans="1:3" hidden="1" x14ac:dyDescent="0.3">
      <c r="A17" s="26">
        <v>45954</v>
      </c>
      <c r="B17" s="27" t="s">
        <v>4</v>
      </c>
      <c r="C17" s="24">
        <v>-39.119999999999997</v>
      </c>
    </row>
    <row r="18" spans="1:3" hidden="1" x14ac:dyDescent="0.3">
      <c r="A18" s="26">
        <v>45954</v>
      </c>
      <c r="B18" s="32" t="s">
        <v>1</v>
      </c>
      <c r="C18" s="24">
        <v>16.38</v>
      </c>
    </row>
    <row r="19" spans="1:3" hidden="1" x14ac:dyDescent="0.3">
      <c r="A19" s="26">
        <v>45954</v>
      </c>
      <c r="B19" s="34" t="s">
        <v>1</v>
      </c>
      <c r="C19" s="24">
        <v>22.74</v>
      </c>
    </row>
    <row r="20" spans="1:3" hidden="1" x14ac:dyDescent="0.3">
      <c r="A20" s="26">
        <v>45968</v>
      </c>
      <c r="B20" s="27" t="s">
        <v>4</v>
      </c>
      <c r="C20" s="24">
        <v>-31.12</v>
      </c>
    </row>
    <row r="21" spans="1:3" hidden="1" x14ac:dyDescent="0.3">
      <c r="A21" s="26">
        <v>45968</v>
      </c>
      <c r="B21" s="34" t="s">
        <v>1</v>
      </c>
      <c r="C21" s="24">
        <v>31.12</v>
      </c>
    </row>
    <row r="22" spans="1:3" x14ac:dyDescent="0.3">
      <c r="A22" s="26">
        <v>45982</v>
      </c>
      <c r="B22" s="27" t="s">
        <v>4</v>
      </c>
      <c r="C22" s="24">
        <v>-31.84</v>
      </c>
    </row>
    <row r="23" spans="1:3" x14ac:dyDescent="0.3">
      <c r="A23" s="26">
        <v>45982</v>
      </c>
      <c r="B23" s="27" t="s">
        <v>1</v>
      </c>
      <c r="C23" s="24">
        <v>31.84</v>
      </c>
    </row>
    <row r="24" spans="1:3" x14ac:dyDescent="0.3">
      <c r="A24" s="26">
        <v>45989</v>
      </c>
      <c r="B24" s="27" t="s">
        <v>4</v>
      </c>
      <c r="C24" s="24">
        <v>-13.56</v>
      </c>
    </row>
    <row r="25" spans="1:3" x14ac:dyDescent="0.3">
      <c r="A25" s="26">
        <v>45989</v>
      </c>
      <c r="B25" s="27" t="s">
        <v>1</v>
      </c>
      <c r="C25" s="24">
        <v>13.56</v>
      </c>
    </row>
    <row r="26" spans="1:3" x14ac:dyDescent="0.3">
      <c r="A26" s="26">
        <v>46003</v>
      </c>
      <c r="B26" s="27" t="s">
        <v>4</v>
      </c>
      <c r="C26" s="24">
        <v>-29.08</v>
      </c>
    </row>
    <row r="27" spans="1:3" x14ac:dyDescent="0.3">
      <c r="A27" s="26">
        <v>46003</v>
      </c>
      <c r="B27" s="27" t="s">
        <v>1</v>
      </c>
      <c r="C27" s="24">
        <v>29.08</v>
      </c>
    </row>
    <row r="28" spans="1:3" x14ac:dyDescent="0.3">
      <c r="A28" s="26">
        <v>46010</v>
      </c>
      <c r="B28" s="27" t="s">
        <v>4</v>
      </c>
      <c r="C28" s="24">
        <v>-32.32</v>
      </c>
    </row>
    <row r="29" spans="1:3" x14ac:dyDescent="0.3">
      <c r="A29" s="26">
        <v>46010</v>
      </c>
      <c r="B29" s="27" t="s">
        <v>1</v>
      </c>
      <c r="C29" s="24">
        <v>32.32</v>
      </c>
    </row>
    <row r="30" spans="1:3" x14ac:dyDescent="0.3">
      <c r="A30" s="26">
        <v>46017</v>
      </c>
      <c r="B30" s="27" t="s">
        <v>4</v>
      </c>
      <c r="C30" s="24">
        <v>-48.61</v>
      </c>
    </row>
    <row r="31" spans="1:3" x14ac:dyDescent="0.3">
      <c r="A31" s="26">
        <v>46017</v>
      </c>
      <c r="B31" s="27" t="s">
        <v>1</v>
      </c>
      <c r="C31" s="24">
        <v>48.44</v>
      </c>
    </row>
    <row r="32" spans="1:3" x14ac:dyDescent="0.3">
      <c r="A32" s="26">
        <v>46038</v>
      </c>
      <c r="B32" s="27" t="s">
        <v>4</v>
      </c>
      <c r="C32" s="24">
        <v>-10</v>
      </c>
    </row>
    <row r="33" spans="1:3" x14ac:dyDescent="0.3">
      <c r="A33" s="26">
        <v>46038</v>
      </c>
      <c r="B33" s="27" t="s">
        <v>1</v>
      </c>
      <c r="C33" s="24">
        <v>14.5</v>
      </c>
    </row>
    <row r="34" spans="1:3" x14ac:dyDescent="0.3">
      <c r="A34" s="26">
        <v>46045</v>
      </c>
      <c r="B34" s="27" t="s">
        <v>4</v>
      </c>
      <c r="C34" s="24">
        <v>-37.590000000000003</v>
      </c>
    </row>
    <row r="35" spans="1:3" x14ac:dyDescent="0.3">
      <c r="A35" s="26">
        <v>46045</v>
      </c>
      <c r="B35" s="27" t="s">
        <v>1</v>
      </c>
      <c r="C35" s="24">
        <v>37.94</v>
      </c>
    </row>
    <row r="36" spans="1:3" x14ac:dyDescent="0.3">
      <c r="A36" s="26">
        <v>46052</v>
      </c>
      <c r="B36" s="27" t="s">
        <v>4</v>
      </c>
      <c r="C36" s="24">
        <v>-23.04</v>
      </c>
    </row>
    <row r="37" spans="1:3" x14ac:dyDescent="0.3">
      <c r="A37" s="26">
        <v>46052</v>
      </c>
      <c r="B37" s="27" t="s">
        <v>1</v>
      </c>
      <c r="C37" s="24">
        <v>22.98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DD81-B178-4711-A7B6-D1F565E89032}">
  <sheetPr codeName="Hoja166"/>
  <dimension ref="A1:H12"/>
  <sheetViews>
    <sheetView view="pageBreakPreview" zoomScale="80" zoomScaleNormal="100" zoomScaleSheetLayoutView="8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262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/>
      <c r="B5" s="32" t="s">
        <v>21</v>
      </c>
      <c r="D5" s="30"/>
      <c r="E5" s="30"/>
      <c r="F5" s="30"/>
      <c r="G5" s="22"/>
    </row>
    <row r="6" spans="1:8" x14ac:dyDescent="0.3">
      <c r="A6" s="21"/>
      <c r="B6" s="34" t="s">
        <v>21</v>
      </c>
    </row>
    <row r="7" spans="1:8" x14ac:dyDescent="0.3">
      <c r="B7" s="27" t="s">
        <v>4</v>
      </c>
    </row>
    <row r="10" spans="1:8" x14ac:dyDescent="0.3">
      <c r="B10" s="31"/>
    </row>
    <row r="12" spans="1:8" x14ac:dyDescent="0.3">
      <c r="B12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35505-A4BE-4F41-8B0F-404FC568BA12}">
  <dimension ref="A1:H14"/>
  <sheetViews>
    <sheetView view="pageBreakPreview" zoomScale="80" zoomScaleNormal="100" zoomScaleSheetLayoutView="80" workbookViewId="0">
      <selection activeCell="C15" sqref="C1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372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373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9.9999999999997868E-2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45855</v>
      </c>
      <c r="B5" s="32" t="s">
        <v>21</v>
      </c>
      <c r="C5" s="24">
        <v>15.85</v>
      </c>
      <c r="D5" s="30"/>
      <c r="E5" s="30"/>
      <c r="F5" s="30"/>
      <c r="G5" s="22"/>
    </row>
    <row r="6" spans="1:8" x14ac:dyDescent="0.3">
      <c r="A6" s="21">
        <v>45862</v>
      </c>
      <c r="B6" s="27" t="s">
        <v>4</v>
      </c>
      <c r="C6" s="24">
        <v>-15.85</v>
      </c>
    </row>
    <row r="7" spans="1:8" x14ac:dyDescent="0.3">
      <c r="A7" s="26">
        <v>45909</v>
      </c>
      <c r="B7" s="32" t="s">
        <v>21</v>
      </c>
      <c r="C7" s="24">
        <v>15.85</v>
      </c>
    </row>
    <row r="8" spans="1:8" x14ac:dyDescent="0.3">
      <c r="A8" s="26">
        <v>45924</v>
      </c>
      <c r="B8" s="27" t="s">
        <v>4</v>
      </c>
      <c r="C8" s="24">
        <v>-15.85</v>
      </c>
    </row>
    <row r="9" spans="1:8" x14ac:dyDescent="0.3">
      <c r="A9" s="26">
        <v>45933</v>
      </c>
      <c r="B9" s="32" t="s">
        <v>21</v>
      </c>
      <c r="C9" s="24">
        <v>15.85</v>
      </c>
    </row>
    <row r="10" spans="1:8" x14ac:dyDescent="0.3">
      <c r="A10" s="26">
        <v>45958</v>
      </c>
      <c r="B10" s="27" t="s">
        <v>4</v>
      </c>
      <c r="C10" s="24">
        <v>-15.85</v>
      </c>
    </row>
    <row r="11" spans="1:8" x14ac:dyDescent="0.3">
      <c r="A11" s="26">
        <v>45979</v>
      </c>
      <c r="B11" s="27" t="s">
        <v>1</v>
      </c>
      <c r="C11" s="24">
        <v>16.38</v>
      </c>
    </row>
    <row r="12" spans="1:8" x14ac:dyDescent="0.3">
      <c r="A12" s="26">
        <v>45992</v>
      </c>
      <c r="B12" s="31" t="s">
        <v>4</v>
      </c>
      <c r="C12" s="24">
        <v>-16.28</v>
      </c>
    </row>
    <row r="13" spans="1:8" x14ac:dyDescent="0.3">
      <c r="A13" s="26">
        <v>46014</v>
      </c>
      <c r="B13" s="27" t="s">
        <v>1</v>
      </c>
      <c r="C13" s="24">
        <v>23.88</v>
      </c>
    </row>
    <row r="14" spans="1:8" x14ac:dyDescent="0.3">
      <c r="A14" s="26">
        <v>46021</v>
      </c>
      <c r="B14" s="27" t="s">
        <v>4</v>
      </c>
      <c r="C14" s="24">
        <v>-23.88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C07D-A50D-4AAA-B45E-874F1E2266C4}">
  <sheetPr codeName="Hoja133"/>
  <dimension ref="A1:H17"/>
  <sheetViews>
    <sheetView view="pageBreakPreview" zoomScale="80" zoomScaleNormal="100" zoomScaleSheetLayoutView="80" workbookViewId="0">
      <selection activeCell="C18" sqref="C1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214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11.110000000000014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45821</v>
      </c>
      <c r="B5" s="27" t="s">
        <v>4</v>
      </c>
      <c r="C5" s="24">
        <v>-36.659999999999997</v>
      </c>
      <c r="D5" s="30"/>
      <c r="E5" s="30"/>
      <c r="F5" s="30"/>
      <c r="G5" s="22"/>
    </row>
    <row r="6" spans="1:8" hidden="1" x14ac:dyDescent="0.3">
      <c r="A6" s="21">
        <v>45821</v>
      </c>
      <c r="B6" s="32" t="s">
        <v>21</v>
      </c>
      <c r="C6" s="24">
        <v>15.85</v>
      </c>
    </row>
    <row r="7" spans="1:8" hidden="1" x14ac:dyDescent="0.3">
      <c r="A7" s="21">
        <v>45821</v>
      </c>
      <c r="B7" s="27" t="s">
        <v>1</v>
      </c>
      <c r="C7" s="24">
        <v>20.8</v>
      </c>
    </row>
    <row r="8" spans="1:8" hidden="1" x14ac:dyDescent="0.3">
      <c r="A8" s="26">
        <v>45849</v>
      </c>
      <c r="B8" s="32" t="s">
        <v>21</v>
      </c>
      <c r="C8" s="24">
        <v>9.84</v>
      </c>
    </row>
    <row r="9" spans="1:8" hidden="1" x14ac:dyDescent="0.3">
      <c r="A9" s="26">
        <v>45891</v>
      </c>
      <c r="B9" s="27" t="s">
        <v>7</v>
      </c>
      <c r="C9" s="24">
        <v>-9.83</v>
      </c>
    </row>
    <row r="10" spans="1:8" hidden="1" x14ac:dyDescent="0.3">
      <c r="A10" s="26">
        <v>45919</v>
      </c>
      <c r="B10" s="32" t="s">
        <v>21</v>
      </c>
      <c r="C10" s="24">
        <v>9.84</v>
      </c>
    </row>
    <row r="11" spans="1:8" hidden="1" x14ac:dyDescent="0.3">
      <c r="A11" s="26">
        <v>45919</v>
      </c>
      <c r="B11" s="27" t="s">
        <v>1</v>
      </c>
      <c r="C11" s="24">
        <v>20.8</v>
      </c>
    </row>
    <row r="12" spans="1:8" hidden="1" x14ac:dyDescent="0.3">
      <c r="A12" s="26">
        <v>45940</v>
      </c>
      <c r="B12" s="32" t="s">
        <v>21</v>
      </c>
      <c r="C12" s="24">
        <v>35.85</v>
      </c>
    </row>
    <row r="13" spans="1:8" hidden="1" x14ac:dyDescent="0.3">
      <c r="A13" s="26">
        <v>45968</v>
      </c>
      <c r="B13" s="27" t="s">
        <v>4</v>
      </c>
      <c r="C13" s="24">
        <v>-30.65</v>
      </c>
    </row>
    <row r="14" spans="1:8" hidden="1" x14ac:dyDescent="0.3">
      <c r="A14" s="26">
        <v>45968</v>
      </c>
      <c r="B14" s="27" t="s">
        <v>7</v>
      </c>
      <c r="C14" s="24">
        <v>-35.83</v>
      </c>
    </row>
    <row r="15" spans="1:8" x14ac:dyDescent="0.3">
      <c r="A15" s="26">
        <v>45968</v>
      </c>
      <c r="B15" s="32" t="s">
        <v>21</v>
      </c>
      <c r="C15" s="24">
        <v>16.38</v>
      </c>
    </row>
    <row r="16" spans="1:8" x14ac:dyDescent="0.3">
      <c r="A16" s="26">
        <v>45968</v>
      </c>
      <c r="B16" s="27" t="s">
        <v>1</v>
      </c>
      <c r="C16" s="24">
        <v>23</v>
      </c>
    </row>
    <row r="17" spans="1:3" x14ac:dyDescent="0.3">
      <c r="A17" s="26">
        <v>45996</v>
      </c>
      <c r="B17" s="27" t="s">
        <v>7</v>
      </c>
      <c r="C17" s="24">
        <v>-28.28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1537-292A-4853-8F48-D08BCB626D4E}">
  <dimension ref="A1:H13"/>
  <sheetViews>
    <sheetView view="pageBreakPreview" zoomScale="80" zoomScaleNormal="100" zoomScaleSheetLayoutView="8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359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360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0.16000000000000014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45853</v>
      </c>
      <c r="B5" s="32" t="s">
        <v>21</v>
      </c>
      <c r="C5" s="24">
        <v>7.8</v>
      </c>
      <c r="D5" s="30"/>
      <c r="E5" s="30"/>
      <c r="F5" s="30"/>
      <c r="G5" s="22"/>
    </row>
    <row r="6" spans="1:8" x14ac:dyDescent="0.3">
      <c r="A6" s="21">
        <v>45861</v>
      </c>
      <c r="B6" s="31" t="s">
        <v>4</v>
      </c>
      <c r="C6" s="24">
        <v>-7.8</v>
      </c>
    </row>
    <row r="7" spans="1:8" x14ac:dyDescent="0.3">
      <c r="A7" s="21">
        <v>45861</v>
      </c>
      <c r="B7" s="32" t="s">
        <v>1</v>
      </c>
      <c r="C7" s="24">
        <v>15.85</v>
      </c>
    </row>
    <row r="8" spans="1:8" x14ac:dyDescent="0.3">
      <c r="A8" s="26">
        <v>45867</v>
      </c>
      <c r="B8" s="27" t="s">
        <v>4</v>
      </c>
      <c r="C8" s="24">
        <v>-15.86</v>
      </c>
    </row>
    <row r="9" spans="1:8" x14ac:dyDescent="0.3">
      <c r="A9" s="26">
        <v>45896</v>
      </c>
      <c r="B9" s="32" t="s">
        <v>1</v>
      </c>
      <c r="C9" s="24">
        <v>15.85</v>
      </c>
    </row>
    <row r="10" spans="1:8" x14ac:dyDescent="0.3">
      <c r="A10" s="26">
        <v>45903</v>
      </c>
      <c r="B10" s="31" t="s">
        <v>4</v>
      </c>
      <c r="C10" s="24">
        <v>-6.63</v>
      </c>
    </row>
    <row r="11" spans="1:8" x14ac:dyDescent="0.3">
      <c r="A11" s="26">
        <v>45903</v>
      </c>
      <c r="B11" s="27" t="s">
        <v>7</v>
      </c>
      <c r="C11" s="24">
        <v>-9.2200000000000006</v>
      </c>
    </row>
    <row r="12" spans="1:8" x14ac:dyDescent="0.3">
      <c r="A12" s="26">
        <v>45931</v>
      </c>
      <c r="B12" s="32" t="s">
        <v>1</v>
      </c>
      <c r="C12" s="24">
        <v>15.85</v>
      </c>
    </row>
    <row r="13" spans="1:8" x14ac:dyDescent="0.3">
      <c r="A13" s="26">
        <v>45939</v>
      </c>
      <c r="B13" s="27" t="s">
        <v>4</v>
      </c>
      <c r="C13" s="24">
        <v>-15.68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0A7DB-D440-47EE-8C37-3283E6039CF6}">
  <dimension ref="A1:H12"/>
  <sheetViews>
    <sheetView view="pageBreakPreview" zoomScale="80" zoomScaleNormal="100" zoomScaleSheetLayoutView="80" workbookViewId="0">
      <selection activeCell="C13" sqref="C1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452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453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45923</v>
      </c>
      <c r="B5" s="31" t="s">
        <v>4</v>
      </c>
      <c r="C5" s="24">
        <v>-15.85</v>
      </c>
      <c r="D5" s="30"/>
      <c r="E5" s="30"/>
      <c r="F5" s="30"/>
      <c r="G5" s="22"/>
    </row>
    <row r="6" spans="1:8" x14ac:dyDescent="0.3">
      <c r="A6" s="21">
        <v>45923</v>
      </c>
      <c r="B6" s="32" t="s">
        <v>21</v>
      </c>
      <c r="C6" s="24">
        <v>15.85</v>
      </c>
    </row>
    <row r="7" spans="1:8" x14ac:dyDescent="0.3">
      <c r="A7" s="21">
        <v>45958</v>
      </c>
      <c r="B7" s="32" t="s">
        <v>21</v>
      </c>
      <c r="C7" s="24">
        <v>16.38</v>
      </c>
    </row>
    <row r="8" spans="1:8" x14ac:dyDescent="0.3">
      <c r="A8" s="26">
        <v>46001</v>
      </c>
      <c r="B8" s="27" t="s">
        <v>4</v>
      </c>
      <c r="C8" s="24">
        <v>-16.38</v>
      </c>
    </row>
    <row r="9" spans="1:8" x14ac:dyDescent="0.3">
      <c r="A9" s="26">
        <v>46007</v>
      </c>
      <c r="B9" s="27" t="s">
        <v>4</v>
      </c>
      <c r="C9" s="24">
        <v>-32.76</v>
      </c>
    </row>
    <row r="10" spans="1:8" x14ac:dyDescent="0.3">
      <c r="A10" s="26">
        <v>46007</v>
      </c>
      <c r="B10" s="31" t="s">
        <v>1</v>
      </c>
      <c r="C10" s="24">
        <v>32.76</v>
      </c>
    </row>
    <row r="11" spans="1:8" x14ac:dyDescent="0.3">
      <c r="A11" s="26">
        <v>46035</v>
      </c>
      <c r="B11" s="31" t="s">
        <v>1</v>
      </c>
      <c r="C11" s="24">
        <v>17.28</v>
      </c>
    </row>
    <row r="12" spans="1:8" x14ac:dyDescent="0.3">
      <c r="A12" s="26">
        <v>46038</v>
      </c>
      <c r="B12" s="31" t="s">
        <v>4</v>
      </c>
      <c r="C12" s="24">
        <v>-17.28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5D9A4-321D-4354-BD00-F1E0E08EB6A8}">
  <sheetPr codeName="Hoja80"/>
  <dimension ref="A1:H12"/>
  <sheetViews>
    <sheetView view="pageBreakPreview" zoomScale="80" zoomScaleNormal="100" zoomScaleSheetLayoutView="80" workbookViewId="0">
      <selection sqref="A1:H1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146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147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16.059999999999999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45818</v>
      </c>
      <c r="B5" s="32" t="s">
        <v>21</v>
      </c>
      <c r="C5" s="24">
        <v>25.85</v>
      </c>
      <c r="D5" s="30"/>
      <c r="E5" s="30"/>
      <c r="F5" s="30"/>
      <c r="G5" s="22"/>
    </row>
    <row r="6" spans="1:8" x14ac:dyDescent="0.3">
      <c r="A6" s="21">
        <v>45827</v>
      </c>
      <c r="B6" s="31" t="s">
        <v>7</v>
      </c>
      <c r="C6" s="24">
        <v>-25.85</v>
      </c>
    </row>
    <row r="7" spans="1:8" x14ac:dyDescent="0.3">
      <c r="A7" s="21">
        <v>45827</v>
      </c>
      <c r="B7" s="32" t="s">
        <v>21</v>
      </c>
      <c r="C7" s="24">
        <v>7.7</v>
      </c>
    </row>
    <row r="8" spans="1:8" x14ac:dyDescent="0.3">
      <c r="A8" s="26">
        <v>45839</v>
      </c>
      <c r="B8" s="27" t="s">
        <v>7</v>
      </c>
      <c r="C8" s="24">
        <v>-7.71</v>
      </c>
    </row>
    <row r="9" spans="1:8" x14ac:dyDescent="0.3">
      <c r="A9" s="26">
        <v>45874</v>
      </c>
      <c r="B9" s="32" t="s">
        <v>21</v>
      </c>
      <c r="C9" s="24">
        <v>9.6</v>
      </c>
    </row>
    <row r="10" spans="1:8" x14ac:dyDescent="0.3">
      <c r="A10" s="26">
        <v>45881</v>
      </c>
      <c r="B10" s="31" t="s">
        <v>7</v>
      </c>
      <c r="C10" s="24">
        <v>-9.3800000000000008</v>
      </c>
    </row>
    <row r="11" spans="1:8" x14ac:dyDescent="0.3">
      <c r="A11" s="26">
        <v>45888</v>
      </c>
      <c r="B11" s="32" t="s">
        <v>21</v>
      </c>
      <c r="C11" s="24">
        <v>15.85</v>
      </c>
    </row>
    <row r="12" spans="1:8" x14ac:dyDescent="0.3">
      <c r="B12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CCD6-D1FE-4B93-BF30-76A557B581B2}">
  <sheetPr codeName="Hoja81"/>
  <dimension ref="A1:M53"/>
  <sheetViews>
    <sheetView view="pageBreakPreview" zoomScale="80" zoomScaleNormal="100" zoomScaleSheetLayoutView="80" workbookViewId="0">
      <selection sqref="A1:H6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13" x14ac:dyDescent="0.3">
      <c r="A1" s="16" t="s">
        <v>15</v>
      </c>
      <c r="B1" s="17" t="s">
        <v>24</v>
      </c>
      <c r="C1" s="17"/>
      <c r="D1" s="17"/>
      <c r="E1" s="17"/>
      <c r="F1" s="17"/>
      <c r="G1" s="18"/>
      <c r="H1" s="16"/>
    </row>
    <row r="2" spans="1:13" x14ac:dyDescent="0.3">
      <c r="A2" s="16" t="s">
        <v>91</v>
      </c>
      <c r="B2" s="17"/>
      <c r="C2" s="17"/>
      <c r="D2" s="17"/>
      <c r="E2" s="17"/>
      <c r="F2" s="17"/>
      <c r="G2" s="17"/>
    </row>
    <row r="3" spans="1:13" ht="14.4" thickBot="1" x14ac:dyDescent="0.35">
      <c r="A3" s="138" t="s">
        <v>16</v>
      </c>
      <c r="B3" s="139"/>
      <c r="C3" s="19">
        <f>SUM(C$4:C$1048576)</f>
        <v>128.08999999999997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13.43</v>
      </c>
    </row>
    <row r="4" spans="1:13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13" hidden="1" x14ac:dyDescent="0.3">
      <c r="A5" s="21">
        <v>45812</v>
      </c>
      <c r="B5" s="31" t="s">
        <v>21</v>
      </c>
      <c r="C5" s="24">
        <f>41.6</f>
        <v>41.6</v>
      </c>
      <c r="D5" s="30"/>
      <c r="E5" s="30"/>
      <c r="F5" s="30"/>
      <c r="G5" s="22"/>
    </row>
    <row r="6" spans="1:13" hidden="1" x14ac:dyDescent="0.3">
      <c r="A6" s="21">
        <v>45812</v>
      </c>
      <c r="B6" s="32" t="s">
        <v>21</v>
      </c>
      <c r="C6" s="24">
        <f>160.51-G6</f>
        <v>143.91</v>
      </c>
      <c r="G6" s="24">
        <v>16.600000000000001</v>
      </c>
    </row>
    <row r="7" spans="1:13" hidden="1" x14ac:dyDescent="0.3">
      <c r="A7" s="26">
        <v>45827</v>
      </c>
      <c r="B7" s="32" t="s">
        <v>21</v>
      </c>
      <c r="C7" s="24">
        <f>218.27-G7</f>
        <v>195.70000000000002</v>
      </c>
      <c r="G7" s="24">
        <v>22.57</v>
      </c>
    </row>
    <row r="8" spans="1:13" hidden="1" x14ac:dyDescent="0.3">
      <c r="A8" s="26">
        <v>45828</v>
      </c>
      <c r="B8" s="27" t="s">
        <v>4</v>
      </c>
      <c r="C8" s="24">
        <v>-142.80000000000001</v>
      </c>
      <c r="G8" s="24">
        <v>-16.600000000000001</v>
      </c>
      <c r="M8" s="18">
        <v>17.440000000000001</v>
      </c>
    </row>
    <row r="9" spans="1:13" hidden="1" x14ac:dyDescent="0.3">
      <c r="A9" s="26">
        <v>45834</v>
      </c>
      <c r="B9" s="27" t="s">
        <v>4</v>
      </c>
      <c r="C9" s="24">
        <v>-41.32</v>
      </c>
      <c r="I9" s="25"/>
    </row>
    <row r="10" spans="1:13" hidden="1" x14ac:dyDescent="0.3">
      <c r="A10" s="26">
        <v>45838</v>
      </c>
      <c r="B10" s="31" t="s">
        <v>4</v>
      </c>
      <c r="C10" s="24">
        <v>-196.51</v>
      </c>
      <c r="G10" s="24">
        <v>-22.57</v>
      </c>
    </row>
    <row r="11" spans="1:13" hidden="1" x14ac:dyDescent="0.3">
      <c r="A11" s="26">
        <v>45841</v>
      </c>
      <c r="B11" s="32" t="s">
        <v>21</v>
      </c>
      <c r="C11" s="24">
        <f>73.22-G11</f>
        <v>65.650000000000006</v>
      </c>
      <c r="G11" s="24">
        <v>7.57</v>
      </c>
    </row>
    <row r="12" spans="1:13" hidden="1" x14ac:dyDescent="0.3">
      <c r="A12" s="26">
        <v>45841</v>
      </c>
      <c r="B12" s="31" t="s">
        <v>1</v>
      </c>
      <c r="C12" s="24">
        <v>83.2</v>
      </c>
    </row>
    <row r="13" spans="1:13" hidden="1" x14ac:dyDescent="0.3">
      <c r="A13" s="26">
        <v>45846</v>
      </c>
      <c r="B13" s="27" t="s">
        <v>4</v>
      </c>
      <c r="C13" s="24">
        <v>-65.760000000000005</v>
      </c>
    </row>
    <row r="14" spans="1:13" hidden="1" x14ac:dyDescent="0.3">
      <c r="A14" s="26">
        <v>45846</v>
      </c>
      <c r="B14" s="27" t="s">
        <v>4</v>
      </c>
      <c r="C14" s="24">
        <v>-83.2</v>
      </c>
      <c r="G14" s="24">
        <v>-7.57</v>
      </c>
    </row>
    <row r="15" spans="1:13" hidden="1" x14ac:dyDescent="0.3">
      <c r="A15" s="26">
        <v>45848</v>
      </c>
      <c r="B15" s="32" t="s">
        <v>21</v>
      </c>
      <c r="C15" s="24">
        <f>149.07-G15</f>
        <v>133.62</v>
      </c>
      <c r="G15" s="24">
        <v>15.45</v>
      </c>
    </row>
    <row r="16" spans="1:13" hidden="1" x14ac:dyDescent="0.3">
      <c r="A16" s="26">
        <v>45848</v>
      </c>
      <c r="B16" s="27" t="s">
        <v>1</v>
      </c>
      <c r="C16" s="24">
        <v>83.2</v>
      </c>
    </row>
    <row r="17" spans="1:11" hidden="1" x14ac:dyDescent="0.3">
      <c r="A17" s="26">
        <v>45860</v>
      </c>
      <c r="B17" s="27" t="s">
        <v>4</v>
      </c>
      <c r="C17" s="24">
        <v>-133.76</v>
      </c>
      <c r="G17" s="24">
        <v>-15.45</v>
      </c>
    </row>
    <row r="18" spans="1:11" hidden="1" x14ac:dyDescent="0.3">
      <c r="A18" s="26">
        <v>45860</v>
      </c>
      <c r="B18" s="27" t="s">
        <v>4</v>
      </c>
      <c r="C18" s="24">
        <v>-82.84</v>
      </c>
    </row>
    <row r="19" spans="1:11" hidden="1" x14ac:dyDescent="0.3">
      <c r="A19" s="26">
        <v>45861</v>
      </c>
      <c r="B19" s="27" t="s">
        <v>1</v>
      </c>
      <c r="C19" s="24">
        <v>129.6</v>
      </c>
    </row>
    <row r="20" spans="1:11" hidden="1" x14ac:dyDescent="0.3">
      <c r="A20" s="26">
        <v>45861</v>
      </c>
      <c r="B20" s="32" t="s">
        <v>21</v>
      </c>
      <c r="C20" s="24">
        <f>73.22-G20</f>
        <v>65.650000000000006</v>
      </c>
      <c r="G20" s="24">
        <v>7.57</v>
      </c>
    </row>
    <row r="21" spans="1:11" hidden="1" x14ac:dyDescent="0.3">
      <c r="A21" s="26">
        <v>45863</v>
      </c>
      <c r="B21" s="32" t="s">
        <v>21</v>
      </c>
      <c r="C21" s="24">
        <f>60-G21</f>
        <v>53.8</v>
      </c>
      <c r="G21" s="24">
        <v>6.2</v>
      </c>
    </row>
    <row r="22" spans="1:11" hidden="1" x14ac:dyDescent="0.3">
      <c r="A22" s="26">
        <v>45876</v>
      </c>
      <c r="B22" s="32" t="s">
        <v>21</v>
      </c>
      <c r="C22" s="24">
        <f>118.66-G22</f>
        <v>106.39</v>
      </c>
      <c r="G22" s="24">
        <v>12.27</v>
      </c>
    </row>
    <row r="23" spans="1:11" hidden="1" x14ac:dyDescent="0.3">
      <c r="A23" s="26">
        <v>45876</v>
      </c>
      <c r="B23" s="27" t="s">
        <v>1</v>
      </c>
      <c r="C23" s="24">
        <v>83.2</v>
      </c>
      <c r="H23" s="78"/>
    </row>
    <row r="24" spans="1:11" hidden="1" x14ac:dyDescent="0.3">
      <c r="A24" s="26">
        <v>45882</v>
      </c>
      <c r="B24" s="27" t="s">
        <v>4</v>
      </c>
      <c r="C24" s="24">
        <v>-120.69</v>
      </c>
      <c r="G24" s="24">
        <v>-13.78</v>
      </c>
    </row>
    <row r="25" spans="1:11" hidden="1" x14ac:dyDescent="0.3">
      <c r="A25" s="26">
        <v>45882</v>
      </c>
      <c r="B25" s="27" t="s">
        <v>4</v>
      </c>
      <c r="C25" s="24">
        <v>-129.6</v>
      </c>
      <c r="K25" s="87"/>
    </row>
    <row r="26" spans="1:11" hidden="1" x14ac:dyDescent="0.3">
      <c r="A26" s="26">
        <v>45890</v>
      </c>
      <c r="B26" s="32" t="s">
        <v>21</v>
      </c>
      <c r="C26" s="24">
        <v>19.46</v>
      </c>
    </row>
    <row r="27" spans="1:11" hidden="1" x14ac:dyDescent="0.3">
      <c r="A27" s="26">
        <v>45895</v>
      </c>
      <c r="B27" s="27" t="s">
        <v>4</v>
      </c>
      <c r="C27" s="24">
        <v>-206.53</v>
      </c>
    </row>
    <row r="28" spans="1:11" hidden="1" x14ac:dyDescent="0.3">
      <c r="A28" s="26">
        <v>45897</v>
      </c>
      <c r="B28" s="32" t="s">
        <v>21</v>
      </c>
      <c r="C28" s="24">
        <f>137.52-G28</f>
        <v>123.30000000000001</v>
      </c>
      <c r="G28" s="24">
        <v>14.22</v>
      </c>
    </row>
    <row r="29" spans="1:11" hidden="1" x14ac:dyDescent="0.3">
      <c r="A29" s="26">
        <v>45897</v>
      </c>
      <c r="B29" s="27" t="s">
        <v>1</v>
      </c>
      <c r="C29" s="24">
        <v>106.4</v>
      </c>
    </row>
    <row r="30" spans="1:11" hidden="1" x14ac:dyDescent="0.3">
      <c r="A30" s="26">
        <v>45906</v>
      </c>
      <c r="B30" s="27" t="s">
        <v>23</v>
      </c>
      <c r="G30" s="24">
        <v>-14.22</v>
      </c>
    </row>
    <row r="31" spans="1:11" hidden="1" x14ac:dyDescent="0.3">
      <c r="A31" s="26">
        <v>45906</v>
      </c>
      <c r="B31" s="27" t="s">
        <v>23</v>
      </c>
      <c r="G31" s="24">
        <v>-12.26</v>
      </c>
    </row>
    <row r="32" spans="1:11" hidden="1" x14ac:dyDescent="0.3">
      <c r="A32" s="26">
        <v>45911</v>
      </c>
      <c r="B32" s="27" t="s">
        <v>4</v>
      </c>
      <c r="C32" s="24">
        <v>-231.67</v>
      </c>
    </row>
    <row r="33" spans="1:12" x14ac:dyDescent="0.3">
      <c r="A33" s="26">
        <v>45911</v>
      </c>
      <c r="B33" s="32" t="s">
        <v>21</v>
      </c>
      <c r="C33" s="24">
        <f>222.98-G33</f>
        <v>206.47</v>
      </c>
      <c r="G33" s="24">
        <v>16.510000000000002</v>
      </c>
      <c r="J33" s="87"/>
    </row>
    <row r="34" spans="1:12" x14ac:dyDescent="0.3">
      <c r="A34" s="26">
        <v>45911</v>
      </c>
      <c r="B34" s="27" t="s">
        <v>1</v>
      </c>
      <c r="C34" s="24">
        <v>20.8</v>
      </c>
    </row>
    <row r="35" spans="1:12" x14ac:dyDescent="0.3">
      <c r="A35" s="26">
        <v>45919</v>
      </c>
      <c r="B35" s="27" t="s">
        <v>4</v>
      </c>
      <c r="C35" s="24">
        <v>-169.65</v>
      </c>
      <c r="G35" s="24">
        <v>-16.510000000000002</v>
      </c>
    </row>
    <row r="36" spans="1:12" x14ac:dyDescent="0.3">
      <c r="A36" s="26">
        <v>45925</v>
      </c>
      <c r="B36" s="32" t="s">
        <v>21</v>
      </c>
      <c r="C36" s="24">
        <f>129.22-G36</f>
        <v>115.86</v>
      </c>
      <c r="G36" s="24">
        <v>13.36</v>
      </c>
    </row>
    <row r="37" spans="1:12" x14ac:dyDescent="0.3">
      <c r="A37" s="26">
        <v>45925</v>
      </c>
      <c r="B37" s="27" t="s">
        <v>1</v>
      </c>
      <c r="C37" s="24">
        <v>23.2</v>
      </c>
    </row>
    <row r="38" spans="1:12" x14ac:dyDescent="0.3">
      <c r="A38" s="26">
        <v>45930</v>
      </c>
      <c r="B38" s="27" t="s">
        <v>4</v>
      </c>
      <c r="C38" s="24">
        <v>-53.02</v>
      </c>
    </row>
    <row r="39" spans="1:12" x14ac:dyDescent="0.3">
      <c r="A39" s="26">
        <v>45934</v>
      </c>
      <c r="B39" s="27" t="s">
        <v>4</v>
      </c>
      <c r="C39" s="24">
        <v>-23.2</v>
      </c>
    </row>
    <row r="40" spans="1:12" x14ac:dyDescent="0.3">
      <c r="A40" s="26">
        <v>45938</v>
      </c>
      <c r="B40" s="27" t="s">
        <v>4</v>
      </c>
      <c r="C40" s="24">
        <v>-114.44</v>
      </c>
      <c r="G40" s="24">
        <v>-13.36</v>
      </c>
    </row>
    <row r="41" spans="1:12" x14ac:dyDescent="0.3">
      <c r="A41" s="26">
        <v>45939</v>
      </c>
      <c r="B41" s="32" t="s">
        <v>21</v>
      </c>
      <c r="C41" s="24">
        <f>148.64-G41</f>
        <v>133.26999999999998</v>
      </c>
      <c r="G41" s="24">
        <v>15.37</v>
      </c>
    </row>
    <row r="42" spans="1:12" x14ac:dyDescent="0.3">
      <c r="A42" s="26">
        <v>45950</v>
      </c>
      <c r="B42" s="27" t="s">
        <v>4</v>
      </c>
      <c r="C42" s="24">
        <v>-134.19</v>
      </c>
      <c r="G42" s="24">
        <v>-15.37</v>
      </c>
    </row>
    <row r="43" spans="1:12" x14ac:dyDescent="0.3">
      <c r="A43" s="26">
        <v>45953</v>
      </c>
      <c r="B43" s="32" t="s">
        <v>21</v>
      </c>
      <c r="C43" s="24">
        <f>168.64-G43</f>
        <v>151.19999999999999</v>
      </c>
      <c r="G43" s="24">
        <v>17.440000000000001</v>
      </c>
    </row>
    <row r="44" spans="1:12" x14ac:dyDescent="0.3">
      <c r="A44" s="26">
        <v>45961</v>
      </c>
      <c r="B44" s="27" t="s">
        <v>4</v>
      </c>
      <c r="C44" s="24">
        <v>-75</v>
      </c>
      <c r="G44" s="24">
        <v>-17.440000000000001</v>
      </c>
    </row>
    <row r="45" spans="1:12" x14ac:dyDescent="0.3">
      <c r="A45" s="26">
        <v>45972</v>
      </c>
      <c r="B45" s="27" t="s">
        <v>4</v>
      </c>
      <c r="C45" s="24">
        <v>-152.55000000000001</v>
      </c>
      <c r="L45" s="18">
        <f>3706.88/212.4837</f>
        <v>17.445479347356997</v>
      </c>
    </row>
    <row r="46" spans="1:12" x14ac:dyDescent="0.3">
      <c r="A46" s="26">
        <v>45974</v>
      </c>
      <c r="B46" s="27" t="s">
        <v>1</v>
      </c>
      <c r="C46" s="24">
        <f>211.2-G46</f>
        <v>189.35999999999999</v>
      </c>
      <c r="G46" s="24">
        <v>21.84</v>
      </c>
    </row>
    <row r="47" spans="1:12" x14ac:dyDescent="0.3">
      <c r="A47" s="26">
        <v>45996</v>
      </c>
      <c r="B47" s="27" t="s">
        <v>4</v>
      </c>
      <c r="C47" s="24">
        <v>-191.09</v>
      </c>
      <c r="G47" s="24">
        <v>-21.84</v>
      </c>
    </row>
    <row r="48" spans="1:12" x14ac:dyDescent="0.3">
      <c r="A48" s="26">
        <v>45996</v>
      </c>
      <c r="B48" s="27" t="s">
        <v>1</v>
      </c>
      <c r="C48" s="24">
        <f>160.34-G48</f>
        <v>138.03</v>
      </c>
      <c r="G48" s="24">
        <v>22.31</v>
      </c>
    </row>
    <row r="49" spans="1:10" x14ac:dyDescent="0.3">
      <c r="A49" s="26">
        <v>46008</v>
      </c>
      <c r="B49" s="27" t="s">
        <v>4</v>
      </c>
      <c r="C49" s="24">
        <v>-126.55</v>
      </c>
    </row>
    <row r="50" spans="1:10" x14ac:dyDescent="0.3">
      <c r="A50" s="26">
        <v>46008</v>
      </c>
      <c r="B50" s="27" t="s">
        <v>4</v>
      </c>
      <c r="C50" s="24">
        <v>-18.32</v>
      </c>
      <c r="G50" s="24">
        <v>-22.31</v>
      </c>
    </row>
    <row r="51" spans="1:10" x14ac:dyDescent="0.3">
      <c r="A51" s="26">
        <v>46009</v>
      </c>
      <c r="B51" s="27" t="s">
        <v>1</v>
      </c>
      <c r="C51" s="24">
        <f>92.42-G51</f>
        <v>87.62</v>
      </c>
      <c r="G51" s="24">
        <v>4.8</v>
      </c>
    </row>
    <row r="52" spans="1:10" x14ac:dyDescent="0.3">
      <c r="A52" s="26">
        <v>46035</v>
      </c>
      <c r="B52" s="27" t="s">
        <v>4</v>
      </c>
      <c r="C52" s="24">
        <v>-88.36</v>
      </c>
      <c r="G52" s="24">
        <v>-4.8</v>
      </c>
      <c r="J52" s="18">
        <f>5100.41/233.5576</f>
        <v>21.83791064816559</v>
      </c>
    </row>
    <row r="53" spans="1:10" x14ac:dyDescent="0.3">
      <c r="A53" s="26">
        <v>46037</v>
      </c>
      <c r="B53" s="27" t="s">
        <v>1</v>
      </c>
      <c r="C53" s="24">
        <f>222.08-G53</f>
        <v>208.65</v>
      </c>
      <c r="G53" s="24">
        <v>13.43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FD1DA-87EA-4E84-9574-3060874F7823}">
  <dimension ref="A1:K36"/>
  <sheetViews>
    <sheetView view="pageBreakPreview" zoomScale="80" zoomScaleNormal="100" zoomScaleSheetLayoutView="80" workbookViewId="0">
      <selection activeCell="C10" sqref="C1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476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48.64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45939</v>
      </c>
      <c r="B5" s="32" t="s">
        <v>21</v>
      </c>
      <c r="C5" s="24">
        <v>16.38</v>
      </c>
      <c r="D5" s="30"/>
      <c r="E5" s="30"/>
      <c r="F5" s="30"/>
      <c r="G5" s="22"/>
    </row>
    <row r="6" spans="1:9" x14ac:dyDescent="0.3">
      <c r="A6" s="21">
        <v>45959</v>
      </c>
      <c r="B6" s="27" t="s">
        <v>7</v>
      </c>
      <c r="C6" s="24">
        <v>-16.399999999999999</v>
      </c>
    </row>
    <row r="7" spans="1:9" x14ac:dyDescent="0.3">
      <c r="A7" s="26">
        <v>45988</v>
      </c>
      <c r="B7" s="27" t="s">
        <v>1</v>
      </c>
      <c r="C7" s="24">
        <v>39.380000000000003</v>
      </c>
    </row>
    <row r="8" spans="1:9" x14ac:dyDescent="0.3">
      <c r="A8" s="26">
        <v>46031</v>
      </c>
      <c r="B8" s="27" t="s">
        <v>7</v>
      </c>
      <c r="C8" s="24">
        <v>-39.36</v>
      </c>
    </row>
    <row r="9" spans="1:9" x14ac:dyDescent="0.3">
      <c r="A9" s="26">
        <v>46050</v>
      </c>
      <c r="B9" s="27" t="s">
        <v>1</v>
      </c>
      <c r="C9" s="24">
        <v>48.64</v>
      </c>
      <c r="I9" s="25"/>
    </row>
    <row r="10" spans="1:9" x14ac:dyDescent="0.3">
      <c r="B10" s="31"/>
    </row>
    <row r="11" spans="1:9" x14ac:dyDescent="0.3">
      <c r="B11" s="32"/>
    </row>
    <row r="12" spans="1:9" x14ac:dyDescent="0.3">
      <c r="B12" s="31"/>
    </row>
    <row r="15" spans="1:9" x14ac:dyDescent="0.3">
      <c r="B15" s="32"/>
    </row>
    <row r="20" spans="2:11" x14ac:dyDescent="0.3">
      <c r="B20" s="32"/>
    </row>
    <row r="21" spans="2:11" x14ac:dyDescent="0.3">
      <c r="B21" s="32"/>
    </row>
    <row r="22" spans="2:11" x14ac:dyDescent="0.3">
      <c r="B22" s="32"/>
    </row>
    <row r="23" spans="2:11" x14ac:dyDescent="0.3">
      <c r="H23" s="78"/>
    </row>
    <row r="25" spans="2:11" x14ac:dyDescent="0.3">
      <c r="K25" s="87"/>
    </row>
    <row r="26" spans="2:11" x14ac:dyDescent="0.3">
      <c r="B26" s="32"/>
    </row>
    <row r="28" spans="2:11" x14ac:dyDescent="0.3">
      <c r="B28" s="32"/>
    </row>
    <row r="33" spans="2:10" x14ac:dyDescent="0.3">
      <c r="B33" s="32"/>
      <c r="J33" s="87"/>
    </row>
    <row r="36" spans="2:10" x14ac:dyDescent="0.3">
      <c r="B36" s="32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A1C96-2A3D-4C54-9C35-19672D289B33}">
  <sheetPr codeName="Hoja82"/>
  <dimension ref="A1:H88"/>
  <sheetViews>
    <sheetView view="pageBreakPreview" zoomScale="80" zoomScaleNormal="100" zoomScaleSheetLayoutView="80" workbookViewId="0">
      <selection activeCell="C89" sqref="C8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141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142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439.65999999999997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45818</v>
      </c>
      <c r="B5" s="31" t="s">
        <v>1</v>
      </c>
      <c r="C5" s="24">
        <v>54.4</v>
      </c>
      <c r="D5" s="30"/>
      <c r="E5" s="30"/>
      <c r="F5" s="30"/>
      <c r="G5" s="22"/>
    </row>
    <row r="6" spans="1:8" hidden="1" x14ac:dyDescent="0.3">
      <c r="A6" s="21">
        <v>45818</v>
      </c>
      <c r="B6" s="72" t="s">
        <v>1</v>
      </c>
      <c r="C6" s="24">
        <v>37.479999999999997</v>
      </c>
    </row>
    <row r="7" spans="1:8" hidden="1" x14ac:dyDescent="0.3">
      <c r="A7" s="21">
        <v>45818</v>
      </c>
      <c r="B7" s="73" t="s">
        <v>1</v>
      </c>
      <c r="C7" s="24">
        <v>83.82</v>
      </c>
    </row>
    <row r="8" spans="1:8" hidden="1" x14ac:dyDescent="0.3">
      <c r="A8" s="26">
        <v>45832</v>
      </c>
      <c r="B8" s="27" t="s">
        <v>4</v>
      </c>
      <c r="C8" s="24">
        <v>-175.7</v>
      </c>
    </row>
    <row r="9" spans="1:8" hidden="1" x14ac:dyDescent="0.3">
      <c r="A9" s="26">
        <v>45832</v>
      </c>
      <c r="B9" s="27" t="s">
        <v>1</v>
      </c>
      <c r="C9" s="24">
        <v>20.8</v>
      </c>
    </row>
    <row r="10" spans="1:8" hidden="1" x14ac:dyDescent="0.3">
      <c r="A10" s="26">
        <v>45832</v>
      </c>
      <c r="B10" s="72" t="s">
        <v>1</v>
      </c>
      <c r="C10" s="24">
        <v>58.68</v>
      </c>
    </row>
    <row r="11" spans="1:8" hidden="1" x14ac:dyDescent="0.3">
      <c r="A11" s="26">
        <v>45832</v>
      </c>
      <c r="B11" s="73" t="s">
        <v>1</v>
      </c>
      <c r="C11" s="24">
        <v>211.68</v>
      </c>
    </row>
    <row r="12" spans="1:8" hidden="1" x14ac:dyDescent="0.3">
      <c r="A12" s="26">
        <v>45832</v>
      </c>
      <c r="B12" s="74" t="s">
        <v>1</v>
      </c>
      <c r="C12" s="24">
        <v>6.6</v>
      </c>
    </row>
    <row r="13" spans="1:8" hidden="1" x14ac:dyDescent="0.3">
      <c r="A13" s="26">
        <v>45845</v>
      </c>
      <c r="B13" s="27" t="s">
        <v>4</v>
      </c>
      <c r="C13" s="24">
        <v>-247.84</v>
      </c>
    </row>
    <row r="14" spans="1:8" hidden="1" x14ac:dyDescent="0.3">
      <c r="A14" s="26">
        <v>45846</v>
      </c>
      <c r="B14" s="27" t="s">
        <v>1</v>
      </c>
      <c r="C14" s="24">
        <v>62.4</v>
      </c>
    </row>
    <row r="15" spans="1:8" hidden="1" x14ac:dyDescent="0.3">
      <c r="A15" s="26">
        <v>45846</v>
      </c>
      <c r="B15" s="72" t="s">
        <v>1</v>
      </c>
      <c r="C15" s="24">
        <v>25.69</v>
      </c>
    </row>
    <row r="16" spans="1:8" hidden="1" x14ac:dyDescent="0.3">
      <c r="A16" s="26">
        <v>45846</v>
      </c>
      <c r="B16" s="73" t="s">
        <v>1</v>
      </c>
      <c r="C16" s="24">
        <v>98.83</v>
      </c>
    </row>
    <row r="17" spans="1:3" hidden="1" x14ac:dyDescent="0.3">
      <c r="A17" s="26">
        <v>45846</v>
      </c>
      <c r="B17" s="74" t="s">
        <v>1</v>
      </c>
      <c r="C17" s="24">
        <v>18.489999999999998</v>
      </c>
    </row>
    <row r="18" spans="1:3" hidden="1" x14ac:dyDescent="0.3">
      <c r="A18" s="26">
        <v>45849</v>
      </c>
      <c r="B18" s="27" t="s">
        <v>4</v>
      </c>
      <c r="C18" s="24">
        <v>-49.92</v>
      </c>
    </row>
    <row r="19" spans="1:3" hidden="1" x14ac:dyDescent="0.3">
      <c r="A19" s="26">
        <v>45860</v>
      </c>
      <c r="B19" s="27" t="s">
        <v>4</v>
      </c>
      <c r="C19" s="24">
        <v>-205.41</v>
      </c>
    </row>
    <row r="20" spans="1:3" hidden="1" x14ac:dyDescent="0.3">
      <c r="A20" s="26">
        <v>45861</v>
      </c>
      <c r="B20" s="27" t="s">
        <v>1</v>
      </c>
      <c r="C20" s="24">
        <v>41.6</v>
      </c>
    </row>
    <row r="21" spans="1:3" hidden="1" x14ac:dyDescent="0.3">
      <c r="A21" s="26">
        <v>45861</v>
      </c>
      <c r="B21" s="72" t="s">
        <v>1</v>
      </c>
      <c r="C21" s="24">
        <v>79.52</v>
      </c>
    </row>
    <row r="22" spans="1:3" hidden="1" x14ac:dyDescent="0.3">
      <c r="A22" s="26">
        <v>45861</v>
      </c>
      <c r="B22" s="73" t="s">
        <v>1</v>
      </c>
      <c r="C22" s="24">
        <v>133.9</v>
      </c>
    </row>
    <row r="23" spans="1:3" hidden="1" x14ac:dyDescent="0.3">
      <c r="A23" s="26">
        <v>45861</v>
      </c>
      <c r="B23" s="74" t="s">
        <v>1</v>
      </c>
      <c r="C23" s="24">
        <v>34.32</v>
      </c>
    </row>
    <row r="24" spans="1:3" hidden="1" x14ac:dyDescent="0.3">
      <c r="A24" s="26">
        <v>45867</v>
      </c>
      <c r="B24" s="27" t="s">
        <v>1</v>
      </c>
      <c r="C24" s="24">
        <v>41.6</v>
      </c>
    </row>
    <row r="25" spans="1:3" hidden="1" x14ac:dyDescent="0.3">
      <c r="A25" s="26">
        <v>45873</v>
      </c>
      <c r="B25" s="27" t="s">
        <v>4</v>
      </c>
      <c r="C25" s="24">
        <v>-150</v>
      </c>
    </row>
    <row r="26" spans="1:3" hidden="1" x14ac:dyDescent="0.3">
      <c r="A26" s="26">
        <v>45874</v>
      </c>
      <c r="B26" s="27" t="s">
        <v>1</v>
      </c>
      <c r="C26" s="24">
        <v>62.4</v>
      </c>
    </row>
    <row r="27" spans="1:3" hidden="1" x14ac:dyDescent="0.3">
      <c r="A27" s="26">
        <v>45874</v>
      </c>
      <c r="B27" s="72" t="s">
        <v>1</v>
      </c>
      <c r="C27" s="24">
        <v>12.1</v>
      </c>
    </row>
    <row r="28" spans="1:3" hidden="1" x14ac:dyDescent="0.3">
      <c r="A28" s="26">
        <v>45875</v>
      </c>
      <c r="B28" s="27" t="s">
        <v>4</v>
      </c>
      <c r="C28" s="24">
        <v>-67</v>
      </c>
    </row>
    <row r="29" spans="1:3" hidden="1" x14ac:dyDescent="0.3">
      <c r="A29" s="26">
        <v>45880</v>
      </c>
      <c r="B29" s="27" t="s">
        <v>4</v>
      </c>
      <c r="C29" s="24">
        <v>-56.59</v>
      </c>
    </row>
    <row r="30" spans="1:3" hidden="1" x14ac:dyDescent="0.3">
      <c r="A30" s="26">
        <v>45880</v>
      </c>
      <c r="B30" s="27" t="s">
        <v>4</v>
      </c>
      <c r="C30" s="24">
        <v>-15.34</v>
      </c>
    </row>
    <row r="31" spans="1:3" hidden="1" x14ac:dyDescent="0.3">
      <c r="A31" s="26">
        <v>45888</v>
      </c>
      <c r="B31" s="27" t="s">
        <v>4</v>
      </c>
      <c r="C31" s="24">
        <v>-41.6</v>
      </c>
    </row>
    <row r="32" spans="1:3" hidden="1" x14ac:dyDescent="0.3">
      <c r="A32" s="26">
        <v>45888</v>
      </c>
      <c r="B32" s="27" t="s">
        <v>1</v>
      </c>
      <c r="C32" s="24">
        <v>62.4</v>
      </c>
    </row>
    <row r="33" spans="1:3" hidden="1" x14ac:dyDescent="0.3">
      <c r="A33" s="26">
        <v>45888</v>
      </c>
      <c r="B33" s="72" t="s">
        <v>1</v>
      </c>
      <c r="C33" s="24">
        <v>19.68</v>
      </c>
    </row>
    <row r="34" spans="1:3" hidden="1" x14ac:dyDescent="0.3">
      <c r="A34" s="26">
        <v>45888</v>
      </c>
      <c r="B34" s="73" t="s">
        <v>1</v>
      </c>
      <c r="C34" s="24">
        <v>83.56</v>
      </c>
    </row>
    <row r="35" spans="1:3" hidden="1" x14ac:dyDescent="0.3">
      <c r="A35" s="26">
        <v>45888</v>
      </c>
      <c r="B35" s="74" t="s">
        <v>1</v>
      </c>
      <c r="C35" s="24">
        <v>16.05</v>
      </c>
    </row>
    <row r="36" spans="1:3" hidden="1" x14ac:dyDescent="0.3">
      <c r="A36" s="26">
        <v>45889</v>
      </c>
      <c r="B36" s="27" t="s">
        <v>4</v>
      </c>
      <c r="C36" s="24">
        <v>-74.239999999999995</v>
      </c>
    </row>
    <row r="37" spans="1:3" hidden="1" x14ac:dyDescent="0.3">
      <c r="A37" s="26">
        <v>45895</v>
      </c>
      <c r="B37" s="27" t="s">
        <v>1</v>
      </c>
      <c r="C37" s="24">
        <v>41.6</v>
      </c>
    </row>
    <row r="38" spans="1:3" hidden="1" x14ac:dyDescent="0.3">
      <c r="A38" s="26">
        <v>45897</v>
      </c>
      <c r="B38" s="27" t="s">
        <v>4</v>
      </c>
      <c r="C38" s="24">
        <v>-100</v>
      </c>
    </row>
    <row r="39" spans="1:3" hidden="1" x14ac:dyDescent="0.3">
      <c r="A39" s="26">
        <v>45901</v>
      </c>
      <c r="B39" s="27" t="s">
        <v>4</v>
      </c>
      <c r="C39" s="24">
        <v>-81.69</v>
      </c>
    </row>
    <row r="40" spans="1:3" hidden="1" x14ac:dyDescent="0.3">
      <c r="A40" s="26">
        <v>45902</v>
      </c>
      <c r="B40" s="72" t="s">
        <v>1</v>
      </c>
      <c r="C40" s="24">
        <v>29.87</v>
      </c>
    </row>
    <row r="41" spans="1:3" hidden="1" x14ac:dyDescent="0.3">
      <c r="A41" s="26">
        <v>45902</v>
      </c>
      <c r="B41" s="73" t="s">
        <v>1</v>
      </c>
      <c r="C41" s="24">
        <v>146.47999999999999</v>
      </c>
    </row>
    <row r="42" spans="1:3" hidden="1" x14ac:dyDescent="0.3">
      <c r="A42" s="26">
        <v>45902</v>
      </c>
      <c r="B42" s="74" t="s">
        <v>1</v>
      </c>
      <c r="C42" s="24">
        <v>10.38</v>
      </c>
    </row>
    <row r="43" spans="1:3" hidden="1" x14ac:dyDescent="0.3">
      <c r="A43" s="26">
        <v>45905</v>
      </c>
      <c r="B43" s="27" t="s">
        <v>4</v>
      </c>
      <c r="C43" s="24">
        <v>-41.6</v>
      </c>
    </row>
    <row r="44" spans="1:3" hidden="1" x14ac:dyDescent="0.3">
      <c r="A44" s="26">
        <v>45909</v>
      </c>
      <c r="B44" s="27" t="s">
        <v>1</v>
      </c>
      <c r="C44" s="24">
        <v>62.4</v>
      </c>
    </row>
    <row r="45" spans="1:3" hidden="1" x14ac:dyDescent="0.3">
      <c r="A45" s="26">
        <v>45916</v>
      </c>
      <c r="B45" s="27" t="s">
        <v>4</v>
      </c>
      <c r="C45" s="24">
        <v>-82</v>
      </c>
    </row>
    <row r="46" spans="1:3" hidden="1" x14ac:dyDescent="0.3">
      <c r="A46" s="26">
        <v>45917</v>
      </c>
      <c r="B46" s="27" t="s">
        <v>4</v>
      </c>
      <c r="C46" s="24">
        <v>-65</v>
      </c>
    </row>
    <row r="47" spans="1:3" hidden="1" x14ac:dyDescent="0.3">
      <c r="A47" s="26">
        <v>45918</v>
      </c>
      <c r="B47" s="27" t="s">
        <v>4</v>
      </c>
      <c r="C47" s="24">
        <v>-39.729999999999997</v>
      </c>
    </row>
    <row r="48" spans="1:3" hidden="1" x14ac:dyDescent="0.3">
      <c r="A48" s="26">
        <v>45919</v>
      </c>
      <c r="B48" s="72" t="s">
        <v>1</v>
      </c>
      <c r="C48" s="24">
        <v>9.6</v>
      </c>
    </row>
    <row r="49" spans="1:4" hidden="1" x14ac:dyDescent="0.3">
      <c r="A49" s="26">
        <v>45919</v>
      </c>
      <c r="B49" s="73" t="s">
        <v>1</v>
      </c>
      <c r="C49" s="24">
        <v>99.68</v>
      </c>
    </row>
    <row r="50" spans="1:4" hidden="1" x14ac:dyDescent="0.3">
      <c r="A50" s="26">
        <v>45926</v>
      </c>
      <c r="B50" s="27" t="s">
        <v>4</v>
      </c>
      <c r="C50" s="24">
        <v>-53</v>
      </c>
    </row>
    <row r="51" spans="1:4" hidden="1" x14ac:dyDescent="0.3">
      <c r="A51" s="26">
        <v>45929</v>
      </c>
      <c r="B51" s="27" t="s">
        <v>4</v>
      </c>
      <c r="C51" s="24">
        <v>-77</v>
      </c>
    </row>
    <row r="52" spans="1:4" hidden="1" x14ac:dyDescent="0.3">
      <c r="A52" s="26">
        <v>45930</v>
      </c>
      <c r="B52" s="27" t="s">
        <v>1</v>
      </c>
      <c r="C52" s="24">
        <v>44</v>
      </c>
      <c r="D52" s="25">
        <v>1</v>
      </c>
    </row>
    <row r="53" spans="1:4" hidden="1" x14ac:dyDescent="0.3">
      <c r="A53" s="26">
        <v>45930</v>
      </c>
      <c r="B53" s="72" t="s">
        <v>1</v>
      </c>
      <c r="C53" s="24">
        <v>72.77</v>
      </c>
    </row>
    <row r="54" spans="1:4" hidden="1" x14ac:dyDescent="0.3">
      <c r="A54" s="26">
        <v>45930</v>
      </c>
      <c r="B54" s="73" t="s">
        <v>1</v>
      </c>
      <c r="C54" s="24">
        <v>136</v>
      </c>
    </row>
    <row r="55" spans="1:4" hidden="1" x14ac:dyDescent="0.3">
      <c r="A55" s="26">
        <v>45930</v>
      </c>
      <c r="B55" s="74" t="s">
        <v>1</v>
      </c>
      <c r="C55" s="24">
        <v>20.76</v>
      </c>
    </row>
    <row r="56" spans="1:4" hidden="1" x14ac:dyDescent="0.3">
      <c r="A56" s="26">
        <v>45931</v>
      </c>
      <c r="B56" s="27" t="s">
        <v>4</v>
      </c>
      <c r="C56" s="24">
        <v>-42.96</v>
      </c>
    </row>
    <row r="57" spans="1:4" hidden="1" x14ac:dyDescent="0.3">
      <c r="A57" s="26">
        <v>45937</v>
      </c>
      <c r="B57" s="27" t="s">
        <v>1</v>
      </c>
      <c r="C57" s="24">
        <v>25.85</v>
      </c>
      <c r="D57" s="25">
        <v>-1</v>
      </c>
    </row>
    <row r="58" spans="1:4" hidden="1" x14ac:dyDescent="0.3">
      <c r="A58" s="26">
        <v>45945</v>
      </c>
      <c r="B58" s="27" t="s">
        <v>4</v>
      </c>
      <c r="C58" s="24">
        <v>-160</v>
      </c>
    </row>
    <row r="59" spans="1:4" hidden="1" x14ac:dyDescent="0.3">
      <c r="A59" s="26">
        <v>45947</v>
      </c>
      <c r="B59" s="27" t="s">
        <v>4</v>
      </c>
      <c r="C59" s="24">
        <v>-46.48</v>
      </c>
    </row>
    <row r="60" spans="1:4" hidden="1" x14ac:dyDescent="0.3">
      <c r="A60" s="26">
        <v>45947</v>
      </c>
      <c r="B60" s="27" t="s">
        <v>4</v>
      </c>
      <c r="C60" s="24">
        <v>-34</v>
      </c>
    </row>
    <row r="61" spans="1:4" hidden="1" x14ac:dyDescent="0.3">
      <c r="A61" s="26">
        <v>45951</v>
      </c>
      <c r="B61" s="27" t="s">
        <v>4</v>
      </c>
      <c r="C61" s="24">
        <v>-58.4</v>
      </c>
    </row>
    <row r="62" spans="1:4" hidden="1" x14ac:dyDescent="0.3">
      <c r="A62" s="26">
        <v>45951</v>
      </c>
      <c r="B62" s="27" t="s">
        <v>1</v>
      </c>
      <c r="C62" s="24">
        <v>23</v>
      </c>
    </row>
    <row r="63" spans="1:4" hidden="1" x14ac:dyDescent="0.3">
      <c r="A63" s="26">
        <v>45951</v>
      </c>
      <c r="B63" s="72" t="s">
        <v>1</v>
      </c>
      <c r="C63" s="24">
        <v>44.28</v>
      </c>
    </row>
    <row r="64" spans="1:4" hidden="1" x14ac:dyDescent="0.3">
      <c r="A64" s="26">
        <v>45951</v>
      </c>
      <c r="B64" s="73" t="s">
        <v>1</v>
      </c>
      <c r="C64" s="24">
        <v>89.67</v>
      </c>
    </row>
    <row r="65" spans="1:3" hidden="1" x14ac:dyDescent="0.3">
      <c r="A65" s="26">
        <v>45951</v>
      </c>
      <c r="B65" s="74" t="s">
        <v>1</v>
      </c>
      <c r="C65" s="24">
        <v>90.26</v>
      </c>
    </row>
    <row r="66" spans="1:3" hidden="1" x14ac:dyDescent="0.3">
      <c r="A66" s="26">
        <v>45964</v>
      </c>
      <c r="B66" s="27" t="s">
        <v>4</v>
      </c>
      <c r="C66" s="24">
        <v>-115</v>
      </c>
    </row>
    <row r="67" spans="1:3" hidden="1" x14ac:dyDescent="0.3">
      <c r="A67" s="26">
        <v>45967</v>
      </c>
      <c r="B67" s="27" t="s">
        <v>4</v>
      </c>
      <c r="C67" s="24">
        <v>-47.7</v>
      </c>
    </row>
    <row r="68" spans="1:3" hidden="1" x14ac:dyDescent="0.3">
      <c r="A68" s="26">
        <v>45967</v>
      </c>
      <c r="B68" s="27" t="s">
        <v>4</v>
      </c>
      <c r="C68" s="24">
        <v>-50</v>
      </c>
    </row>
    <row r="69" spans="1:3" hidden="1" x14ac:dyDescent="0.3">
      <c r="A69" s="26">
        <v>45971</v>
      </c>
      <c r="B69" s="27" t="s">
        <v>4</v>
      </c>
      <c r="C69" s="24">
        <v>-34.21</v>
      </c>
    </row>
    <row r="70" spans="1:3" x14ac:dyDescent="0.3">
      <c r="A70" s="26">
        <v>45972</v>
      </c>
      <c r="B70" s="27" t="s">
        <v>1</v>
      </c>
      <c r="C70" s="24">
        <v>364.21</v>
      </c>
    </row>
    <row r="71" spans="1:3" x14ac:dyDescent="0.3">
      <c r="A71" s="26">
        <v>45979</v>
      </c>
      <c r="B71" s="27" t="s">
        <v>1</v>
      </c>
      <c r="C71" s="24">
        <v>48.87</v>
      </c>
    </row>
    <row r="72" spans="1:3" x14ac:dyDescent="0.3">
      <c r="A72" s="26">
        <v>45980</v>
      </c>
      <c r="B72" s="27" t="s">
        <v>4</v>
      </c>
      <c r="C72" s="24">
        <v>-78.7</v>
      </c>
    </row>
    <row r="73" spans="1:3" x14ac:dyDescent="0.3">
      <c r="A73" s="26">
        <v>45981</v>
      </c>
      <c r="B73" s="27" t="s">
        <v>4</v>
      </c>
      <c r="C73" s="24">
        <v>-100</v>
      </c>
    </row>
    <row r="74" spans="1:3" x14ac:dyDescent="0.3">
      <c r="A74" s="26">
        <v>45986</v>
      </c>
      <c r="B74" s="27" t="s">
        <v>4</v>
      </c>
      <c r="C74" s="24">
        <v>-50.21</v>
      </c>
    </row>
    <row r="75" spans="1:3" x14ac:dyDescent="0.3">
      <c r="A75" s="26">
        <v>45986</v>
      </c>
      <c r="B75" s="27" t="s">
        <v>4</v>
      </c>
      <c r="C75" s="24">
        <v>-135</v>
      </c>
    </row>
    <row r="76" spans="1:3" x14ac:dyDescent="0.3">
      <c r="A76" s="26">
        <v>45986</v>
      </c>
      <c r="B76" s="27" t="s">
        <v>1</v>
      </c>
      <c r="C76" s="24">
        <v>346.09</v>
      </c>
    </row>
    <row r="77" spans="1:3" x14ac:dyDescent="0.3">
      <c r="A77" s="26">
        <v>45993</v>
      </c>
      <c r="B77" s="27" t="s">
        <v>4</v>
      </c>
      <c r="C77" s="24">
        <v>-149.36000000000001</v>
      </c>
    </row>
    <row r="78" spans="1:3" x14ac:dyDescent="0.3">
      <c r="A78" s="26">
        <v>46000</v>
      </c>
      <c r="B78" s="27" t="s">
        <v>4</v>
      </c>
      <c r="C78" s="24">
        <v>-136.09</v>
      </c>
    </row>
    <row r="79" spans="1:3" x14ac:dyDescent="0.3">
      <c r="A79" s="26">
        <v>46007</v>
      </c>
      <c r="B79" s="27" t="s">
        <v>4</v>
      </c>
      <c r="C79" s="24">
        <v>-98.98</v>
      </c>
    </row>
    <row r="80" spans="1:3" x14ac:dyDescent="0.3">
      <c r="A80" s="26">
        <v>46007</v>
      </c>
      <c r="B80" s="27" t="s">
        <v>4</v>
      </c>
      <c r="C80" s="24">
        <v>-9.9</v>
      </c>
    </row>
    <row r="81" spans="1:3" x14ac:dyDescent="0.3">
      <c r="A81" s="26">
        <v>46007</v>
      </c>
      <c r="B81" s="27" t="s">
        <v>1</v>
      </c>
      <c r="C81" s="24">
        <v>275.86</v>
      </c>
    </row>
    <row r="82" spans="1:3" x14ac:dyDescent="0.3">
      <c r="A82" s="26">
        <v>46017</v>
      </c>
      <c r="B82" s="27" t="s">
        <v>4</v>
      </c>
      <c r="C82" s="24">
        <v>-200</v>
      </c>
    </row>
    <row r="83" spans="1:3" x14ac:dyDescent="0.3">
      <c r="A83" s="26">
        <v>46021</v>
      </c>
      <c r="B83" s="27" t="s">
        <v>4</v>
      </c>
      <c r="C83" s="24">
        <v>-75.86</v>
      </c>
    </row>
    <row r="84" spans="1:3" x14ac:dyDescent="0.3">
      <c r="A84" s="26">
        <v>46021</v>
      </c>
      <c r="B84" s="27" t="s">
        <v>7</v>
      </c>
      <c r="C84" s="24">
        <v>-1.1200000000000001</v>
      </c>
    </row>
    <row r="85" spans="1:3" x14ac:dyDescent="0.3">
      <c r="A85" s="26">
        <v>46028</v>
      </c>
      <c r="B85" s="27" t="s">
        <v>1</v>
      </c>
      <c r="C85" s="24">
        <v>295.70999999999998</v>
      </c>
    </row>
    <row r="86" spans="1:3" x14ac:dyDescent="0.3">
      <c r="A86" s="26">
        <v>46036</v>
      </c>
      <c r="B86" s="27" t="s">
        <v>4</v>
      </c>
      <c r="C86" s="24">
        <v>-92</v>
      </c>
    </row>
    <row r="87" spans="1:3" x14ac:dyDescent="0.3">
      <c r="A87" s="26">
        <v>46055</v>
      </c>
      <c r="B87" s="27" t="s">
        <v>4</v>
      </c>
      <c r="C87" s="24">
        <v>-76</v>
      </c>
    </row>
    <row r="88" spans="1:3" x14ac:dyDescent="0.3">
      <c r="A88" s="26">
        <v>46056</v>
      </c>
      <c r="B88" s="27" t="s">
        <v>1</v>
      </c>
      <c r="C88" s="24">
        <v>311.95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A9C10-3E52-4388-BE1D-1256AECF0B77}">
  <dimension ref="A1:H28"/>
  <sheetViews>
    <sheetView view="pageBreakPreview" zoomScale="80" zoomScaleNormal="100" zoomScaleSheetLayoutView="80" workbookViewId="0">
      <selection activeCell="C29" sqref="C2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493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45967</v>
      </c>
      <c r="B5" s="27" t="s">
        <v>21</v>
      </c>
      <c r="C5" s="24">
        <v>37.32</v>
      </c>
      <c r="D5" s="30"/>
      <c r="E5" s="30"/>
      <c r="F5" s="30"/>
      <c r="G5" s="22"/>
    </row>
    <row r="6" spans="1:8" hidden="1" x14ac:dyDescent="0.3">
      <c r="A6" s="21">
        <v>45967</v>
      </c>
      <c r="B6" s="32" t="s">
        <v>1</v>
      </c>
      <c r="C6" s="24">
        <v>97.5</v>
      </c>
    </row>
    <row r="7" spans="1:8" hidden="1" x14ac:dyDescent="0.3">
      <c r="A7" s="21">
        <v>45967</v>
      </c>
      <c r="B7" s="46" t="s">
        <v>1</v>
      </c>
      <c r="C7" s="24">
        <v>37.14</v>
      </c>
    </row>
    <row r="8" spans="1:8" hidden="1" x14ac:dyDescent="0.3">
      <c r="A8" s="26">
        <v>45968</v>
      </c>
      <c r="B8" s="34" t="s">
        <v>1</v>
      </c>
      <c r="C8" s="24">
        <v>339.8</v>
      </c>
    </row>
    <row r="9" spans="1:8" hidden="1" x14ac:dyDescent="0.3">
      <c r="A9" s="26">
        <v>45972</v>
      </c>
      <c r="B9" s="27" t="s">
        <v>4</v>
      </c>
      <c r="C9" s="24">
        <v>-302.91000000000003</v>
      </c>
    </row>
    <row r="10" spans="1:8" hidden="1" x14ac:dyDescent="0.3">
      <c r="A10" s="26">
        <v>45972</v>
      </c>
      <c r="B10" s="27" t="s">
        <v>4</v>
      </c>
      <c r="C10" s="24">
        <v>-108.18</v>
      </c>
    </row>
    <row r="11" spans="1:8" hidden="1" x14ac:dyDescent="0.3">
      <c r="A11" s="26">
        <v>45972</v>
      </c>
      <c r="B11" s="27" t="s">
        <v>4</v>
      </c>
      <c r="C11" s="24">
        <v>-64.91</v>
      </c>
    </row>
    <row r="12" spans="1:8" hidden="1" x14ac:dyDescent="0.3">
      <c r="A12" s="26">
        <v>45972</v>
      </c>
      <c r="B12" s="27" t="s">
        <v>4</v>
      </c>
      <c r="C12" s="24">
        <v>-38</v>
      </c>
    </row>
    <row r="13" spans="1:8" hidden="1" x14ac:dyDescent="0.3">
      <c r="A13" s="26">
        <v>45962</v>
      </c>
      <c r="B13" s="27" t="s">
        <v>1</v>
      </c>
      <c r="C13" s="24">
        <v>362.99</v>
      </c>
    </row>
    <row r="14" spans="1:8" hidden="1" x14ac:dyDescent="0.3">
      <c r="A14" s="26">
        <v>45978</v>
      </c>
      <c r="B14" s="27" t="s">
        <v>4</v>
      </c>
      <c r="C14" s="24">
        <v>-360.55</v>
      </c>
    </row>
    <row r="15" spans="1:8" hidden="1" x14ac:dyDescent="0.3">
      <c r="A15" s="26">
        <v>45982</v>
      </c>
      <c r="B15" s="27" t="s">
        <v>1</v>
      </c>
      <c r="C15" s="24">
        <v>248.88</v>
      </c>
      <c r="D15" s="25">
        <v>1</v>
      </c>
    </row>
    <row r="16" spans="1:8" hidden="1" x14ac:dyDescent="0.3">
      <c r="A16" s="26">
        <v>45986</v>
      </c>
      <c r="B16" s="27" t="s">
        <v>4</v>
      </c>
      <c r="C16" s="24">
        <v>-248.88</v>
      </c>
    </row>
    <row r="17" spans="1:4" x14ac:dyDescent="0.3">
      <c r="A17" s="26">
        <v>45988</v>
      </c>
      <c r="B17" s="27" t="s">
        <v>1</v>
      </c>
      <c r="C17" s="24">
        <v>394.6</v>
      </c>
    </row>
    <row r="18" spans="1:4" x14ac:dyDescent="0.3">
      <c r="A18" s="26">
        <v>45995</v>
      </c>
      <c r="B18" s="27" t="s">
        <v>4</v>
      </c>
      <c r="C18" s="24">
        <v>-394.59</v>
      </c>
    </row>
    <row r="19" spans="1:4" x14ac:dyDescent="0.3">
      <c r="A19" s="26">
        <v>45996</v>
      </c>
      <c r="B19" s="27" t="s">
        <v>1</v>
      </c>
      <c r="C19" s="24">
        <v>228.52</v>
      </c>
    </row>
    <row r="20" spans="1:4" x14ac:dyDescent="0.3">
      <c r="A20" s="26">
        <v>46000</v>
      </c>
      <c r="B20" s="27" t="s">
        <v>4</v>
      </c>
      <c r="C20" s="24">
        <v>-228.51</v>
      </c>
    </row>
    <row r="21" spans="1:4" x14ac:dyDescent="0.3">
      <c r="A21" s="26">
        <v>46010</v>
      </c>
      <c r="B21" s="27" t="s">
        <v>1</v>
      </c>
      <c r="C21" s="24">
        <v>365.3</v>
      </c>
      <c r="D21" s="25">
        <v>1</v>
      </c>
    </row>
    <row r="22" spans="1:4" x14ac:dyDescent="0.3">
      <c r="A22" s="26">
        <v>46017</v>
      </c>
      <c r="B22" s="27" t="s">
        <v>4</v>
      </c>
      <c r="C22" s="24">
        <v>-361.65</v>
      </c>
    </row>
    <row r="23" spans="1:4" x14ac:dyDescent="0.3">
      <c r="A23" s="26">
        <v>46017</v>
      </c>
      <c r="B23" s="27" t="s">
        <v>1</v>
      </c>
      <c r="C23" s="24">
        <v>365.02</v>
      </c>
    </row>
    <row r="24" spans="1:4" x14ac:dyDescent="0.3">
      <c r="A24" s="26">
        <v>46024</v>
      </c>
      <c r="B24" s="27" t="s">
        <v>4</v>
      </c>
      <c r="C24" s="24">
        <v>-364.94</v>
      </c>
    </row>
    <row r="25" spans="1:4" x14ac:dyDescent="0.3">
      <c r="A25" s="26">
        <v>46037</v>
      </c>
      <c r="B25" s="27" t="s">
        <v>1</v>
      </c>
      <c r="C25" s="24">
        <v>142.44</v>
      </c>
      <c r="D25" s="25">
        <v>-2</v>
      </c>
    </row>
    <row r="26" spans="1:4" x14ac:dyDescent="0.3">
      <c r="A26" s="26">
        <v>46042</v>
      </c>
      <c r="B26" s="27" t="s">
        <v>4</v>
      </c>
      <c r="C26" s="24">
        <v>-146.38999999999999</v>
      </c>
    </row>
    <row r="27" spans="1:4" x14ac:dyDescent="0.3">
      <c r="A27" s="26">
        <v>46044</v>
      </c>
      <c r="B27" s="27" t="s">
        <v>1</v>
      </c>
      <c r="C27" s="24">
        <v>497.14</v>
      </c>
    </row>
    <row r="28" spans="1:4" x14ac:dyDescent="0.3">
      <c r="A28" s="26">
        <v>46050</v>
      </c>
      <c r="B28" s="27" t="s">
        <v>4</v>
      </c>
      <c r="C28" s="24">
        <v>-497.14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8AC89-F74C-4615-82F7-75A787464A2C}">
  <sheetPr codeName="Hoja83"/>
  <dimension ref="A1:H12"/>
  <sheetViews>
    <sheetView view="pageBreakPreview" zoomScale="80" zoomScaleNormal="100" zoomScaleSheetLayoutView="8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135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136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1.999999999998181E-2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45818</v>
      </c>
      <c r="B5" s="32" t="s">
        <v>21</v>
      </c>
      <c r="C5" s="24">
        <v>63.4</v>
      </c>
      <c r="D5" s="30"/>
      <c r="E5" s="30"/>
      <c r="F5" s="30"/>
      <c r="G5" s="22"/>
    </row>
    <row r="6" spans="1:8" x14ac:dyDescent="0.3">
      <c r="A6" s="21">
        <v>45818</v>
      </c>
      <c r="B6" s="34" t="s">
        <v>21</v>
      </c>
      <c r="C6" s="24">
        <v>139.53</v>
      </c>
    </row>
    <row r="7" spans="1:8" x14ac:dyDescent="0.3">
      <c r="A7" s="21">
        <v>45818</v>
      </c>
      <c r="B7" s="46" t="s">
        <v>21</v>
      </c>
      <c r="C7" s="24">
        <v>29.45</v>
      </c>
    </row>
    <row r="8" spans="1:8" x14ac:dyDescent="0.3">
      <c r="A8" s="26">
        <v>45834</v>
      </c>
      <c r="B8" s="27" t="s">
        <v>4</v>
      </c>
      <c r="C8" s="24">
        <v>-232.37</v>
      </c>
    </row>
    <row r="9" spans="1:8" x14ac:dyDescent="0.3">
      <c r="A9" s="26">
        <v>45853</v>
      </c>
      <c r="B9" s="27" t="s">
        <v>1</v>
      </c>
      <c r="C9" s="24">
        <v>37.5</v>
      </c>
    </row>
    <row r="10" spans="1:8" x14ac:dyDescent="0.3">
      <c r="A10" s="26">
        <v>45853</v>
      </c>
      <c r="B10" s="34" t="s">
        <v>21</v>
      </c>
      <c r="C10" s="24">
        <v>66.400000000000006</v>
      </c>
    </row>
    <row r="11" spans="1:8" x14ac:dyDescent="0.3">
      <c r="A11" s="26">
        <v>45853</v>
      </c>
      <c r="B11" s="46" t="s">
        <v>21</v>
      </c>
      <c r="C11" s="24">
        <v>39.69</v>
      </c>
    </row>
    <row r="12" spans="1:8" x14ac:dyDescent="0.3">
      <c r="A12" s="26">
        <v>45870</v>
      </c>
      <c r="B12" s="31" t="s">
        <v>4</v>
      </c>
      <c r="C12" s="24">
        <v>-143.58000000000001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3074-0B79-420D-A1A6-F3DDBAD77C0C}">
  <sheetPr codeName="Hoja84"/>
  <dimension ref="A1:H28"/>
  <sheetViews>
    <sheetView view="pageBreakPreview" zoomScale="80" zoomScaleNormal="100" zoomScaleSheetLayoutView="80" workbookViewId="0">
      <selection activeCell="A26" sqref="A5:XFD2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133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134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-3.9999999999996483E-2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45818</v>
      </c>
      <c r="B5" s="32" t="s">
        <v>21</v>
      </c>
      <c r="C5" s="24">
        <v>15.88</v>
      </c>
      <c r="D5" s="30"/>
      <c r="E5" s="30"/>
      <c r="F5" s="30"/>
      <c r="G5" s="22"/>
    </row>
    <row r="6" spans="1:8" hidden="1" x14ac:dyDescent="0.3">
      <c r="A6" s="21">
        <v>45818</v>
      </c>
      <c r="B6" s="34" t="s">
        <v>21</v>
      </c>
      <c r="C6" s="24">
        <v>43.55</v>
      </c>
    </row>
    <row r="7" spans="1:8" hidden="1" x14ac:dyDescent="0.3">
      <c r="A7" s="21">
        <v>45818</v>
      </c>
      <c r="B7" s="46" t="s">
        <v>21</v>
      </c>
      <c r="C7" s="24">
        <v>9.15</v>
      </c>
    </row>
    <row r="8" spans="1:8" hidden="1" x14ac:dyDescent="0.3">
      <c r="A8" s="26">
        <v>45825</v>
      </c>
      <c r="B8" s="27" t="s">
        <v>4</v>
      </c>
      <c r="C8" s="24">
        <v>-68.58</v>
      </c>
    </row>
    <row r="9" spans="1:8" hidden="1" x14ac:dyDescent="0.3">
      <c r="A9" s="26">
        <v>45825</v>
      </c>
      <c r="B9" s="34" t="s">
        <v>21</v>
      </c>
      <c r="C9" s="24">
        <v>25.47</v>
      </c>
    </row>
    <row r="10" spans="1:8" hidden="1" x14ac:dyDescent="0.3">
      <c r="A10" s="26">
        <v>45825</v>
      </c>
      <c r="B10" s="46" t="s">
        <v>21</v>
      </c>
      <c r="C10" s="24">
        <v>12.17</v>
      </c>
    </row>
    <row r="11" spans="1:8" hidden="1" x14ac:dyDescent="0.3">
      <c r="A11" s="26">
        <v>45831</v>
      </c>
      <c r="B11" s="27" t="s">
        <v>4</v>
      </c>
      <c r="C11" s="24">
        <v>-37.65</v>
      </c>
    </row>
    <row r="12" spans="1:8" hidden="1" x14ac:dyDescent="0.3">
      <c r="A12" s="26">
        <v>45846</v>
      </c>
      <c r="B12" s="34" t="s">
        <v>21</v>
      </c>
      <c r="C12" s="24">
        <v>9.23</v>
      </c>
    </row>
    <row r="13" spans="1:8" hidden="1" x14ac:dyDescent="0.3">
      <c r="A13" s="26">
        <v>45853</v>
      </c>
      <c r="B13" s="34" t="s">
        <v>21</v>
      </c>
      <c r="C13" s="24">
        <v>13.07</v>
      </c>
    </row>
    <row r="14" spans="1:8" hidden="1" x14ac:dyDescent="0.3">
      <c r="A14" s="26">
        <v>45860</v>
      </c>
      <c r="B14" s="27" t="s">
        <v>4</v>
      </c>
      <c r="C14" s="24">
        <v>-13.07</v>
      </c>
    </row>
    <row r="15" spans="1:8" hidden="1" x14ac:dyDescent="0.3">
      <c r="A15" s="26">
        <v>45874</v>
      </c>
      <c r="B15" s="27" t="s">
        <v>4</v>
      </c>
      <c r="C15" s="24">
        <v>-9.24</v>
      </c>
    </row>
    <row r="16" spans="1:8" hidden="1" x14ac:dyDescent="0.3">
      <c r="A16" s="26">
        <v>45874</v>
      </c>
      <c r="B16" s="34" t="s">
        <v>21</v>
      </c>
      <c r="C16" s="24">
        <v>7.84</v>
      </c>
    </row>
    <row r="17" spans="1:3" hidden="1" x14ac:dyDescent="0.3">
      <c r="A17" s="26">
        <v>45882</v>
      </c>
      <c r="B17" s="27" t="s">
        <v>4</v>
      </c>
      <c r="C17" s="24">
        <v>-7.84</v>
      </c>
    </row>
    <row r="18" spans="1:3" hidden="1" x14ac:dyDescent="0.3">
      <c r="A18" s="26">
        <v>45882</v>
      </c>
      <c r="B18" s="32" t="s">
        <v>21</v>
      </c>
      <c r="C18" s="24">
        <v>35.049999999999997</v>
      </c>
    </row>
    <row r="19" spans="1:3" hidden="1" x14ac:dyDescent="0.3">
      <c r="A19" s="26">
        <v>45882</v>
      </c>
      <c r="B19" s="34" t="s">
        <v>21</v>
      </c>
      <c r="C19" s="24">
        <v>3.21</v>
      </c>
    </row>
    <row r="20" spans="1:3" hidden="1" x14ac:dyDescent="0.3">
      <c r="A20" s="26">
        <v>45883</v>
      </c>
      <c r="B20" s="27" t="s">
        <v>4</v>
      </c>
      <c r="C20" s="24">
        <v>-38.26</v>
      </c>
    </row>
    <row r="21" spans="1:3" hidden="1" x14ac:dyDescent="0.3">
      <c r="A21" s="26">
        <v>45903</v>
      </c>
      <c r="B21" s="34" t="s">
        <v>21</v>
      </c>
      <c r="C21" s="24">
        <v>8.9600000000000009</v>
      </c>
    </row>
    <row r="22" spans="1:3" hidden="1" x14ac:dyDescent="0.3">
      <c r="A22" s="26">
        <v>45910</v>
      </c>
      <c r="B22" s="27" t="s">
        <v>4</v>
      </c>
      <c r="C22" s="24">
        <v>-8.9700000000000006</v>
      </c>
    </row>
    <row r="23" spans="1:3" hidden="1" x14ac:dyDescent="0.3">
      <c r="A23" s="26">
        <v>45910</v>
      </c>
      <c r="B23" s="34" t="s">
        <v>21</v>
      </c>
      <c r="C23" s="24">
        <v>3.21</v>
      </c>
    </row>
    <row r="24" spans="1:3" hidden="1" x14ac:dyDescent="0.3">
      <c r="A24" s="26">
        <v>45917</v>
      </c>
      <c r="B24" s="34" t="s">
        <v>21</v>
      </c>
      <c r="C24" s="24">
        <v>7.29</v>
      </c>
    </row>
    <row r="25" spans="1:3" hidden="1" x14ac:dyDescent="0.3">
      <c r="A25" s="26">
        <v>45918</v>
      </c>
      <c r="B25" s="27" t="s">
        <v>7</v>
      </c>
      <c r="C25" s="24">
        <v>-3.22</v>
      </c>
    </row>
    <row r="26" spans="1:3" hidden="1" x14ac:dyDescent="0.3">
      <c r="A26" s="26">
        <v>45923</v>
      </c>
      <c r="B26" s="27" t="s">
        <v>4</v>
      </c>
      <c r="C26" s="24">
        <v>-7.29</v>
      </c>
    </row>
    <row r="27" spans="1:3" x14ac:dyDescent="0.3">
      <c r="A27" s="26">
        <v>45959</v>
      </c>
      <c r="B27" s="27" t="s">
        <v>4</v>
      </c>
      <c r="C27" s="24">
        <v>-7.81</v>
      </c>
    </row>
    <row r="28" spans="1:3" x14ac:dyDescent="0.3">
      <c r="A28" s="26">
        <v>45959</v>
      </c>
      <c r="B28" s="34" t="s">
        <v>21</v>
      </c>
      <c r="C28" s="24">
        <v>7.81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6D913-0F7A-4F06-9185-45014B0AE86A}">
  <sheetPr codeName="Hoja85"/>
  <dimension ref="A1:I122"/>
  <sheetViews>
    <sheetView view="pageBreakPreview" zoomScale="80" zoomScaleNormal="100" zoomScaleSheetLayoutView="80" workbookViewId="0">
      <selection activeCell="C123" sqref="C12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85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768.60000000000036</v>
      </c>
      <c r="D3" s="20">
        <f>SUM(D$4:D$1048576)</f>
        <v>2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45814</v>
      </c>
      <c r="B5" s="32" t="s">
        <v>21</v>
      </c>
      <c r="C5" s="24">
        <v>10</v>
      </c>
      <c r="D5" s="30"/>
      <c r="E5" s="30"/>
      <c r="F5" s="30"/>
      <c r="G5" s="22"/>
    </row>
    <row r="6" spans="1:9" hidden="1" x14ac:dyDescent="0.3">
      <c r="A6" s="21">
        <v>45814</v>
      </c>
      <c r="B6" s="34" t="s">
        <v>21</v>
      </c>
      <c r="C6" s="24">
        <v>156.54</v>
      </c>
    </row>
    <row r="7" spans="1:9" hidden="1" x14ac:dyDescent="0.3">
      <c r="A7" s="21">
        <v>45814</v>
      </c>
      <c r="B7" s="46" t="s">
        <v>21</v>
      </c>
      <c r="C7" s="24">
        <v>12.84</v>
      </c>
    </row>
    <row r="8" spans="1:9" hidden="1" x14ac:dyDescent="0.3">
      <c r="A8" s="26">
        <v>45820</v>
      </c>
      <c r="B8" s="27" t="s">
        <v>4</v>
      </c>
      <c r="C8" s="24">
        <v>-180.71</v>
      </c>
    </row>
    <row r="9" spans="1:9" hidden="1" x14ac:dyDescent="0.3">
      <c r="A9" s="26">
        <v>45820</v>
      </c>
      <c r="B9" s="34" t="s">
        <v>21</v>
      </c>
      <c r="C9" s="24">
        <v>121.29</v>
      </c>
      <c r="I9" s="25"/>
    </row>
    <row r="10" spans="1:9" hidden="1" x14ac:dyDescent="0.3">
      <c r="A10" s="26">
        <v>45826</v>
      </c>
      <c r="B10" s="31" t="s">
        <v>4</v>
      </c>
      <c r="C10" s="24">
        <v>-121.29</v>
      </c>
    </row>
    <row r="11" spans="1:9" hidden="1" x14ac:dyDescent="0.3">
      <c r="A11" s="26">
        <v>45826</v>
      </c>
      <c r="B11" s="32" t="s">
        <v>21</v>
      </c>
      <c r="C11" s="24">
        <v>68.900000000000006</v>
      </c>
    </row>
    <row r="12" spans="1:9" hidden="1" x14ac:dyDescent="0.3">
      <c r="A12" s="26">
        <v>45826</v>
      </c>
      <c r="B12" s="34" t="s">
        <v>21</v>
      </c>
      <c r="C12" s="24">
        <v>112.93</v>
      </c>
    </row>
    <row r="13" spans="1:9" hidden="1" x14ac:dyDescent="0.3">
      <c r="A13" s="26">
        <v>45833</v>
      </c>
      <c r="B13" s="27" t="s">
        <v>4</v>
      </c>
      <c r="C13" s="24">
        <v>-181.83</v>
      </c>
    </row>
    <row r="14" spans="1:9" hidden="1" x14ac:dyDescent="0.3">
      <c r="A14" s="26">
        <v>45833</v>
      </c>
      <c r="B14" s="32" t="s">
        <v>21</v>
      </c>
      <c r="C14" s="24">
        <v>7.5</v>
      </c>
    </row>
    <row r="15" spans="1:9" hidden="1" x14ac:dyDescent="0.3">
      <c r="A15" s="26">
        <v>45833</v>
      </c>
      <c r="B15" s="34" t="s">
        <v>21</v>
      </c>
      <c r="C15" s="24">
        <v>60.78</v>
      </c>
    </row>
    <row r="16" spans="1:9" hidden="1" x14ac:dyDescent="0.3">
      <c r="A16" s="26">
        <v>45833</v>
      </c>
      <c r="B16" s="46" t="s">
        <v>21</v>
      </c>
      <c r="C16" s="24">
        <v>64.8</v>
      </c>
    </row>
    <row r="17" spans="1:3" hidden="1" x14ac:dyDescent="0.3">
      <c r="A17" s="26">
        <v>45840</v>
      </c>
      <c r="B17" s="27" t="s">
        <v>4</v>
      </c>
      <c r="C17" s="24">
        <v>-133.08000000000001</v>
      </c>
    </row>
    <row r="18" spans="1:3" hidden="1" x14ac:dyDescent="0.3">
      <c r="A18" s="26">
        <v>45840</v>
      </c>
      <c r="B18" s="34" t="s">
        <v>21</v>
      </c>
      <c r="C18" s="24">
        <v>30.51</v>
      </c>
    </row>
    <row r="19" spans="1:3" hidden="1" x14ac:dyDescent="0.3">
      <c r="A19" s="26">
        <v>45840</v>
      </c>
      <c r="B19" s="46" t="s">
        <v>21</v>
      </c>
      <c r="C19" s="24">
        <v>12.84</v>
      </c>
    </row>
    <row r="20" spans="1:3" hidden="1" x14ac:dyDescent="0.3">
      <c r="A20" s="26">
        <v>45853</v>
      </c>
      <c r="B20" s="27" t="s">
        <v>4</v>
      </c>
      <c r="C20" s="24">
        <v>-42.68</v>
      </c>
    </row>
    <row r="21" spans="1:3" hidden="1" x14ac:dyDescent="0.3">
      <c r="A21" s="26">
        <v>45861</v>
      </c>
      <c r="B21" s="32" t="s">
        <v>21</v>
      </c>
      <c r="C21" s="24">
        <v>47.24</v>
      </c>
    </row>
    <row r="22" spans="1:3" hidden="1" x14ac:dyDescent="0.3">
      <c r="A22" s="26">
        <v>45861</v>
      </c>
      <c r="B22" s="34" t="s">
        <v>21</v>
      </c>
      <c r="C22" s="24">
        <v>88.62</v>
      </c>
    </row>
    <row r="23" spans="1:3" hidden="1" x14ac:dyDescent="0.3">
      <c r="A23" s="26">
        <v>45861</v>
      </c>
      <c r="B23" s="46" t="s">
        <v>21</v>
      </c>
      <c r="C23" s="24">
        <v>13.6</v>
      </c>
    </row>
    <row r="24" spans="1:3" hidden="1" x14ac:dyDescent="0.3">
      <c r="A24" s="26">
        <v>45868</v>
      </c>
      <c r="B24" s="32" t="s">
        <v>21</v>
      </c>
      <c r="C24" s="24">
        <v>30.29</v>
      </c>
    </row>
    <row r="25" spans="1:3" hidden="1" x14ac:dyDescent="0.3">
      <c r="A25" s="26">
        <v>45868</v>
      </c>
      <c r="B25" s="32" t="s">
        <v>21</v>
      </c>
      <c r="C25" s="24">
        <v>18</v>
      </c>
    </row>
    <row r="26" spans="1:3" hidden="1" x14ac:dyDescent="0.3">
      <c r="A26" s="26">
        <v>45868</v>
      </c>
      <c r="B26" s="34" t="s">
        <v>21</v>
      </c>
      <c r="C26" s="24">
        <v>35.64</v>
      </c>
    </row>
    <row r="27" spans="1:3" hidden="1" x14ac:dyDescent="0.3">
      <c r="A27" s="26">
        <v>45868</v>
      </c>
      <c r="B27" s="46" t="s">
        <v>21</v>
      </c>
      <c r="C27" s="24">
        <v>14.23</v>
      </c>
    </row>
    <row r="28" spans="1:3" hidden="1" x14ac:dyDescent="0.3">
      <c r="A28" s="26">
        <v>45870</v>
      </c>
      <c r="B28" s="27" t="s">
        <v>4</v>
      </c>
      <c r="C28" s="24">
        <v>-149.51</v>
      </c>
    </row>
    <row r="29" spans="1:3" hidden="1" x14ac:dyDescent="0.3">
      <c r="A29" s="26">
        <v>45875</v>
      </c>
      <c r="B29" s="27" t="s">
        <v>4</v>
      </c>
      <c r="C29" s="24">
        <v>-98.16</v>
      </c>
    </row>
    <row r="30" spans="1:3" hidden="1" x14ac:dyDescent="0.3">
      <c r="A30" s="26">
        <v>45875</v>
      </c>
      <c r="B30" s="32" t="s">
        <v>21</v>
      </c>
      <c r="C30" s="24">
        <v>24.8</v>
      </c>
    </row>
    <row r="31" spans="1:3" hidden="1" x14ac:dyDescent="0.3">
      <c r="A31" s="26">
        <v>45875</v>
      </c>
      <c r="B31" s="34" t="s">
        <v>21</v>
      </c>
      <c r="C31" s="24">
        <v>138.58000000000001</v>
      </c>
    </row>
    <row r="32" spans="1:3" hidden="1" x14ac:dyDescent="0.3">
      <c r="A32" s="26">
        <v>45875</v>
      </c>
      <c r="B32" s="46" t="s">
        <v>21</v>
      </c>
      <c r="C32" s="24">
        <v>5.44</v>
      </c>
    </row>
    <row r="33" spans="1:3" hidden="1" x14ac:dyDescent="0.3">
      <c r="A33" s="26">
        <v>45883</v>
      </c>
      <c r="B33" s="27" t="s">
        <v>4</v>
      </c>
      <c r="C33" s="24">
        <v>-167.61</v>
      </c>
    </row>
    <row r="34" spans="1:3" hidden="1" x14ac:dyDescent="0.3">
      <c r="A34" s="26">
        <v>45882</v>
      </c>
      <c r="B34" s="32" t="s">
        <v>21</v>
      </c>
      <c r="C34" s="24">
        <v>17.8</v>
      </c>
    </row>
    <row r="35" spans="1:3" hidden="1" x14ac:dyDescent="0.3">
      <c r="A35" s="26">
        <v>45882</v>
      </c>
      <c r="B35" s="34" t="s">
        <v>21</v>
      </c>
      <c r="C35" s="24">
        <v>134.74</v>
      </c>
    </row>
    <row r="36" spans="1:3" hidden="1" x14ac:dyDescent="0.3">
      <c r="A36" s="26">
        <v>45882</v>
      </c>
      <c r="B36" s="46" t="s">
        <v>21</v>
      </c>
      <c r="C36" s="24">
        <v>11.28</v>
      </c>
    </row>
    <row r="37" spans="1:3" hidden="1" x14ac:dyDescent="0.3">
      <c r="A37" s="26">
        <v>45889</v>
      </c>
      <c r="B37" s="32" t="s">
        <v>21</v>
      </c>
      <c r="C37" s="24">
        <v>67.3</v>
      </c>
    </row>
    <row r="38" spans="1:3" hidden="1" x14ac:dyDescent="0.3">
      <c r="A38" s="26">
        <v>45889</v>
      </c>
      <c r="B38" s="34" t="s">
        <v>21</v>
      </c>
      <c r="C38" s="24">
        <v>130.51</v>
      </c>
    </row>
    <row r="39" spans="1:3" hidden="1" x14ac:dyDescent="0.3">
      <c r="A39" s="26">
        <v>45889</v>
      </c>
      <c r="B39" s="46" t="s">
        <v>21</v>
      </c>
      <c r="C39" s="24">
        <v>40.479999999999997</v>
      </c>
    </row>
    <row r="40" spans="1:3" hidden="1" x14ac:dyDescent="0.3">
      <c r="A40" s="26">
        <v>45891</v>
      </c>
      <c r="B40" s="27" t="s">
        <v>4</v>
      </c>
      <c r="C40" s="24">
        <v>-150.72</v>
      </c>
    </row>
    <row r="41" spans="1:3" hidden="1" x14ac:dyDescent="0.3">
      <c r="A41" s="26">
        <v>45893</v>
      </c>
      <c r="B41" s="27" t="s">
        <v>4</v>
      </c>
      <c r="C41" s="24">
        <v>-12.99</v>
      </c>
    </row>
    <row r="42" spans="1:3" hidden="1" x14ac:dyDescent="0.3">
      <c r="A42" s="26">
        <v>45891</v>
      </c>
      <c r="B42" s="34" t="s">
        <v>21</v>
      </c>
      <c r="C42" s="24">
        <v>69</v>
      </c>
    </row>
    <row r="43" spans="1:3" hidden="1" x14ac:dyDescent="0.3">
      <c r="A43" s="26">
        <v>45902</v>
      </c>
      <c r="B43" s="27" t="s">
        <v>4</v>
      </c>
      <c r="C43" s="24">
        <v>-190</v>
      </c>
    </row>
    <row r="44" spans="1:3" hidden="1" x14ac:dyDescent="0.3">
      <c r="A44" s="26">
        <v>45903</v>
      </c>
      <c r="B44" s="27" t="s">
        <v>4</v>
      </c>
      <c r="C44" s="24">
        <v>-117.29</v>
      </c>
    </row>
    <row r="45" spans="1:3" hidden="1" x14ac:dyDescent="0.3">
      <c r="A45" s="26">
        <v>45903</v>
      </c>
      <c r="B45" s="32" t="s">
        <v>21</v>
      </c>
      <c r="C45" s="24">
        <v>25.3</v>
      </c>
    </row>
    <row r="46" spans="1:3" hidden="1" x14ac:dyDescent="0.3">
      <c r="A46" s="26">
        <v>45903</v>
      </c>
      <c r="B46" s="34" t="s">
        <v>21</v>
      </c>
      <c r="C46" s="24">
        <v>69.45</v>
      </c>
    </row>
    <row r="47" spans="1:3" hidden="1" x14ac:dyDescent="0.3">
      <c r="A47" s="26">
        <v>45910</v>
      </c>
      <c r="B47" s="32" t="s">
        <v>21</v>
      </c>
      <c r="C47" s="24">
        <v>22.5</v>
      </c>
    </row>
    <row r="48" spans="1:3" hidden="1" x14ac:dyDescent="0.3">
      <c r="A48" s="26">
        <v>45910</v>
      </c>
      <c r="B48" s="34" t="s">
        <v>21</v>
      </c>
      <c r="C48" s="24">
        <v>27.62</v>
      </c>
    </row>
    <row r="49" spans="1:3" hidden="1" x14ac:dyDescent="0.3">
      <c r="A49" s="26">
        <v>45910</v>
      </c>
      <c r="B49" s="46" t="s">
        <v>21</v>
      </c>
      <c r="C49" s="24">
        <v>11.68</v>
      </c>
    </row>
    <row r="50" spans="1:3" hidden="1" x14ac:dyDescent="0.3">
      <c r="A50" s="26">
        <v>45912</v>
      </c>
      <c r="B50" s="27" t="s">
        <v>4</v>
      </c>
      <c r="C50" s="24">
        <v>-65.75</v>
      </c>
    </row>
    <row r="51" spans="1:3" hidden="1" x14ac:dyDescent="0.3">
      <c r="A51" s="26">
        <v>45915</v>
      </c>
      <c r="B51" s="27" t="s">
        <v>4</v>
      </c>
      <c r="C51" s="24">
        <v>-28.73</v>
      </c>
    </row>
    <row r="52" spans="1:3" hidden="1" x14ac:dyDescent="0.3">
      <c r="A52" s="26">
        <v>45917</v>
      </c>
      <c r="B52" s="32" t="s">
        <v>21</v>
      </c>
      <c r="C52" s="24">
        <v>35.6</v>
      </c>
    </row>
    <row r="53" spans="1:3" hidden="1" x14ac:dyDescent="0.3">
      <c r="A53" s="26">
        <v>45917</v>
      </c>
      <c r="B53" s="34" t="s">
        <v>21</v>
      </c>
      <c r="C53" s="24">
        <v>92.05</v>
      </c>
    </row>
    <row r="54" spans="1:3" hidden="1" x14ac:dyDescent="0.3">
      <c r="A54" s="26">
        <v>45917</v>
      </c>
      <c r="B54" s="46" t="s">
        <v>21</v>
      </c>
      <c r="C54" s="24">
        <v>20.76</v>
      </c>
    </row>
    <row r="55" spans="1:3" hidden="1" x14ac:dyDescent="0.3">
      <c r="A55" s="26">
        <v>45918</v>
      </c>
      <c r="B55" s="27" t="s">
        <v>4</v>
      </c>
      <c r="C55" s="24">
        <v>-61.8</v>
      </c>
    </row>
    <row r="56" spans="1:3" hidden="1" x14ac:dyDescent="0.3">
      <c r="A56" s="26">
        <v>45924</v>
      </c>
      <c r="B56" s="27" t="s">
        <v>4</v>
      </c>
      <c r="C56" s="24">
        <v>-88.84</v>
      </c>
    </row>
    <row r="57" spans="1:3" hidden="1" x14ac:dyDescent="0.3">
      <c r="A57" s="26">
        <v>45924</v>
      </c>
      <c r="B57" s="32" t="s">
        <v>21</v>
      </c>
      <c r="C57" s="24">
        <v>25.3</v>
      </c>
    </row>
    <row r="58" spans="1:3" hidden="1" x14ac:dyDescent="0.3">
      <c r="A58" s="26">
        <v>45924</v>
      </c>
      <c r="B58" s="34" t="s">
        <v>21</v>
      </c>
      <c r="C58" s="24">
        <v>303.31</v>
      </c>
    </row>
    <row r="59" spans="1:3" hidden="1" x14ac:dyDescent="0.3">
      <c r="A59" s="26">
        <v>45925</v>
      </c>
      <c r="B59" s="27" t="s">
        <v>4</v>
      </c>
      <c r="C59" s="24">
        <v>-45</v>
      </c>
    </row>
    <row r="60" spans="1:3" hidden="1" x14ac:dyDescent="0.3">
      <c r="A60" s="26">
        <v>45926</v>
      </c>
      <c r="B60" s="27" t="s">
        <v>4</v>
      </c>
      <c r="C60" s="24">
        <v>-15</v>
      </c>
    </row>
    <row r="61" spans="1:3" hidden="1" x14ac:dyDescent="0.3">
      <c r="A61" s="26">
        <v>45931</v>
      </c>
      <c r="B61" s="27" t="s">
        <v>4</v>
      </c>
      <c r="C61" s="24">
        <v>-210</v>
      </c>
    </row>
    <row r="62" spans="1:3" hidden="1" x14ac:dyDescent="0.3">
      <c r="A62" s="26">
        <v>45931</v>
      </c>
      <c r="B62" s="32" t="s">
        <v>21</v>
      </c>
      <c r="C62" s="24">
        <v>32.799999999999997</v>
      </c>
    </row>
    <row r="63" spans="1:3" hidden="1" x14ac:dyDescent="0.3">
      <c r="A63" s="26">
        <v>45931</v>
      </c>
      <c r="B63" s="34" t="s">
        <v>21</v>
      </c>
      <c r="C63" s="24">
        <v>106.27</v>
      </c>
    </row>
    <row r="64" spans="1:3" hidden="1" x14ac:dyDescent="0.3">
      <c r="A64" s="26">
        <v>45931</v>
      </c>
      <c r="B64" s="46" t="s">
        <v>21</v>
      </c>
      <c r="C64" s="24">
        <v>11.68</v>
      </c>
    </row>
    <row r="65" spans="1:3" hidden="1" x14ac:dyDescent="0.3">
      <c r="A65" s="26">
        <v>45931</v>
      </c>
      <c r="B65" s="27" t="s">
        <v>4</v>
      </c>
      <c r="C65" s="24">
        <v>-100</v>
      </c>
    </row>
    <row r="66" spans="1:3" hidden="1" x14ac:dyDescent="0.3">
      <c r="A66" s="26">
        <v>45933</v>
      </c>
      <c r="B66" s="27" t="s">
        <v>4</v>
      </c>
      <c r="C66" s="24">
        <v>-18</v>
      </c>
    </row>
    <row r="67" spans="1:3" hidden="1" x14ac:dyDescent="0.3">
      <c r="A67" s="26">
        <v>45938</v>
      </c>
      <c r="B67" s="27" t="s">
        <v>4</v>
      </c>
      <c r="C67" s="24">
        <v>-110</v>
      </c>
    </row>
    <row r="68" spans="1:3" hidden="1" x14ac:dyDescent="0.3">
      <c r="A68" s="26">
        <v>45938</v>
      </c>
      <c r="B68" s="32" t="s">
        <v>21</v>
      </c>
      <c r="C68" s="24">
        <v>50.28</v>
      </c>
    </row>
    <row r="69" spans="1:3" hidden="1" x14ac:dyDescent="0.3">
      <c r="A69" s="26">
        <v>45938</v>
      </c>
      <c r="B69" s="34" t="s">
        <v>21</v>
      </c>
      <c r="C69" s="24">
        <v>244.62</v>
      </c>
    </row>
    <row r="70" spans="1:3" hidden="1" x14ac:dyDescent="0.3">
      <c r="A70" s="26">
        <v>45939</v>
      </c>
      <c r="B70" s="27" t="s">
        <v>4</v>
      </c>
      <c r="C70" s="24">
        <v>-40.75</v>
      </c>
    </row>
    <row r="71" spans="1:3" hidden="1" x14ac:dyDescent="0.3">
      <c r="A71" s="26">
        <v>45945</v>
      </c>
      <c r="B71" s="27" t="s">
        <v>4</v>
      </c>
      <c r="C71" s="24">
        <v>-295.95999999999998</v>
      </c>
    </row>
    <row r="72" spans="1:3" hidden="1" x14ac:dyDescent="0.3">
      <c r="A72" s="26">
        <v>45945</v>
      </c>
      <c r="B72" s="32" t="s">
        <v>21</v>
      </c>
      <c r="C72" s="24">
        <v>56.88</v>
      </c>
    </row>
    <row r="73" spans="1:3" hidden="1" x14ac:dyDescent="0.3">
      <c r="A73" s="26">
        <v>45945</v>
      </c>
      <c r="B73" s="34" t="s">
        <v>21</v>
      </c>
      <c r="C73" s="24">
        <v>319.12</v>
      </c>
    </row>
    <row r="74" spans="1:3" hidden="1" x14ac:dyDescent="0.3">
      <c r="A74" s="26">
        <v>45950</v>
      </c>
      <c r="B74" s="27" t="s">
        <v>4</v>
      </c>
      <c r="C74" s="24">
        <v>-150</v>
      </c>
    </row>
    <row r="75" spans="1:3" hidden="1" x14ac:dyDescent="0.3">
      <c r="A75" s="26">
        <v>45951</v>
      </c>
      <c r="B75" s="27" t="s">
        <v>4</v>
      </c>
      <c r="C75" s="24">
        <v>-200</v>
      </c>
    </row>
    <row r="76" spans="1:3" hidden="1" x14ac:dyDescent="0.3">
      <c r="A76" s="26">
        <v>45952</v>
      </c>
      <c r="B76" s="27" t="s">
        <v>4</v>
      </c>
      <c r="C76" s="24">
        <v>-26</v>
      </c>
    </row>
    <row r="77" spans="1:3" hidden="1" x14ac:dyDescent="0.3">
      <c r="A77" s="26">
        <v>45952</v>
      </c>
      <c r="B77" s="32" t="s">
        <v>21</v>
      </c>
      <c r="C77" s="24">
        <v>41.54</v>
      </c>
    </row>
    <row r="78" spans="1:3" hidden="1" x14ac:dyDescent="0.3">
      <c r="A78" s="26">
        <v>45952</v>
      </c>
      <c r="B78" s="34" t="s">
        <v>21</v>
      </c>
      <c r="C78" s="24">
        <v>190.16</v>
      </c>
    </row>
    <row r="79" spans="1:3" hidden="1" x14ac:dyDescent="0.3">
      <c r="A79" s="26">
        <v>45952</v>
      </c>
      <c r="B79" s="46" t="s">
        <v>21</v>
      </c>
      <c r="C79" s="24">
        <v>111.37</v>
      </c>
    </row>
    <row r="80" spans="1:3" hidden="1" x14ac:dyDescent="0.3">
      <c r="A80" s="26">
        <v>45957</v>
      </c>
      <c r="B80" s="27" t="s">
        <v>4</v>
      </c>
      <c r="C80" s="24">
        <v>-343.07</v>
      </c>
    </row>
    <row r="81" spans="1:3" x14ac:dyDescent="0.3">
      <c r="A81" s="26">
        <v>45959</v>
      </c>
      <c r="B81" s="32" t="s">
        <v>21</v>
      </c>
      <c r="C81" s="24">
        <v>74.34</v>
      </c>
    </row>
    <row r="82" spans="1:3" x14ac:dyDescent="0.3">
      <c r="A82" s="26">
        <v>45959</v>
      </c>
      <c r="B82" s="34" t="s">
        <v>21</v>
      </c>
      <c r="C82" s="24">
        <v>402.11</v>
      </c>
    </row>
    <row r="83" spans="1:3" x14ac:dyDescent="0.3">
      <c r="A83" s="26">
        <v>45959</v>
      </c>
      <c r="B83" s="46" t="s">
        <v>21</v>
      </c>
      <c r="C83" s="24">
        <v>48.46</v>
      </c>
    </row>
    <row r="84" spans="1:3" x14ac:dyDescent="0.3">
      <c r="A84" s="26">
        <v>45966</v>
      </c>
      <c r="B84" s="27" t="s">
        <v>4</v>
      </c>
      <c r="C84" s="24">
        <v>-205.39</v>
      </c>
    </row>
    <row r="85" spans="1:3" x14ac:dyDescent="0.3">
      <c r="A85" s="26">
        <v>45966</v>
      </c>
      <c r="B85" s="32" t="s">
        <v>21</v>
      </c>
      <c r="C85" s="24">
        <v>67.23</v>
      </c>
    </row>
    <row r="86" spans="1:3" x14ac:dyDescent="0.3">
      <c r="A86" s="26">
        <v>45966</v>
      </c>
      <c r="B86" s="34" t="s">
        <v>21</v>
      </c>
      <c r="C86" s="24">
        <v>372.75</v>
      </c>
    </row>
    <row r="87" spans="1:3" x14ac:dyDescent="0.3">
      <c r="A87" s="26">
        <v>45966</v>
      </c>
      <c r="B87" s="46" t="s">
        <v>21</v>
      </c>
      <c r="C87" s="24">
        <v>30.94</v>
      </c>
    </row>
    <row r="88" spans="1:3" x14ac:dyDescent="0.3">
      <c r="A88" s="26">
        <v>45968</v>
      </c>
      <c r="B88" s="27" t="s">
        <v>4</v>
      </c>
      <c r="C88" s="24">
        <v>-120.52</v>
      </c>
    </row>
    <row r="89" spans="1:3" x14ac:dyDescent="0.3">
      <c r="A89" s="26">
        <v>45973</v>
      </c>
      <c r="B89" s="27" t="s">
        <v>1</v>
      </c>
      <c r="C89" s="24">
        <v>390.13</v>
      </c>
    </row>
    <row r="90" spans="1:3" x14ac:dyDescent="0.3">
      <c r="A90" s="26">
        <v>45974</v>
      </c>
      <c r="B90" s="27" t="s">
        <v>4</v>
      </c>
      <c r="C90" s="24">
        <v>-389.15</v>
      </c>
    </row>
    <row r="91" spans="1:3" x14ac:dyDescent="0.3">
      <c r="A91" s="26">
        <v>45974</v>
      </c>
      <c r="B91" s="27" t="s">
        <v>4</v>
      </c>
      <c r="C91" s="24">
        <v>-79.849999999999994</v>
      </c>
    </row>
    <row r="92" spans="1:3" x14ac:dyDescent="0.3">
      <c r="A92" s="26">
        <v>45980</v>
      </c>
      <c r="B92" s="27" t="s">
        <v>1</v>
      </c>
      <c r="C92" s="24">
        <v>268.7</v>
      </c>
    </row>
    <row r="93" spans="1:3" x14ac:dyDescent="0.3">
      <c r="A93" s="26">
        <v>45985</v>
      </c>
      <c r="B93" s="27" t="s">
        <v>4</v>
      </c>
      <c r="C93" s="24">
        <v>-337.86</v>
      </c>
    </row>
    <row r="94" spans="1:3" x14ac:dyDescent="0.3">
      <c r="A94" s="26">
        <v>45985</v>
      </c>
      <c r="B94" s="27" t="s">
        <v>4</v>
      </c>
      <c r="C94" s="24">
        <v>-49.68</v>
      </c>
    </row>
    <row r="95" spans="1:3" x14ac:dyDescent="0.3">
      <c r="A95" s="26">
        <v>45987</v>
      </c>
      <c r="B95" s="27" t="s">
        <v>4</v>
      </c>
      <c r="C95" s="24">
        <v>-200</v>
      </c>
    </row>
    <row r="96" spans="1:3" x14ac:dyDescent="0.3">
      <c r="A96" s="26">
        <v>45987</v>
      </c>
      <c r="B96" s="27" t="s">
        <v>1</v>
      </c>
      <c r="C96" s="24">
        <v>411.86</v>
      </c>
    </row>
    <row r="97" spans="1:4" x14ac:dyDescent="0.3">
      <c r="A97" s="26">
        <v>45992</v>
      </c>
      <c r="B97" s="27" t="s">
        <v>4</v>
      </c>
      <c r="C97" s="24">
        <v>-268.7</v>
      </c>
    </row>
    <row r="98" spans="1:4" x14ac:dyDescent="0.3">
      <c r="A98" s="26">
        <v>45994</v>
      </c>
      <c r="B98" s="27" t="s">
        <v>4</v>
      </c>
      <c r="C98" s="24">
        <v>-408.9</v>
      </c>
    </row>
    <row r="99" spans="1:4" x14ac:dyDescent="0.3">
      <c r="A99" s="26">
        <v>45994</v>
      </c>
      <c r="B99" s="27" t="s">
        <v>1</v>
      </c>
      <c r="C99" s="24">
        <v>416.55</v>
      </c>
    </row>
    <row r="100" spans="1:4" x14ac:dyDescent="0.3">
      <c r="A100" s="26">
        <v>46000</v>
      </c>
      <c r="B100" s="27" t="s">
        <v>4</v>
      </c>
      <c r="C100" s="24">
        <v>-120</v>
      </c>
    </row>
    <row r="101" spans="1:4" x14ac:dyDescent="0.3">
      <c r="A101" s="26">
        <v>46001</v>
      </c>
      <c r="B101" s="27" t="s">
        <v>1</v>
      </c>
      <c r="C101" s="24">
        <v>243.92</v>
      </c>
    </row>
    <row r="102" spans="1:4" x14ac:dyDescent="0.3">
      <c r="A102" s="26">
        <v>46008</v>
      </c>
      <c r="B102" s="27" t="s">
        <v>4</v>
      </c>
      <c r="C102" s="24">
        <v>-303.02</v>
      </c>
    </row>
    <row r="103" spans="1:4" x14ac:dyDescent="0.3">
      <c r="A103" s="26">
        <v>46008</v>
      </c>
      <c r="B103" s="27" t="s">
        <v>1</v>
      </c>
      <c r="C103" s="24">
        <v>558.91999999999996</v>
      </c>
    </row>
    <row r="104" spans="1:4" x14ac:dyDescent="0.3">
      <c r="A104" s="26">
        <v>46009</v>
      </c>
      <c r="B104" s="27" t="s">
        <v>4</v>
      </c>
      <c r="C104" s="24">
        <v>-243.92</v>
      </c>
    </row>
    <row r="105" spans="1:4" x14ac:dyDescent="0.3">
      <c r="A105" s="26">
        <v>46014</v>
      </c>
      <c r="B105" s="27" t="s">
        <v>1</v>
      </c>
      <c r="C105" s="24">
        <v>402</v>
      </c>
    </row>
    <row r="106" spans="1:4" x14ac:dyDescent="0.3">
      <c r="A106" s="26">
        <v>46016</v>
      </c>
      <c r="B106" s="27" t="s">
        <v>4</v>
      </c>
      <c r="C106" s="24">
        <v>-341.17</v>
      </c>
    </row>
    <row r="107" spans="1:4" x14ac:dyDescent="0.3">
      <c r="A107" s="26">
        <v>46016</v>
      </c>
      <c r="B107" s="27" t="s">
        <v>4</v>
      </c>
      <c r="C107" s="24">
        <v>-44.91</v>
      </c>
    </row>
    <row r="108" spans="1:4" x14ac:dyDescent="0.3">
      <c r="A108" s="26">
        <v>46018</v>
      </c>
      <c r="B108" s="27" t="s">
        <v>4</v>
      </c>
      <c r="C108" s="24">
        <v>-170.72</v>
      </c>
    </row>
    <row r="109" spans="1:4" x14ac:dyDescent="0.3">
      <c r="A109" s="26">
        <v>46021</v>
      </c>
      <c r="B109" s="27" t="s">
        <v>1</v>
      </c>
      <c r="C109" s="24">
        <v>37.35</v>
      </c>
    </row>
    <row r="110" spans="1:4" x14ac:dyDescent="0.3">
      <c r="A110" s="26">
        <v>46024</v>
      </c>
      <c r="B110" s="27" t="s">
        <v>4</v>
      </c>
      <c r="C110" s="24">
        <v>-160.41999999999999</v>
      </c>
    </row>
    <row r="111" spans="1:4" x14ac:dyDescent="0.3">
      <c r="A111" s="26">
        <v>46024</v>
      </c>
      <c r="B111" s="27" t="s">
        <v>4</v>
      </c>
      <c r="C111" s="24">
        <v>-281.05</v>
      </c>
    </row>
    <row r="112" spans="1:4" x14ac:dyDescent="0.3">
      <c r="A112" s="26">
        <v>46029</v>
      </c>
      <c r="B112" s="27" t="s">
        <v>1</v>
      </c>
      <c r="C112" s="24">
        <v>632.19000000000005</v>
      </c>
      <c r="D112" s="25">
        <v>2</v>
      </c>
    </row>
    <row r="113" spans="1:3" x14ac:dyDescent="0.3">
      <c r="A113" s="26">
        <v>46034</v>
      </c>
      <c r="B113" s="27" t="s">
        <v>4</v>
      </c>
      <c r="C113" s="24">
        <v>-200</v>
      </c>
    </row>
    <row r="114" spans="1:3" x14ac:dyDescent="0.3">
      <c r="A114" s="26">
        <v>46036</v>
      </c>
      <c r="B114" s="27" t="s">
        <v>1</v>
      </c>
      <c r="C114" s="24">
        <v>196.93</v>
      </c>
    </row>
    <row r="115" spans="1:3" x14ac:dyDescent="0.3">
      <c r="A115" s="26">
        <v>46037</v>
      </c>
      <c r="B115" s="27" t="s">
        <v>4</v>
      </c>
      <c r="C115" s="24">
        <v>-100</v>
      </c>
    </row>
    <row r="116" spans="1:3" x14ac:dyDescent="0.3">
      <c r="A116" s="26">
        <v>46042</v>
      </c>
      <c r="B116" s="27" t="s">
        <v>4</v>
      </c>
      <c r="C116" s="24">
        <v>-115</v>
      </c>
    </row>
    <row r="117" spans="1:3" x14ac:dyDescent="0.3">
      <c r="A117" s="26">
        <v>46043</v>
      </c>
      <c r="B117" s="27" t="s">
        <v>4</v>
      </c>
      <c r="C117" s="24">
        <v>-115</v>
      </c>
    </row>
    <row r="118" spans="1:3" x14ac:dyDescent="0.3">
      <c r="A118" s="26">
        <v>46043</v>
      </c>
      <c r="B118" s="27" t="s">
        <v>1</v>
      </c>
      <c r="C118" s="24">
        <v>131.30000000000001</v>
      </c>
    </row>
    <row r="119" spans="1:3" x14ac:dyDescent="0.3">
      <c r="A119" s="26">
        <v>46045</v>
      </c>
      <c r="B119" s="27" t="s">
        <v>4</v>
      </c>
      <c r="C119" s="24">
        <v>-100</v>
      </c>
    </row>
    <row r="120" spans="1:3" x14ac:dyDescent="0.3">
      <c r="A120" s="26">
        <v>46050</v>
      </c>
      <c r="B120" s="27" t="s">
        <v>1</v>
      </c>
      <c r="C120" s="24">
        <v>358.38</v>
      </c>
    </row>
    <row r="121" spans="1:3" x14ac:dyDescent="0.3">
      <c r="A121" s="26">
        <v>46050</v>
      </c>
      <c r="B121" s="27" t="s">
        <v>503</v>
      </c>
      <c r="C121" s="24">
        <v>-7.2</v>
      </c>
    </row>
    <row r="122" spans="1:3" x14ac:dyDescent="0.3">
      <c r="A122" s="26">
        <v>46052</v>
      </c>
      <c r="B122" s="27" t="s">
        <v>1</v>
      </c>
      <c r="C122" s="24">
        <v>87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F3294-B1CB-4087-9AD3-3500CDE6D6D1}">
  <dimension ref="A1:I22"/>
  <sheetViews>
    <sheetView view="pageBreakPreview" zoomScale="80" zoomScaleNormal="100" zoomScaleSheetLayoutView="80" workbookViewId="0">
      <selection activeCell="C23" sqref="C2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502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180.04000000000002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45982</v>
      </c>
      <c r="B5" s="27" t="s">
        <v>21</v>
      </c>
      <c r="C5" s="24">
        <v>117.44</v>
      </c>
      <c r="D5" s="30"/>
      <c r="E5" s="30"/>
      <c r="F5" s="30"/>
      <c r="G5" s="22"/>
    </row>
    <row r="6" spans="1:9" x14ac:dyDescent="0.3">
      <c r="A6" s="21">
        <v>45988</v>
      </c>
      <c r="B6" s="27" t="s">
        <v>4</v>
      </c>
      <c r="C6" s="24">
        <v>-117.44</v>
      </c>
    </row>
    <row r="7" spans="1:9" x14ac:dyDescent="0.3">
      <c r="A7" s="21">
        <v>45988</v>
      </c>
      <c r="B7" s="27" t="s">
        <v>1</v>
      </c>
      <c r="C7" s="24">
        <v>106.84</v>
      </c>
    </row>
    <row r="8" spans="1:9" x14ac:dyDescent="0.3">
      <c r="A8" s="26">
        <v>45995</v>
      </c>
      <c r="B8" s="27" t="s">
        <v>4</v>
      </c>
      <c r="C8" s="24">
        <v>-71.459999999999994</v>
      </c>
    </row>
    <row r="9" spans="1:9" x14ac:dyDescent="0.3">
      <c r="A9" s="26">
        <v>45995</v>
      </c>
      <c r="B9" s="27" t="s">
        <v>4</v>
      </c>
      <c r="C9" s="24">
        <v>-9.93</v>
      </c>
      <c r="I9" s="25"/>
    </row>
    <row r="10" spans="1:9" x14ac:dyDescent="0.3">
      <c r="A10" s="26">
        <v>45995</v>
      </c>
      <c r="B10" s="27" t="s">
        <v>1</v>
      </c>
      <c r="C10" s="24">
        <v>95.38</v>
      </c>
    </row>
    <row r="11" spans="1:9" x14ac:dyDescent="0.3">
      <c r="A11" s="26">
        <v>46002</v>
      </c>
      <c r="B11" s="27" t="s">
        <v>7</v>
      </c>
      <c r="C11" s="24">
        <v>-95.39</v>
      </c>
    </row>
    <row r="12" spans="1:9" x14ac:dyDescent="0.3">
      <c r="A12" s="26">
        <v>46002</v>
      </c>
      <c r="B12" s="27" t="s">
        <v>1</v>
      </c>
      <c r="C12" s="24">
        <v>110.7</v>
      </c>
    </row>
    <row r="13" spans="1:9" x14ac:dyDescent="0.3">
      <c r="A13" s="26">
        <v>46014</v>
      </c>
      <c r="B13" s="27" t="s">
        <v>4</v>
      </c>
      <c r="C13" s="24">
        <v>-26</v>
      </c>
    </row>
    <row r="14" spans="1:9" x14ac:dyDescent="0.3">
      <c r="A14" s="26">
        <v>46015</v>
      </c>
      <c r="B14" s="27" t="s">
        <v>7</v>
      </c>
      <c r="C14" s="24">
        <v>-40</v>
      </c>
    </row>
    <row r="15" spans="1:9" x14ac:dyDescent="0.3">
      <c r="A15" s="26">
        <v>46015</v>
      </c>
      <c r="B15" s="27" t="s">
        <v>1</v>
      </c>
      <c r="C15" s="24">
        <v>232.59</v>
      </c>
    </row>
    <row r="16" spans="1:9" x14ac:dyDescent="0.3">
      <c r="A16" s="26">
        <v>46021</v>
      </c>
      <c r="B16" s="27" t="s">
        <v>4</v>
      </c>
      <c r="C16" s="24">
        <v>-53.67</v>
      </c>
    </row>
    <row r="17" spans="1:3" x14ac:dyDescent="0.3">
      <c r="A17" s="26">
        <v>46028</v>
      </c>
      <c r="B17" s="27" t="s">
        <v>4</v>
      </c>
      <c r="C17" s="24">
        <v>-64.900000000000006</v>
      </c>
    </row>
    <row r="18" spans="1:3" x14ac:dyDescent="0.3">
      <c r="A18" s="26">
        <v>46034</v>
      </c>
      <c r="B18" s="27" t="s">
        <v>4</v>
      </c>
      <c r="C18" s="24">
        <v>-60.54</v>
      </c>
    </row>
    <row r="19" spans="1:3" x14ac:dyDescent="0.3">
      <c r="A19" s="26">
        <v>46038</v>
      </c>
      <c r="B19" s="27" t="s">
        <v>1</v>
      </c>
      <c r="C19" s="24">
        <v>-43.89</v>
      </c>
    </row>
    <row r="20" spans="1:3" x14ac:dyDescent="0.3">
      <c r="A20" s="26">
        <v>46044</v>
      </c>
      <c r="B20" s="27" t="s">
        <v>4</v>
      </c>
      <c r="C20" s="24">
        <v>-22.86</v>
      </c>
    </row>
    <row r="21" spans="1:3" x14ac:dyDescent="0.3">
      <c r="A21" s="26">
        <v>46044</v>
      </c>
      <c r="B21" s="27" t="s">
        <v>1</v>
      </c>
      <c r="C21" s="24">
        <v>180.02</v>
      </c>
    </row>
    <row r="22" spans="1:3" x14ac:dyDescent="0.3">
      <c r="A22" s="26">
        <v>46044</v>
      </c>
      <c r="B22" s="27" t="s">
        <v>7</v>
      </c>
      <c r="C22" s="24">
        <v>-56.85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65A2-3BFE-4736-8C58-4C2D8093A946}">
  <sheetPr codeName="Hoja86"/>
  <dimension ref="A1:H102"/>
  <sheetViews>
    <sheetView view="pageBreakPreview" zoomScale="80" zoomScaleNormal="100" zoomScaleSheetLayoutView="80" workbookViewId="0">
      <selection activeCell="C103" sqref="C10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197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46.779999999999774</v>
      </c>
      <c r="D3" s="20">
        <f>SUM(D$4:D$1048576)</f>
        <v>10</v>
      </c>
      <c r="E3" s="20">
        <f>SUM(E$5:E$1048576)</f>
        <v>-1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45820</v>
      </c>
      <c r="B5" s="32" t="s">
        <v>21</v>
      </c>
      <c r="C5" s="24">
        <v>31.7</v>
      </c>
      <c r="D5" s="30"/>
      <c r="E5" s="30"/>
      <c r="F5" s="30"/>
      <c r="G5" s="22"/>
    </row>
    <row r="6" spans="1:8" hidden="1" x14ac:dyDescent="0.3">
      <c r="A6" s="21">
        <v>45820</v>
      </c>
      <c r="B6" s="34" t="s">
        <v>21</v>
      </c>
      <c r="C6" s="24">
        <v>322.83</v>
      </c>
    </row>
    <row r="7" spans="1:8" hidden="1" x14ac:dyDescent="0.3">
      <c r="A7" s="21">
        <v>45820</v>
      </c>
      <c r="B7" s="46" t="s">
        <v>21</v>
      </c>
      <c r="C7" s="24">
        <v>38.69</v>
      </c>
    </row>
    <row r="8" spans="1:8" hidden="1" x14ac:dyDescent="0.3">
      <c r="A8" s="26">
        <v>45826</v>
      </c>
      <c r="B8" s="34" t="s">
        <v>21</v>
      </c>
      <c r="C8" s="24">
        <v>355.44</v>
      </c>
    </row>
    <row r="9" spans="1:8" hidden="1" x14ac:dyDescent="0.3">
      <c r="A9" s="26">
        <v>45826</v>
      </c>
      <c r="B9" s="46" t="s">
        <v>21</v>
      </c>
      <c r="C9" s="24">
        <v>36.06</v>
      </c>
    </row>
    <row r="10" spans="1:8" hidden="1" x14ac:dyDescent="0.3">
      <c r="A10" s="26">
        <v>45827</v>
      </c>
      <c r="B10" s="31" t="s">
        <v>4</v>
      </c>
      <c r="C10" s="24">
        <v>-393.98</v>
      </c>
    </row>
    <row r="11" spans="1:8" hidden="1" x14ac:dyDescent="0.3">
      <c r="A11" s="26">
        <v>45833</v>
      </c>
      <c r="B11" s="32" t="s">
        <v>21</v>
      </c>
      <c r="C11" s="24">
        <v>45.35</v>
      </c>
    </row>
    <row r="12" spans="1:8" hidden="1" x14ac:dyDescent="0.3">
      <c r="A12" s="26">
        <v>45833</v>
      </c>
      <c r="B12" s="34" t="s">
        <v>21</v>
      </c>
      <c r="C12" s="24">
        <v>174.22</v>
      </c>
    </row>
    <row r="13" spans="1:8" hidden="1" x14ac:dyDescent="0.3">
      <c r="A13" s="26">
        <v>45833</v>
      </c>
      <c r="B13" s="46" t="s">
        <v>21</v>
      </c>
      <c r="C13" s="24">
        <v>39.57</v>
      </c>
    </row>
    <row r="14" spans="1:8" hidden="1" x14ac:dyDescent="0.3">
      <c r="A14" s="26">
        <v>45835</v>
      </c>
      <c r="B14" s="27" t="s">
        <v>4</v>
      </c>
      <c r="C14" s="24">
        <v>-388.96</v>
      </c>
    </row>
    <row r="15" spans="1:8" hidden="1" x14ac:dyDescent="0.3">
      <c r="A15" s="26">
        <v>45840</v>
      </c>
      <c r="B15" s="27" t="s">
        <v>4</v>
      </c>
      <c r="C15" s="24">
        <v>-258.83999999999997</v>
      </c>
    </row>
    <row r="16" spans="1:8" hidden="1" x14ac:dyDescent="0.3">
      <c r="A16" s="26">
        <v>45840</v>
      </c>
      <c r="B16" s="32" t="s">
        <v>21</v>
      </c>
      <c r="C16" s="24">
        <v>47.5</v>
      </c>
    </row>
    <row r="17" spans="1:4" hidden="1" x14ac:dyDescent="0.3">
      <c r="A17" s="26">
        <v>45840</v>
      </c>
      <c r="B17" s="34" t="s">
        <v>21</v>
      </c>
      <c r="C17" s="24">
        <v>277.97000000000003</v>
      </c>
    </row>
    <row r="18" spans="1:4" hidden="1" x14ac:dyDescent="0.3">
      <c r="A18" s="26">
        <v>45840</v>
      </c>
      <c r="B18" s="46" t="s">
        <v>21</v>
      </c>
      <c r="C18" s="24">
        <v>98.06</v>
      </c>
    </row>
    <row r="19" spans="1:4" hidden="1" x14ac:dyDescent="0.3">
      <c r="A19" s="26">
        <v>45847</v>
      </c>
      <c r="B19" s="32" t="s">
        <v>21</v>
      </c>
      <c r="C19" s="24">
        <v>35.53</v>
      </c>
      <c r="D19" s="25">
        <v>1</v>
      </c>
    </row>
    <row r="20" spans="1:4" hidden="1" x14ac:dyDescent="0.3">
      <c r="A20" s="26">
        <v>45849</v>
      </c>
      <c r="B20" s="27" t="s">
        <v>4</v>
      </c>
      <c r="C20" s="24">
        <v>-424.13</v>
      </c>
    </row>
    <row r="21" spans="1:4" hidden="1" x14ac:dyDescent="0.3">
      <c r="A21" s="26">
        <v>45856</v>
      </c>
      <c r="B21" s="27" t="s">
        <v>4</v>
      </c>
      <c r="C21" s="24">
        <v>-35.26</v>
      </c>
    </row>
    <row r="22" spans="1:4" hidden="1" x14ac:dyDescent="0.3">
      <c r="A22" s="26">
        <v>45860</v>
      </c>
      <c r="B22" s="32" t="s">
        <v>21</v>
      </c>
      <c r="C22" s="24">
        <v>104.38</v>
      </c>
    </row>
    <row r="23" spans="1:4" hidden="1" x14ac:dyDescent="0.3">
      <c r="A23" s="26">
        <v>45860</v>
      </c>
      <c r="B23" s="34" t="s">
        <v>21</v>
      </c>
      <c r="C23" s="24">
        <v>168.35</v>
      </c>
    </row>
    <row r="24" spans="1:4" hidden="1" x14ac:dyDescent="0.3">
      <c r="A24" s="26">
        <v>45860</v>
      </c>
      <c r="B24" s="46" t="s">
        <v>21</v>
      </c>
      <c r="C24" s="24">
        <v>3.21</v>
      </c>
    </row>
    <row r="25" spans="1:4" hidden="1" x14ac:dyDescent="0.3">
      <c r="A25" s="26">
        <v>45863</v>
      </c>
      <c r="B25" s="34" t="s">
        <v>21</v>
      </c>
      <c r="C25" s="24">
        <v>57</v>
      </c>
    </row>
    <row r="26" spans="1:4" hidden="1" x14ac:dyDescent="0.3">
      <c r="A26" s="26">
        <v>45868</v>
      </c>
      <c r="B26" s="27" t="s">
        <v>1</v>
      </c>
      <c r="C26" s="24">
        <v>20.8</v>
      </c>
    </row>
    <row r="27" spans="1:4" hidden="1" x14ac:dyDescent="0.3">
      <c r="A27" s="26">
        <v>45868</v>
      </c>
      <c r="B27" s="32" t="s">
        <v>21</v>
      </c>
      <c r="C27" s="24">
        <v>118.19</v>
      </c>
    </row>
    <row r="28" spans="1:4" hidden="1" x14ac:dyDescent="0.3">
      <c r="A28" s="26">
        <v>45868</v>
      </c>
      <c r="B28" s="34" t="s">
        <v>21</v>
      </c>
      <c r="C28" s="24">
        <v>263.32</v>
      </c>
    </row>
    <row r="29" spans="1:4" hidden="1" x14ac:dyDescent="0.3">
      <c r="A29" s="26">
        <v>45868</v>
      </c>
      <c r="B29" s="46" t="s">
        <v>21</v>
      </c>
      <c r="C29" s="24">
        <v>74.099999999999994</v>
      </c>
    </row>
    <row r="30" spans="1:4" hidden="1" x14ac:dyDescent="0.3">
      <c r="A30" s="26">
        <v>45869</v>
      </c>
      <c r="B30" s="27" t="s">
        <v>7</v>
      </c>
      <c r="C30" s="24">
        <v>-292.05</v>
      </c>
    </row>
    <row r="31" spans="1:4" hidden="1" x14ac:dyDescent="0.3">
      <c r="A31" s="26">
        <v>45870</v>
      </c>
      <c r="B31" s="27" t="s">
        <v>7</v>
      </c>
      <c r="C31" s="24">
        <v>-42.61</v>
      </c>
    </row>
    <row r="32" spans="1:4" hidden="1" x14ac:dyDescent="0.3">
      <c r="A32" s="26">
        <v>45877</v>
      </c>
      <c r="B32" s="27" t="s">
        <v>7</v>
      </c>
      <c r="C32" s="24">
        <v>-387.1</v>
      </c>
    </row>
    <row r="33" spans="1:3" hidden="1" x14ac:dyDescent="0.3">
      <c r="A33" s="26">
        <v>45877</v>
      </c>
      <c r="B33" s="32" t="s">
        <v>21</v>
      </c>
      <c r="C33" s="24">
        <v>36.89</v>
      </c>
    </row>
    <row r="34" spans="1:3" hidden="1" x14ac:dyDescent="0.3">
      <c r="A34" s="26">
        <v>45877</v>
      </c>
      <c r="B34" s="34" t="s">
        <v>21</v>
      </c>
      <c r="C34" s="24">
        <v>252.48</v>
      </c>
    </row>
    <row r="35" spans="1:3" hidden="1" x14ac:dyDescent="0.3">
      <c r="A35" s="26">
        <v>45877</v>
      </c>
      <c r="B35" s="46" t="s">
        <v>1</v>
      </c>
      <c r="C35" s="24">
        <v>11.32</v>
      </c>
    </row>
    <row r="36" spans="1:3" hidden="1" x14ac:dyDescent="0.3">
      <c r="A36" s="26">
        <v>45851</v>
      </c>
      <c r="B36" s="27" t="s">
        <v>7</v>
      </c>
      <c r="C36" s="24">
        <v>-89.51</v>
      </c>
    </row>
    <row r="37" spans="1:3" hidden="1" x14ac:dyDescent="0.3">
      <c r="A37" s="26">
        <v>45851</v>
      </c>
      <c r="B37" s="32" t="s">
        <v>21</v>
      </c>
      <c r="C37" s="24">
        <v>18.600000000000001</v>
      </c>
    </row>
    <row r="38" spans="1:3" hidden="1" x14ac:dyDescent="0.3">
      <c r="A38" s="26">
        <v>45851</v>
      </c>
      <c r="B38" s="34" t="s">
        <v>21</v>
      </c>
      <c r="C38" s="24">
        <v>193.06</v>
      </c>
    </row>
    <row r="39" spans="1:3" hidden="1" x14ac:dyDescent="0.3">
      <c r="A39" s="26">
        <v>45851</v>
      </c>
      <c r="B39" s="46" t="s">
        <v>1</v>
      </c>
      <c r="C39" s="24">
        <v>33.61</v>
      </c>
    </row>
    <row r="40" spans="1:3" hidden="1" x14ac:dyDescent="0.3">
      <c r="A40" s="26">
        <v>45889</v>
      </c>
      <c r="B40" s="27" t="s">
        <v>7</v>
      </c>
      <c r="C40" s="24">
        <v>-300.64999999999998</v>
      </c>
    </row>
    <row r="41" spans="1:3" hidden="1" x14ac:dyDescent="0.3">
      <c r="A41" s="26">
        <v>45890</v>
      </c>
      <c r="B41" s="27" t="s">
        <v>7</v>
      </c>
      <c r="C41" s="24">
        <v>-129.03</v>
      </c>
    </row>
    <row r="42" spans="1:3" hidden="1" x14ac:dyDescent="0.3">
      <c r="A42" s="26">
        <v>45890</v>
      </c>
      <c r="B42" s="27" t="s">
        <v>1</v>
      </c>
      <c r="C42" s="24">
        <v>41.6</v>
      </c>
    </row>
    <row r="43" spans="1:3" hidden="1" x14ac:dyDescent="0.3">
      <c r="A43" s="26">
        <v>45890</v>
      </c>
      <c r="B43" s="46" t="s">
        <v>1</v>
      </c>
      <c r="C43" s="24">
        <v>18.39</v>
      </c>
    </row>
    <row r="44" spans="1:3" hidden="1" x14ac:dyDescent="0.3">
      <c r="A44" s="26">
        <v>45890</v>
      </c>
      <c r="B44" s="34" t="s">
        <v>21</v>
      </c>
      <c r="C44" s="24">
        <v>243.23</v>
      </c>
    </row>
    <row r="45" spans="1:3" hidden="1" x14ac:dyDescent="0.3">
      <c r="A45" s="26">
        <v>45890</v>
      </c>
      <c r="B45" s="32" t="s">
        <v>21</v>
      </c>
      <c r="C45" s="24">
        <v>39.19</v>
      </c>
    </row>
    <row r="46" spans="1:3" hidden="1" x14ac:dyDescent="0.3">
      <c r="A46" s="26">
        <v>45896</v>
      </c>
      <c r="B46" s="27" t="s">
        <v>7</v>
      </c>
      <c r="C46" s="24">
        <v>-349.17</v>
      </c>
    </row>
    <row r="47" spans="1:3" hidden="1" x14ac:dyDescent="0.3">
      <c r="A47" s="26">
        <v>45896</v>
      </c>
      <c r="B47" s="32" t="s">
        <v>21</v>
      </c>
      <c r="C47" s="24">
        <v>46.85</v>
      </c>
    </row>
    <row r="48" spans="1:3" hidden="1" x14ac:dyDescent="0.3">
      <c r="A48" s="26">
        <v>45896</v>
      </c>
      <c r="B48" s="34" t="s">
        <v>21</v>
      </c>
      <c r="C48" s="24">
        <v>263.56</v>
      </c>
    </row>
    <row r="49" spans="1:5" hidden="1" x14ac:dyDescent="0.3">
      <c r="A49" s="26">
        <v>45896</v>
      </c>
      <c r="B49" s="27" t="s">
        <v>1</v>
      </c>
      <c r="C49" s="24">
        <v>64.8</v>
      </c>
    </row>
    <row r="50" spans="1:5" hidden="1" x14ac:dyDescent="0.3">
      <c r="A50" s="26">
        <v>45903</v>
      </c>
      <c r="B50" s="27" t="s">
        <v>7</v>
      </c>
      <c r="C50" s="24">
        <v>-109.51</v>
      </c>
    </row>
    <row r="51" spans="1:5" hidden="1" x14ac:dyDescent="0.3">
      <c r="A51" s="26">
        <v>45910</v>
      </c>
      <c r="B51" s="27" t="s">
        <v>7</v>
      </c>
      <c r="C51" s="24">
        <v>-375.22</v>
      </c>
    </row>
    <row r="52" spans="1:5" hidden="1" x14ac:dyDescent="0.3">
      <c r="A52" s="26">
        <v>45910</v>
      </c>
      <c r="B52" s="32" t="s">
        <v>21</v>
      </c>
      <c r="C52" s="24">
        <v>31.3</v>
      </c>
    </row>
    <row r="53" spans="1:5" hidden="1" x14ac:dyDescent="0.3">
      <c r="A53" s="26">
        <v>45910</v>
      </c>
      <c r="B53" s="34" t="s">
        <v>21</v>
      </c>
      <c r="C53" s="24">
        <v>231.32</v>
      </c>
    </row>
    <row r="54" spans="1:5" hidden="1" x14ac:dyDescent="0.3">
      <c r="A54" s="26">
        <v>45910</v>
      </c>
      <c r="B54" s="46" t="s">
        <v>1</v>
      </c>
      <c r="C54" s="24">
        <v>70.78</v>
      </c>
    </row>
    <row r="55" spans="1:5" hidden="1" x14ac:dyDescent="0.3">
      <c r="A55" s="26">
        <v>45910</v>
      </c>
      <c r="B55" s="27" t="s">
        <v>1</v>
      </c>
      <c r="C55" s="24">
        <v>129.6</v>
      </c>
    </row>
    <row r="56" spans="1:5" hidden="1" x14ac:dyDescent="0.3">
      <c r="A56" s="26">
        <v>45917</v>
      </c>
      <c r="B56" s="27" t="s">
        <v>7</v>
      </c>
      <c r="C56" s="24">
        <v>-290.32</v>
      </c>
    </row>
    <row r="57" spans="1:5" hidden="1" x14ac:dyDescent="0.3">
      <c r="A57" s="26">
        <v>45917</v>
      </c>
      <c r="B57" s="32" t="s">
        <v>21</v>
      </c>
      <c r="C57" s="24">
        <v>79.150000000000006</v>
      </c>
    </row>
    <row r="58" spans="1:5" hidden="1" x14ac:dyDescent="0.3">
      <c r="A58" s="26">
        <v>45917</v>
      </c>
      <c r="B58" s="34" t="s">
        <v>21</v>
      </c>
      <c r="C58" s="24">
        <v>175.46</v>
      </c>
    </row>
    <row r="59" spans="1:5" hidden="1" x14ac:dyDescent="0.3">
      <c r="A59" s="26">
        <v>45917</v>
      </c>
      <c r="B59" s="46" t="s">
        <v>1</v>
      </c>
      <c r="C59" s="24">
        <v>59.83</v>
      </c>
    </row>
    <row r="60" spans="1:5" hidden="1" x14ac:dyDescent="0.3">
      <c r="A60" s="26">
        <v>45917</v>
      </c>
      <c r="B60" s="27" t="s">
        <v>1</v>
      </c>
      <c r="C60" s="24">
        <v>23.8</v>
      </c>
    </row>
    <row r="61" spans="1:5" hidden="1" x14ac:dyDescent="0.3">
      <c r="A61" s="26">
        <v>45925</v>
      </c>
      <c r="B61" s="27" t="s">
        <v>7</v>
      </c>
      <c r="C61" s="24">
        <v>-510.52</v>
      </c>
    </row>
    <row r="62" spans="1:5" hidden="1" x14ac:dyDescent="0.3">
      <c r="A62" s="26">
        <v>45925</v>
      </c>
      <c r="B62" s="32" t="s">
        <v>21</v>
      </c>
      <c r="C62" s="24">
        <v>39.85</v>
      </c>
      <c r="D62" s="25">
        <v>-2</v>
      </c>
      <c r="E62" s="25">
        <v>-1</v>
      </c>
    </row>
    <row r="63" spans="1:5" hidden="1" x14ac:dyDescent="0.3">
      <c r="A63" s="26">
        <v>45925</v>
      </c>
      <c r="B63" s="34" t="s">
        <v>21</v>
      </c>
      <c r="C63" s="24">
        <v>243.36</v>
      </c>
    </row>
    <row r="64" spans="1:5" hidden="1" x14ac:dyDescent="0.3">
      <c r="A64" s="26">
        <v>45925</v>
      </c>
      <c r="B64" s="34" t="s">
        <v>21</v>
      </c>
      <c r="C64" s="24">
        <v>389.36</v>
      </c>
    </row>
    <row r="65" spans="1:4" hidden="1" x14ac:dyDescent="0.3">
      <c r="A65" s="26">
        <v>45925</v>
      </c>
      <c r="B65" s="46" t="s">
        <v>1</v>
      </c>
      <c r="C65" s="24">
        <v>64.34</v>
      </c>
    </row>
    <row r="66" spans="1:4" hidden="1" x14ac:dyDescent="0.3">
      <c r="A66" s="26">
        <v>45925</v>
      </c>
      <c r="B66" s="27" t="s">
        <v>1</v>
      </c>
      <c r="C66" s="24">
        <v>22.4</v>
      </c>
    </row>
    <row r="67" spans="1:4" hidden="1" x14ac:dyDescent="0.3">
      <c r="A67" s="26">
        <v>45931</v>
      </c>
      <c r="B67" s="27" t="s">
        <v>4</v>
      </c>
      <c r="C67" s="24">
        <v>-759.55</v>
      </c>
    </row>
    <row r="68" spans="1:4" x14ac:dyDescent="0.3">
      <c r="A68" s="26">
        <v>45931</v>
      </c>
      <c r="B68" s="32" t="s">
        <v>21</v>
      </c>
      <c r="C68" s="24">
        <v>33.49</v>
      </c>
    </row>
    <row r="69" spans="1:4" x14ac:dyDescent="0.3">
      <c r="A69" s="26">
        <v>45931</v>
      </c>
      <c r="B69" s="34" t="s">
        <v>21</v>
      </c>
      <c r="C69" s="24">
        <v>740.16</v>
      </c>
    </row>
    <row r="70" spans="1:4" x14ac:dyDescent="0.3">
      <c r="A70" s="26">
        <v>45931</v>
      </c>
      <c r="B70" s="46" t="s">
        <v>1</v>
      </c>
      <c r="C70" s="24">
        <v>154.91</v>
      </c>
    </row>
    <row r="71" spans="1:4" x14ac:dyDescent="0.3">
      <c r="A71" s="26">
        <v>45931</v>
      </c>
      <c r="B71" s="27" t="s">
        <v>1</v>
      </c>
      <c r="C71" s="24">
        <v>114.86</v>
      </c>
    </row>
    <row r="72" spans="1:4" x14ac:dyDescent="0.3">
      <c r="A72" s="26">
        <v>45933</v>
      </c>
      <c r="B72" s="34" t="s">
        <v>21</v>
      </c>
      <c r="C72" s="24">
        <v>60</v>
      </c>
    </row>
    <row r="73" spans="1:4" x14ac:dyDescent="0.3">
      <c r="A73" s="26">
        <v>45945</v>
      </c>
      <c r="B73" s="27" t="s">
        <v>7</v>
      </c>
      <c r="C73" s="24">
        <v>-1038.46</v>
      </c>
    </row>
    <row r="74" spans="1:4" x14ac:dyDescent="0.3">
      <c r="A74" s="26">
        <v>45945</v>
      </c>
      <c r="B74" s="32" t="s">
        <v>21</v>
      </c>
      <c r="C74" s="24">
        <v>76.62</v>
      </c>
      <c r="D74" s="25">
        <v>2</v>
      </c>
    </row>
    <row r="75" spans="1:4" x14ac:dyDescent="0.3">
      <c r="A75" s="26">
        <v>45945</v>
      </c>
      <c r="B75" s="34" t="s">
        <v>21</v>
      </c>
      <c r="C75" s="24">
        <v>315.23</v>
      </c>
    </row>
    <row r="76" spans="1:4" x14ac:dyDescent="0.3">
      <c r="A76" s="26">
        <v>45945</v>
      </c>
      <c r="B76" s="46" t="s">
        <v>1</v>
      </c>
      <c r="C76" s="24">
        <v>64.040000000000006</v>
      </c>
    </row>
    <row r="77" spans="1:4" x14ac:dyDescent="0.3">
      <c r="A77" s="26">
        <v>45945</v>
      </c>
      <c r="B77" s="27" t="s">
        <v>1</v>
      </c>
      <c r="C77" s="24">
        <v>97.74</v>
      </c>
    </row>
    <row r="78" spans="1:4" x14ac:dyDescent="0.3">
      <c r="A78" s="26">
        <v>45959</v>
      </c>
      <c r="B78" s="27" t="s">
        <v>7</v>
      </c>
      <c r="C78" s="24">
        <v>-240.74</v>
      </c>
    </row>
    <row r="79" spans="1:4" x14ac:dyDescent="0.3">
      <c r="A79" s="26">
        <v>45966</v>
      </c>
      <c r="B79" s="27" t="s">
        <v>7</v>
      </c>
      <c r="C79" s="24">
        <v>-312.89</v>
      </c>
    </row>
    <row r="80" spans="1:4" x14ac:dyDescent="0.3">
      <c r="A80" s="26">
        <v>45966</v>
      </c>
      <c r="B80" s="32" t="s">
        <v>21</v>
      </c>
      <c r="C80" s="24">
        <v>154.06</v>
      </c>
    </row>
    <row r="81" spans="1:4" x14ac:dyDescent="0.3">
      <c r="A81" s="26">
        <v>45966</v>
      </c>
      <c r="B81" s="34" t="s">
        <v>21</v>
      </c>
      <c r="C81" s="24">
        <v>415.99</v>
      </c>
    </row>
    <row r="82" spans="1:4" x14ac:dyDescent="0.3">
      <c r="A82" s="26">
        <v>45966</v>
      </c>
      <c r="B82" s="46" t="s">
        <v>1</v>
      </c>
      <c r="C82" s="24">
        <v>161.62</v>
      </c>
    </row>
    <row r="83" spans="1:4" x14ac:dyDescent="0.3">
      <c r="A83" s="26">
        <v>45973</v>
      </c>
      <c r="B83" s="27" t="s">
        <v>4</v>
      </c>
      <c r="C83" s="24">
        <v>-303.10000000000002</v>
      </c>
    </row>
    <row r="84" spans="1:4" x14ac:dyDescent="0.3">
      <c r="A84" s="26">
        <v>45973</v>
      </c>
      <c r="B84" s="27" t="s">
        <v>7</v>
      </c>
      <c r="C84" s="24">
        <v>-428.57</v>
      </c>
    </row>
    <row r="85" spans="1:4" x14ac:dyDescent="0.3">
      <c r="A85" s="26">
        <v>45973</v>
      </c>
      <c r="B85" s="27" t="s">
        <v>1</v>
      </c>
      <c r="C85" s="24">
        <v>457.39</v>
      </c>
    </row>
    <row r="86" spans="1:4" x14ac:dyDescent="0.3">
      <c r="A86" s="26">
        <v>45986</v>
      </c>
      <c r="B86" s="27" t="s">
        <v>4</v>
      </c>
      <c r="C86" s="24">
        <v>-457.39</v>
      </c>
    </row>
    <row r="87" spans="1:4" x14ac:dyDescent="0.3">
      <c r="A87" s="26">
        <v>45987</v>
      </c>
      <c r="B87" s="27" t="s">
        <v>1</v>
      </c>
      <c r="C87" s="24">
        <v>516.26</v>
      </c>
      <c r="D87" s="25">
        <v>3</v>
      </c>
    </row>
    <row r="88" spans="1:4" x14ac:dyDescent="0.3">
      <c r="A88" s="26">
        <v>45995</v>
      </c>
      <c r="B88" s="27" t="s">
        <v>4</v>
      </c>
      <c r="C88" s="24">
        <v>-516.26</v>
      </c>
    </row>
    <row r="89" spans="1:4" x14ac:dyDescent="0.3">
      <c r="A89" s="26">
        <v>46001</v>
      </c>
      <c r="B89" s="27" t="s">
        <v>1</v>
      </c>
      <c r="C89" s="24">
        <v>513.04</v>
      </c>
    </row>
    <row r="90" spans="1:4" x14ac:dyDescent="0.3">
      <c r="A90" s="26">
        <v>46002</v>
      </c>
      <c r="B90" s="27" t="s">
        <v>4</v>
      </c>
      <c r="C90" s="24">
        <v>-64.650000000000006</v>
      </c>
    </row>
    <row r="91" spans="1:4" x14ac:dyDescent="0.3">
      <c r="A91" s="26">
        <v>46007</v>
      </c>
      <c r="B91" s="27" t="s">
        <v>4</v>
      </c>
      <c r="C91" s="24">
        <v>-519.03</v>
      </c>
    </row>
    <row r="92" spans="1:4" x14ac:dyDescent="0.3">
      <c r="A92" s="26">
        <v>46008</v>
      </c>
      <c r="B92" s="27" t="s">
        <v>1</v>
      </c>
      <c r="C92" s="24">
        <v>790.02</v>
      </c>
    </row>
    <row r="93" spans="1:4" x14ac:dyDescent="0.3">
      <c r="A93" s="26">
        <v>46014</v>
      </c>
      <c r="B93" s="27" t="s">
        <v>4</v>
      </c>
      <c r="C93" s="24">
        <v>-784.33</v>
      </c>
    </row>
    <row r="94" spans="1:4" x14ac:dyDescent="0.3">
      <c r="A94" s="26">
        <v>46014</v>
      </c>
      <c r="B94" s="27" t="s">
        <v>1</v>
      </c>
      <c r="C94" s="24">
        <v>1404.05</v>
      </c>
      <c r="D94" s="25">
        <v>14</v>
      </c>
    </row>
    <row r="95" spans="1:4" x14ac:dyDescent="0.3">
      <c r="A95" s="26">
        <v>46029</v>
      </c>
      <c r="B95" s="27" t="s">
        <v>4</v>
      </c>
      <c r="C95" s="24">
        <v>-1404.05</v>
      </c>
    </row>
    <row r="96" spans="1:4" x14ac:dyDescent="0.3">
      <c r="A96" s="26">
        <v>46029</v>
      </c>
      <c r="B96" s="27" t="s">
        <v>1</v>
      </c>
      <c r="C96" s="24">
        <v>538.64</v>
      </c>
      <c r="D96" s="25">
        <v>-2</v>
      </c>
    </row>
    <row r="97" spans="1:4" x14ac:dyDescent="0.3">
      <c r="A97" s="26">
        <v>46036</v>
      </c>
      <c r="B97" s="27" t="s">
        <v>4</v>
      </c>
      <c r="C97" s="24">
        <v>-538.64</v>
      </c>
    </row>
    <row r="98" spans="1:4" x14ac:dyDescent="0.3">
      <c r="A98" s="26">
        <v>46036</v>
      </c>
      <c r="B98" s="27" t="s">
        <v>1</v>
      </c>
      <c r="C98" s="24">
        <v>391.33</v>
      </c>
      <c r="D98" s="25">
        <v>-2</v>
      </c>
    </row>
    <row r="99" spans="1:4" x14ac:dyDescent="0.3">
      <c r="A99" s="26">
        <v>46043</v>
      </c>
      <c r="B99" s="27" t="s">
        <v>4</v>
      </c>
      <c r="C99" s="24">
        <v>-391.34</v>
      </c>
    </row>
    <row r="100" spans="1:4" x14ac:dyDescent="0.3">
      <c r="A100" s="26">
        <v>46043</v>
      </c>
      <c r="B100" s="27" t="s">
        <v>1</v>
      </c>
      <c r="C100" s="24">
        <v>136.83000000000001</v>
      </c>
      <c r="D100" s="25">
        <v>-4</v>
      </c>
    </row>
    <row r="101" spans="1:4" x14ac:dyDescent="0.3">
      <c r="A101" s="26">
        <v>46050</v>
      </c>
      <c r="B101" s="27" t="s">
        <v>1</v>
      </c>
      <c r="C101" s="24">
        <v>46.79</v>
      </c>
    </row>
    <row r="102" spans="1:4" x14ac:dyDescent="0.3">
      <c r="A102" s="26">
        <v>46052</v>
      </c>
      <c r="B102" s="27" t="s">
        <v>4</v>
      </c>
      <c r="C102" s="24">
        <v>-136.83000000000001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A8C6E-D350-49E3-9543-2F19CEE57A00}">
  <sheetPr codeName="Hoja87"/>
  <dimension ref="A1:I165"/>
  <sheetViews>
    <sheetView view="pageBreakPreview" topLeftCell="A127" zoomScale="80" zoomScaleNormal="100" zoomScaleSheetLayoutView="80" workbookViewId="0">
      <selection activeCell="A166" sqref="A16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886718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64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84.270000000000437</v>
      </c>
      <c r="D3" s="20">
        <f>SUM(D$4:D$1048576)</f>
        <v>182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45813</v>
      </c>
      <c r="B5" s="31" t="s">
        <v>21</v>
      </c>
      <c r="C5" s="24">
        <v>509.2</v>
      </c>
      <c r="D5" s="30"/>
      <c r="E5" s="30"/>
      <c r="F5" s="30"/>
      <c r="G5" s="22"/>
    </row>
    <row r="6" spans="1:9" hidden="1" x14ac:dyDescent="0.3">
      <c r="A6" s="21">
        <v>45819</v>
      </c>
      <c r="B6" s="31" t="s">
        <v>4</v>
      </c>
      <c r="C6" s="24">
        <v>-371.12</v>
      </c>
    </row>
    <row r="7" spans="1:9" hidden="1" x14ac:dyDescent="0.3">
      <c r="A7" s="21">
        <v>45819</v>
      </c>
      <c r="B7" s="31" t="s">
        <v>4</v>
      </c>
      <c r="C7" s="24">
        <v>-138.04</v>
      </c>
    </row>
    <row r="8" spans="1:9" hidden="1" x14ac:dyDescent="0.3">
      <c r="A8" s="26">
        <v>45820</v>
      </c>
      <c r="B8" s="27" t="s">
        <v>1</v>
      </c>
      <c r="C8" s="24">
        <v>1089.8</v>
      </c>
    </row>
    <row r="9" spans="1:9" hidden="1" x14ac:dyDescent="0.3">
      <c r="A9" s="26">
        <v>45820</v>
      </c>
      <c r="B9" s="27" t="s">
        <v>1</v>
      </c>
      <c r="C9" s="24">
        <v>59.6</v>
      </c>
      <c r="I9" s="25"/>
    </row>
    <row r="10" spans="1:9" hidden="1" x14ac:dyDescent="0.3">
      <c r="A10" s="26">
        <v>45821</v>
      </c>
      <c r="B10" s="31" t="s">
        <v>4</v>
      </c>
      <c r="C10" s="24">
        <v>-494.65</v>
      </c>
    </row>
    <row r="11" spans="1:9" hidden="1" x14ac:dyDescent="0.3">
      <c r="A11" s="26">
        <v>45821</v>
      </c>
      <c r="B11" s="27" t="s">
        <v>4</v>
      </c>
      <c r="C11" s="24">
        <v>-593.58000000000004</v>
      </c>
    </row>
    <row r="12" spans="1:9" hidden="1" x14ac:dyDescent="0.3">
      <c r="A12" s="26">
        <v>45821</v>
      </c>
      <c r="B12" s="31" t="s">
        <v>4</v>
      </c>
      <c r="C12" s="24">
        <v>-61.15</v>
      </c>
    </row>
    <row r="13" spans="1:9" hidden="1" x14ac:dyDescent="0.3">
      <c r="A13" s="26">
        <v>45826</v>
      </c>
      <c r="B13" s="27" t="s">
        <v>1</v>
      </c>
      <c r="C13" s="24">
        <v>1198.5999999999999</v>
      </c>
    </row>
    <row r="14" spans="1:9" hidden="1" x14ac:dyDescent="0.3">
      <c r="A14" s="26">
        <v>45826</v>
      </c>
      <c r="B14" s="35" t="s">
        <v>1</v>
      </c>
      <c r="C14" s="24">
        <v>60.2</v>
      </c>
    </row>
    <row r="15" spans="1:9" hidden="1" x14ac:dyDescent="0.3">
      <c r="A15" s="26">
        <v>45828</v>
      </c>
      <c r="B15" s="27" t="s">
        <v>4</v>
      </c>
      <c r="C15" s="24">
        <v>-1258.46</v>
      </c>
    </row>
    <row r="16" spans="1:9" hidden="1" x14ac:dyDescent="0.3">
      <c r="A16" s="26">
        <v>45834</v>
      </c>
      <c r="B16" s="27" t="s">
        <v>4</v>
      </c>
      <c r="C16" s="24">
        <v>-1883.8</v>
      </c>
    </row>
    <row r="17" spans="1:4" hidden="1" x14ac:dyDescent="0.3">
      <c r="A17" s="26">
        <v>45834</v>
      </c>
      <c r="B17" s="27" t="s">
        <v>4</v>
      </c>
      <c r="C17" s="24">
        <v>-715.84</v>
      </c>
    </row>
    <row r="18" spans="1:4" hidden="1" x14ac:dyDescent="0.3">
      <c r="A18" s="26">
        <v>45834</v>
      </c>
      <c r="B18" s="27" t="s">
        <v>1</v>
      </c>
      <c r="C18" s="24">
        <v>2606.5</v>
      </c>
      <c r="D18" s="25">
        <v>58</v>
      </c>
    </row>
    <row r="19" spans="1:4" hidden="1" x14ac:dyDescent="0.3">
      <c r="A19" s="26">
        <v>45839</v>
      </c>
      <c r="B19" s="27" t="s">
        <v>4</v>
      </c>
      <c r="C19" s="24">
        <v>-7.26</v>
      </c>
    </row>
    <row r="20" spans="1:4" hidden="1" x14ac:dyDescent="0.3">
      <c r="A20" s="26">
        <v>45839</v>
      </c>
      <c r="B20" s="27" t="s">
        <v>22</v>
      </c>
      <c r="D20" s="25">
        <v>-39</v>
      </c>
    </row>
    <row r="21" spans="1:4" hidden="1" x14ac:dyDescent="0.3">
      <c r="A21" s="26">
        <v>45841</v>
      </c>
      <c r="B21" s="27" t="s">
        <v>22</v>
      </c>
      <c r="D21" s="25">
        <v>20</v>
      </c>
    </row>
    <row r="22" spans="1:4" hidden="1" x14ac:dyDescent="0.3">
      <c r="A22" s="26">
        <v>45848</v>
      </c>
      <c r="B22" s="50" t="s">
        <v>1</v>
      </c>
      <c r="C22" s="24">
        <v>56.58</v>
      </c>
    </row>
    <row r="23" spans="1:4" hidden="1" x14ac:dyDescent="0.3">
      <c r="A23" s="26">
        <v>45848</v>
      </c>
      <c r="B23" s="45" t="s">
        <v>1</v>
      </c>
      <c r="C23" s="24">
        <v>28.46</v>
      </c>
    </row>
    <row r="24" spans="1:4" hidden="1" x14ac:dyDescent="0.3">
      <c r="A24" s="26">
        <v>45848</v>
      </c>
      <c r="B24" s="27" t="s">
        <v>1</v>
      </c>
      <c r="C24" s="24">
        <v>1056.4000000000001</v>
      </c>
      <c r="D24" s="25">
        <v>-3</v>
      </c>
    </row>
    <row r="25" spans="1:4" hidden="1" x14ac:dyDescent="0.3">
      <c r="A25" s="26">
        <v>45848</v>
      </c>
      <c r="B25" s="35" t="s">
        <v>1</v>
      </c>
      <c r="C25" s="24">
        <v>38.5</v>
      </c>
    </row>
    <row r="26" spans="1:4" hidden="1" x14ac:dyDescent="0.3">
      <c r="A26" s="26">
        <v>45853</v>
      </c>
      <c r="B26" s="27" t="s">
        <v>4</v>
      </c>
      <c r="C26" s="24">
        <v>-880.49</v>
      </c>
    </row>
    <row r="27" spans="1:4" hidden="1" x14ac:dyDescent="0.3">
      <c r="A27" s="26">
        <v>45853</v>
      </c>
      <c r="B27" s="27" t="s">
        <v>4</v>
      </c>
      <c r="C27" s="24">
        <v>-241.7</v>
      </c>
    </row>
    <row r="28" spans="1:4" hidden="1" x14ac:dyDescent="0.3">
      <c r="A28" s="26">
        <v>45853</v>
      </c>
      <c r="B28" s="27" t="s">
        <v>1</v>
      </c>
      <c r="C28" s="24">
        <v>367.2</v>
      </c>
      <c r="D28" s="25">
        <v>-30</v>
      </c>
    </row>
    <row r="29" spans="1:4" hidden="1" x14ac:dyDescent="0.3">
      <c r="A29" s="26">
        <v>45854</v>
      </c>
      <c r="B29" s="27" t="s">
        <v>4</v>
      </c>
      <c r="C29" s="24">
        <v>-424.92</v>
      </c>
    </row>
    <row r="30" spans="1:4" hidden="1" x14ac:dyDescent="0.3">
      <c r="A30" s="26">
        <v>45858</v>
      </c>
      <c r="B30" s="27" t="s">
        <v>4</v>
      </c>
      <c r="C30" s="24">
        <v>-119</v>
      </c>
    </row>
    <row r="31" spans="1:4" hidden="1" x14ac:dyDescent="0.3">
      <c r="A31" s="26">
        <v>45856</v>
      </c>
      <c r="B31" s="27" t="s">
        <v>1</v>
      </c>
      <c r="C31" s="24">
        <v>119</v>
      </c>
    </row>
    <row r="32" spans="1:4" hidden="1" x14ac:dyDescent="0.3">
      <c r="A32" s="26">
        <v>45861</v>
      </c>
      <c r="B32" s="27" t="s">
        <v>4</v>
      </c>
      <c r="C32" s="24">
        <v>-581.28</v>
      </c>
    </row>
    <row r="33" spans="1:4" hidden="1" x14ac:dyDescent="0.3">
      <c r="A33" s="26">
        <v>45861</v>
      </c>
      <c r="B33" s="27" t="s">
        <v>4</v>
      </c>
      <c r="C33" s="24">
        <v>-679.58</v>
      </c>
    </row>
    <row r="34" spans="1:4" hidden="1" x14ac:dyDescent="0.3">
      <c r="A34" s="26">
        <v>45862</v>
      </c>
      <c r="B34" s="27" t="s">
        <v>1</v>
      </c>
      <c r="C34" s="24">
        <v>1260.9000000000001</v>
      </c>
      <c r="D34" s="25">
        <v>-6</v>
      </c>
    </row>
    <row r="35" spans="1:4" hidden="1" x14ac:dyDescent="0.3">
      <c r="A35" s="26">
        <v>45877</v>
      </c>
      <c r="B35" s="27" t="s">
        <v>4</v>
      </c>
      <c r="C35" s="24">
        <v>-445.93</v>
      </c>
    </row>
    <row r="36" spans="1:4" hidden="1" x14ac:dyDescent="0.3">
      <c r="A36" s="26">
        <v>45877</v>
      </c>
      <c r="B36" s="27" t="s">
        <v>1</v>
      </c>
      <c r="C36" s="24">
        <v>580.6</v>
      </c>
    </row>
    <row r="37" spans="1:4" hidden="1" x14ac:dyDescent="0.3">
      <c r="A37" s="26">
        <v>45880</v>
      </c>
      <c r="B37" s="27" t="s">
        <v>4</v>
      </c>
      <c r="C37" s="24">
        <v>-122.02</v>
      </c>
    </row>
    <row r="38" spans="1:4" hidden="1" x14ac:dyDescent="0.3">
      <c r="A38" s="26">
        <v>45883</v>
      </c>
      <c r="B38" s="27" t="s">
        <v>1</v>
      </c>
      <c r="C38" s="24">
        <v>1183.4000000000001</v>
      </c>
    </row>
    <row r="39" spans="1:4" hidden="1" x14ac:dyDescent="0.3">
      <c r="A39" s="26">
        <v>45883</v>
      </c>
      <c r="B39" s="35" t="s">
        <v>1</v>
      </c>
      <c r="C39" s="24">
        <v>39.200000000000003</v>
      </c>
    </row>
    <row r="40" spans="1:4" hidden="1" x14ac:dyDescent="0.3">
      <c r="A40" s="26">
        <v>45888</v>
      </c>
      <c r="B40" s="27" t="s">
        <v>4</v>
      </c>
      <c r="C40" s="24">
        <v>-1158.3399999999999</v>
      </c>
    </row>
    <row r="41" spans="1:4" hidden="1" x14ac:dyDescent="0.3">
      <c r="A41" s="26">
        <v>45889</v>
      </c>
      <c r="B41" s="27" t="s">
        <v>4</v>
      </c>
      <c r="C41" s="24">
        <v>-108.59</v>
      </c>
    </row>
    <row r="42" spans="1:4" hidden="1" x14ac:dyDescent="0.3">
      <c r="A42" s="26">
        <v>45889</v>
      </c>
      <c r="B42" s="27" t="s">
        <v>1</v>
      </c>
      <c r="C42" s="24">
        <v>1681.9</v>
      </c>
    </row>
    <row r="43" spans="1:4" hidden="1" x14ac:dyDescent="0.3">
      <c r="A43" s="26">
        <v>45889</v>
      </c>
      <c r="B43" s="35" t="s">
        <v>1</v>
      </c>
      <c r="C43" s="24">
        <v>28.35</v>
      </c>
    </row>
    <row r="44" spans="1:4" hidden="1" x14ac:dyDescent="0.3">
      <c r="A44" s="26">
        <v>45890</v>
      </c>
      <c r="B44" s="27" t="s">
        <v>4</v>
      </c>
      <c r="C44" s="24">
        <v>-860.82</v>
      </c>
    </row>
    <row r="45" spans="1:4" hidden="1" x14ac:dyDescent="0.3">
      <c r="A45" s="26">
        <v>45894</v>
      </c>
      <c r="B45" s="27" t="s">
        <v>4</v>
      </c>
      <c r="C45" s="24">
        <v>-313.64</v>
      </c>
    </row>
    <row r="46" spans="1:4" hidden="1" x14ac:dyDescent="0.3">
      <c r="A46" s="26">
        <v>45895</v>
      </c>
      <c r="B46" s="27" t="s">
        <v>4</v>
      </c>
      <c r="C46" s="24">
        <v>-504.15</v>
      </c>
    </row>
    <row r="47" spans="1:4" hidden="1" x14ac:dyDescent="0.3">
      <c r="A47" s="26">
        <v>45895</v>
      </c>
      <c r="B47" s="27" t="s">
        <v>1</v>
      </c>
      <c r="C47" s="24">
        <v>1656.8</v>
      </c>
      <c r="D47" s="25">
        <v>7</v>
      </c>
    </row>
    <row r="48" spans="1:4" hidden="1" x14ac:dyDescent="0.3">
      <c r="A48" s="26">
        <v>45897</v>
      </c>
      <c r="B48" s="27" t="s">
        <v>1</v>
      </c>
      <c r="C48" s="24">
        <v>441.2</v>
      </c>
      <c r="D48" s="25">
        <f>14-6</f>
        <v>8</v>
      </c>
    </row>
    <row r="49" spans="1:4" hidden="1" x14ac:dyDescent="0.3">
      <c r="A49" s="26">
        <v>45900</v>
      </c>
      <c r="B49" s="27" t="s">
        <v>4</v>
      </c>
      <c r="C49" s="24">
        <v>-202.1</v>
      </c>
    </row>
    <row r="50" spans="1:4" hidden="1" x14ac:dyDescent="0.3">
      <c r="A50" s="26">
        <v>45902</v>
      </c>
      <c r="B50" s="27" t="s">
        <v>4</v>
      </c>
      <c r="C50" s="24">
        <v>-1715.32</v>
      </c>
    </row>
    <row r="51" spans="1:4" hidden="1" x14ac:dyDescent="0.3">
      <c r="A51" s="26">
        <v>45903</v>
      </c>
      <c r="B51" s="45" t="s">
        <v>1</v>
      </c>
      <c r="C51" s="24">
        <v>30.48</v>
      </c>
    </row>
    <row r="52" spans="1:4" hidden="1" x14ac:dyDescent="0.3">
      <c r="A52" s="26">
        <v>45904</v>
      </c>
      <c r="B52" s="27" t="s">
        <v>4</v>
      </c>
      <c r="C52" s="24">
        <v>-211.09</v>
      </c>
    </row>
    <row r="53" spans="1:4" hidden="1" x14ac:dyDescent="0.3">
      <c r="A53" s="26">
        <v>45904</v>
      </c>
      <c r="B53" s="27" t="s">
        <v>1</v>
      </c>
      <c r="C53" s="24">
        <v>1325.3</v>
      </c>
      <c r="D53" s="25">
        <f>-15+18</f>
        <v>3</v>
      </c>
    </row>
    <row r="54" spans="1:4" hidden="1" x14ac:dyDescent="0.3">
      <c r="A54" s="26">
        <v>45904</v>
      </c>
      <c r="B54" s="35" t="s">
        <v>1</v>
      </c>
      <c r="C54" s="24">
        <v>36.299999999999997</v>
      </c>
    </row>
    <row r="55" spans="1:4" hidden="1" x14ac:dyDescent="0.3">
      <c r="A55" s="26">
        <v>45908</v>
      </c>
      <c r="B55" s="27" t="s">
        <v>4</v>
      </c>
      <c r="C55" s="24">
        <v>-1090.83</v>
      </c>
    </row>
    <row r="56" spans="1:4" hidden="1" x14ac:dyDescent="0.3">
      <c r="A56" s="26">
        <v>45909</v>
      </c>
      <c r="B56" s="27" t="s">
        <v>4</v>
      </c>
      <c r="C56" s="24">
        <v>-261.74</v>
      </c>
    </row>
    <row r="57" spans="1:4" hidden="1" x14ac:dyDescent="0.3">
      <c r="A57" s="26">
        <v>45911</v>
      </c>
      <c r="B57" s="27" t="s">
        <v>1</v>
      </c>
      <c r="C57" s="24">
        <v>1644.6</v>
      </c>
    </row>
    <row r="58" spans="1:4" hidden="1" x14ac:dyDescent="0.3">
      <c r="A58" s="26">
        <v>45911</v>
      </c>
      <c r="B58" s="35" t="s">
        <v>1</v>
      </c>
      <c r="C58" s="24">
        <v>57.7</v>
      </c>
    </row>
    <row r="59" spans="1:4" hidden="1" x14ac:dyDescent="0.3">
      <c r="A59" s="26">
        <v>45912</v>
      </c>
      <c r="B59" s="27" t="s">
        <v>4</v>
      </c>
      <c r="C59" s="24">
        <v>-1573.03</v>
      </c>
    </row>
    <row r="60" spans="1:4" hidden="1" x14ac:dyDescent="0.3">
      <c r="A60" s="26">
        <v>45915</v>
      </c>
      <c r="B60" s="27" t="s">
        <v>4</v>
      </c>
      <c r="C60" s="24">
        <v>-129.29</v>
      </c>
    </row>
    <row r="61" spans="1:4" hidden="1" x14ac:dyDescent="0.3">
      <c r="A61" s="26">
        <v>45916</v>
      </c>
      <c r="B61" s="27" t="s">
        <v>4</v>
      </c>
      <c r="C61" s="24">
        <v>-1622.52</v>
      </c>
    </row>
    <row r="62" spans="1:4" hidden="1" x14ac:dyDescent="0.3">
      <c r="A62" s="26">
        <v>45916</v>
      </c>
      <c r="B62" s="27" t="s">
        <v>1</v>
      </c>
      <c r="C62" s="24">
        <v>1613.5</v>
      </c>
      <c r="D62" s="25">
        <v>-9</v>
      </c>
    </row>
    <row r="63" spans="1:4" hidden="1" x14ac:dyDescent="0.3">
      <c r="A63" s="26">
        <v>45919</v>
      </c>
      <c r="B63" s="27" t="s">
        <v>1</v>
      </c>
      <c r="C63" s="24">
        <v>728</v>
      </c>
      <c r="D63" s="25">
        <f>35+5</f>
        <v>40</v>
      </c>
    </row>
    <row r="64" spans="1:4" hidden="1" x14ac:dyDescent="0.3">
      <c r="A64" s="26">
        <v>45922</v>
      </c>
      <c r="B64" s="27" t="s">
        <v>4</v>
      </c>
      <c r="C64" s="24">
        <v>-727.99</v>
      </c>
    </row>
    <row r="65" spans="1:4" hidden="1" x14ac:dyDescent="0.3">
      <c r="A65" s="26">
        <v>45923</v>
      </c>
      <c r="B65" s="27" t="s">
        <v>4</v>
      </c>
      <c r="C65" s="24">
        <v>-1602.75</v>
      </c>
    </row>
    <row r="66" spans="1:4" hidden="1" x14ac:dyDescent="0.3">
      <c r="A66" s="26">
        <v>45923</v>
      </c>
      <c r="B66" s="27" t="s">
        <v>1</v>
      </c>
      <c r="C66" s="24">
        <v>1602.8</v>
      </c>
    </row>
    <row r="67" spans="1:4" hidden="1" x14ac:dyDescent="0.3">
      <c r="A67" s="26">
        <v>45926</v>
      </c>
      <c r="B67" s="27" t="s">
        <v>1</v>
      </c>
      <c r="C67" s="24">
        <v>702.4</v>
      </c>
    </row>
    <row r="68" spans="1:4" hidden="1" x14ac:dyDescent="0.3">
      <c r="A68" s="26">
        <v>45929</v>
      </c>
      <c r="B68" s="27" t="s">
        <v>4</v>
      </c>
      <c r="C68" s="24">
        <v>-702.37</v>
      </c>
    </row>
    <row r="69" spans="1:4" hidden="1" x14ac:dyDescent="0.3">
      <c r="A69" s="26">
        <v>45929</v>
      </c>
      <c r="B69" s="27" t="s">
        <v>4</v>
      </c>
      <c r="C69" s="24">
        <v>-15.24</v>
      </c>
    </row>
    <row r="70" spans="1:4" hidden="1" x14ac:dyDescent="0.3">
      <c r="A70" s="26">
        <v>45926</v>
      </c>
      <c r="B70" s="45" t="s">
        <v>1</v>
      </c>
      <c r="C70" s="24">
        <v>15.24</v>
      </c>
    </row>
    <row r="71" spans="1:4" hidden="1" x14ac:dyDescent="0.3">
      <c r="A71" s="26">
        <v>45931</v>
      </c>
      <c r="B71" s="27" t="s">
        <v>1</v>
      </c>
      <c r="C71" s="24">
        <v>1245.4000000000001</v>
      </c>
    </row>
    <row r="72" spans="1:4" hidden="1" x14ac:dyDescent="0.3">
      <c r="A72" s="26">
        <v>45931</v>
      </c>
      <c r="B72" s="35" t="s">
        <v>1</v>
      </c>
      <c r="C72" s="24">
        <v>94.4</v>
      </c>
    </row>
    <row r="73" spans="1:4" hidden="1" x14ac:dyDescent="0.3">
      <c r="A73" s="26">
        <v>45933</v>
      </c>
      <c r="B73" s="27" t="s">
        <v>4</v>
      </c>
      <c r="C73" s="24">
        <v>-1339.8</v>
      </c>
    </row>
    <row r="74" spans="1:4" hidden="1" x14ac:dyDescent="0.3">
      <c r="A74" s="26">
        <v>45937</v>
      </c>
      <c r="B74" s="27" t="s">
        <v>4</v>
      </c>
      <c r="C74" s="24">
        <v>-1966.81</v>
      </c>
    </row>
    <row r="75" spans="1:4" hidden="1" x14ac:dyDescent="0.3">
      <c r="A75" s="26">
        <v>45937</v>
      </c>
      <c r="B75" s="27" t="s">
        <v>1</v>
      </c>
      <c r="C75" s="24">
        <v>1942.62</v>
      </c>
      <c r="D75" s="25">
        <v>-35</v>
      </c>
    </row>
    <row r="76" spans="1:4" hidden="1" x14ac:dyDescent="0.3">
      <c r="A76" s="26">
        <v>45937</v>
      </c>
      <c r="B76" s="35" t="s">
        <v>1</v>
      </c>
      <c r="C76" s="24">
        <v>24.2</v>
      </c>
    </row>
    <row r="77" spans="1:4" hidden="1" x14ac:dyDescent="0.3">
      <c r="A77" s="26">
        <v>45940</v>
      </c>
      <c r="B77" s="27" t="s">
        <v>1</v>
      </c>
      <c r="C77" s="24">
        <v>1055.9000000000001</v>
      </c>
      <c r="D77" s="25">
        <v>25</v>
      </c>
    </row>
    <row r="78" spans="1:4" hidden="1" x14ac:dyDescent="0.3">
      <c r="A78" s="26">
        <v>45942</v>
      </c>
      <c r="B78" s="27" t="s">
        <v>4</v>
      </c>
      <c r="C78" s="24">
        <v>-1055</v>
      </c>
    </row>
    <row r="79" spans="1:4" hidden="1" x14ac:dyDescent="0.3">
      <c r="A79" s="26">
        <v>45944</v>
      </c>
      <c r="B79" s="27" t="s">
        <v>4</v>
      </c>
      <c r="C79" s="24">
        <v>-2123.9899999999998</v>
      </c>
    </row>
    <row r="80" spans="1:4" hidden="1" x14ac:dyDescent="0.3">
      <c r="A80" s="26">
        <v>45944</v>
      </c>
      <c r="B80" s="27" t="s">
        <v>1</v>
      </c>
      <c r="C80" s="24">
        <v>2058.5300000000002</v>
      </c>
      <c r="D80" s="25">
        <v>14</v>
      </c>
    </row>
    <row r="81" spans="1:4" hidden="1" x14ac:dyDescent="0.3">
      <c r="A81" s="26">
        <v>45944</v>
      </c>
      <c r="B81" s="35" t="s">
        <v>1</v>
      </c>
      <c r="C81" s="24">
        <v>65.459999999999994</v>
      </c>
    </row>
    <row r="82" spans="1:4" hidden="1" x14ac:dyDescent="0.3">
      <c r="A82" s="26">
        <v>45951</v>
      </c>
      <c r="B82" s="27" t="s">
        <v>4</v>
      </c>
      <c r="C82" s="24">
        <v>-1144.82</v>
      </c>
    </row>
    <row r="83" spans="1:4" hidden="1" x14ac:dyDescent="0.3">
      <c r="A83" s="26">
        <v>45951</v>
      </c>
      <c r="B83" s="27" t="s">
        <v>4</v>
      </c>
      <c r="C83" s="24">
        <v>-735.95</v>
      </c>
    </row>
    <row r="84" spans="1:4" hidden="1" x14ac:dyDescent="0.3">
      <c r="A84" s="26">
        <v>45951</v>
      </c>
      <c r="B84" s="27" t="s">
        <v>1</v>
      </c>
      <c r="C84" s="24">
        <v>2028.47</v>
      </c>
    </row>
    <row r="85" spans="1:4" hidden="1" x14ac:dyDescent="0.3">
      <c r="A85" s="26">
        <v>45951</v>
      </c>
      <c r="B85" s="35" t="s">
        <v>1</v>
      </c>
      <c r="C85" s="24">
        <v>46</v>
      </c>
    </row>
    <row r="86" spans="1:4" hidden="1" x14ac:dyDescent="0.3">
      <c r="A86" s="26">
        <v>45954</v>
      </c>
      <c r="B86" s="27" t="s">
        <v>4</v>
      </c>
      <c r="C86" s="24">
        <v>-153.29</v>
      </c>
    </row>
    <row r="87" spans="1:4" hidden="1" x14ac:dyDescent="0.3">
      <c r="A87" s="26">
        <v>45954</v>
      </c>
      <c r="B87" s="27" t="s">
        <v>1</v>
      </c>
      <c r="C87" s="24">
        <v>1104</v>
      </c>
      <c r="D87" s="25">
        <v>-14</v>
      </c>
    </row>
    <row r="88" spans="1:4" hidden="1" x14ac:dyDescent="0.3">
      <c r="A88" s="26">
        <v>45957</v>
      </c>
      <c r="B88" s="27" t="s">
        <v>4</v>
      </c>
      <c r="C88" s="24">
        <v>-637.79</v>
      </c>
    </row>
    <row r="89" spans="1:4" hidden="1" x14ac:dyDescent="0.3">
      <c r="A89" s="26">
        <v>45957</v>
      </c>
      <c r="B89" s="27" t="s">
        <v>4</v>
      </c>
      <c r="C89" s="24">
        <v>-383.6</v>
      </c>
    </row>
    <row r="90" spans="1:4" hidden="1" x14ac:dyDescent="0.3">
      <c r="A90" s="26">
        <v>45959</v>
      </c>
      <c r="B90" s="27" t="s">
        <v>4</v>
      </c>
      <c r="C90" s="24">
        <v>-1951.63</v>
      </c>
    </row>
    <row r="91" spans="1:4" hidden="1" x14ac:dyDescent="0.3">
      <c r="A91" s="26">
        <v>45959</v>
      </c>
      <c r="B91" s="27" t="s">
        <v>1</v>
      </c>
      <c r="C91" s="24">
        <v>1827.65</v>
      </c>
      <c r="D91" s="25">
        <v>-4</v>
      </c>
    </row>
    <row r="92" spans="1:4" hidden="1" x14ac:dyDescent="0.3">
      <c r="A92" s="26">
        <v>45960</v>
      </c>
      <c r="B92" s="27" t="s">
        <v>1</v>
      </c>
      <c r="C92" s="24">
        <v>805</v>
      </c>
      <c r="D92" s="25">
        <v>28</v>
      </c>
    </row>
    <row r="93" spans="1:4" hidden="1" x14ac:dyDescent="0.3">
      <c r="A93" s="26">
        <v>45964</v>
      </c>
      <c r="B93" s="27" t="s">
        <v>4</v>
      </c>
      <c r="C93" s="24">
        <v>-803.71</v>
      </c>
    </row>
    <row r="94" spans="1:4" hidden="1" x14ac:dyDescent="0.3">
      <c r="A94" s="26">
        <v>45967</v>
      </c>
      <c r="B94" s="27" t="s">
        <v>4</v>
      </c>
      <c r="C94" s="24">
        <v>-1318.35</v>
      </c>
    </row>
    <row r="95" spans="1:4" hidden="1" x14ac:dyDescent="0.3">
      <c r="A95" s="26">
        <v>45967</v>
      </c>
      <c r="B95" s="27" t="s">
        <v>4</v>
      </c>
      <c r="C95" s="24">
        <v>-972.61</v>
      </c>
    </row>
    <row r="96" spans="1:4" hidden="1" x14ac:dyDescent="0.3">
      <c r="A96" s="26">
        <v>45967</v>
      </c>
      <c r="B96" s="27" t="s">
        <v>1</v>
      </c>
      <c r="C96" s="24">
        <v>2289.65</v>
      </c>
      <c r="D96" s="25">
        <v>23</v>
      </c>
    </row>
    <row r="97" spans="1:4" hidden="1" x14ac:dyDescent="0.3">
      <c r="A97" s="26">
        <v>45971</v>
      </c>
      <c r="B97" s="27" t="s">
        <v>4</v>
      </c>
      <c r="C97" s="24">
        <v>-1379.96</v>
      </c>
    </row>
    <row r="98" spans="1:4" hidden="1" x14ac:dyDescent="0.3">
      <c r="A98" s="26">
        <v>45972</v>
      </c>
      <c r="B98" s="27" t="s">
        <v>4</v>
      </c>
      <c r="C98" s="24">
        <v>-556.76</v>
      </c>
    </row>
    <row r="99" spans="1:4" hidden="1" x14ac:dyDescent="0.3">
      <c r="A99" s="26">
        <v>45972</v>
      </c>
      <c r="B99" s="27" t="s">
        <v>1</v>
      </c>
      <c r="C99" s="24">
        <v>1933.72</v>
      </c>
      <c r="D99" s="25">
        <v>-24</v>
      </c>
    </row>
    <row r="100" spans="1:4" hidden="1" x14ac:dyDescent="0.3">
      <c r="A100" s="26">
        <v>45975</v>
      </c>
      <c r="B100" s="27" t="s">
        <v>1</v>
      </c>
      <c r="C100" s="24">
        <v>800.92</v>
      </c>
      <c r="D100" s="25">
        <v>-9</v>
      </c>
    </row>
    <row r="101" spans="1:4" hidden="1" x14ac:dyDescent="0.3">
      <c r="A101" s="26">
        <v>45976</v>
      </c>
      <c r="B101" s="27" t="s">
        <v>4</v>
      </c>
      <c r="C101" s="24">
        <v>-800.92</v>
      </c>
    </row>
    <row r="102" spans="1:4" hidden="1" x14ac:dyDescent="0.3">
      <c r="A102" s="26">
        <v>45979</v>
      </c>
      <c r="B102" s="27" t="s">
        <v>4</v>
      </c>
      <c r="C102" s="24">
        <v>-743.12</v>
      </c>
    </row>
    <row r="103" spans="1:4" hidden="1" x14ac:dyDescent="0.3">
      <c r="A103" s="26">
        <v>45979</v>
      </c>
      <c r="B103" s="27" t="s">
        <v>4</v>
      </c>
      <c r="C103" s="24">
        <v>-510.9</v>
      </c>
    </row>
    <row r="104" spans="1:4" hidden="1" x14ac:dyDescent="0.3">
      <c r="A104" s="26">
        <v>45979</v>
      </c>
      <c r="B104" s="27" t="s">
        <v>1</v>
      </c>
      <c r="C104" s="24">
        <v>1830.12</v>
      </c>
      <c r="D104" s="25">
        <v>-8</v>
      </c>
    </row>
    <row r="105" spans="1:4" hidden="1" x14ac:dyDescent="0.3">
      <c r="A105" s="26">
        <v>45980</v>
      </c>
      <c r="B105" s="27" t="s">
        <v>4</v>
      </c>
      <c r="C105" s="24">
        <v>-576.05999999999995</v>
      </c>
    </row>
    <row r="106" spans="1:4" hidden="1" x14ac:dyDescent="0.3">
      <c r="A106" s="26">
        <v>45980</v>
      </c>
      <c r="B106" s="27" t="s">
        <v>4</v>
      </c>
      <c r="C106" s="24">
        <v>-920</v>
      </c>
    </row>
    <row r="107" spans="1:4" hidden="1" x14ac:dyDescent="0.3">
      <c r="A107" s="26">
        <v>45982</v>
      </c>
      <c r="B107" s="27" t="s">
        <v>1</v>
      </c>
      <c r="C107" s="24">
        <v>460</v>
      </c>
    </row>
    <row r="108" spans="1:4" hidden="1" x14ac:dyDescent="0.3">
      <c r="A108" s="26">
        <v>45986</v>
      </c>
      <c r="B108" s="27" t="s">
        <v>1</v>
      </c>
      <c r="C108" s="24">
        <v>1730.21</v>
      </c>
      <c r="D108" s="25">
        <v>36</v>
      </c>
    </row>
    <row r="109" spans="1:4" hidden="1" x14ac:dyDescent="0.3">
      <c r="A109" s="26">
        <v>45987</v>
      </c>
      <c r="B109" s="27" t="s">
        <v>4</v>
      </c>
      <c r="C109" s="24">
        <v>-1267.25</v>
      </c>
    </row>
    <row r="110" spans="1:4" x14ac:dyDescent="0.3">
      <c r="A110" s="26">
        <v>45989</v>
      </c>
      <c r="B110" s="27" t="s">
        <v>1</v>
      </c>
      <c r="C110" s="24">
        <v>1643.39</v>
      </c>
      <c r="D110" s="25">
        <v>28</v>
      </c>
    </row>
    <row r="111" spans="1:4" x14ac:dyDescent="0.3">
      <c r="A111" s="26">
        <v>45989</v>
      </c>
      <c r="B111" s="27" t="s">
        <v>1</v>
      </c>
      <c r="C111" s="24">
        <v>68</v>
      </c>
    </row>
    <row r="112" spans="1:4" x14ac:dyDescent="0.3">
      <c r="A112" s="26">
        <v>45989</v>
      </c>
      <c r="B112" s="27" t="s">
        <v>503</v>
      </c>
      <c r="C112" s="24">
        <v>-22.8</v>
      </c>
    </row>
    <row r="113" spans="1:4" x14ac:dyDescent="0.3">
      <c r="A113" s="26">
        <v>45992</v>
      </c>
      <c r="B113" s="27" t="s">
        <v>4</v>
      </c>
      <c r="C113" s="24">
        <v>-1711.38</v>
      </c>
    </row>
    <row r="114" spans="1:4" x14ac:dyDescent="0.3">
      <c r="A114" s="26">
        <v>45993</v>
      </c>
      <c r="B114" s="27" t="s">
        <v>1</v>
      </c>
      <c r="C114" s="24">
        <v>3067.95</v>
      </c>
      <c r="D114" s="25">
        <f>135-107+20</f>
        <v>48</v>
      </c>
    </row>
    <row r="115" spans="1:4" x14ac:dyDescent="0.3">
      <c r="A115" s="26">
        <v>45995</v>
      </c>
      <c r="B115" s="27" t="s">
        <v>4</v>
      </c>
      <c r="C115" s="24">
        <v>-1985.02</v>
      </c>
    </row>
    <row r="116" spans="1:4" x14ac:dyDescent="0.3">
      <c r="A116" s="26">
        <v>45995</v>
      </c>
      <c r="B116" s="27" t="s">
        <v>4</v>
      </c>
      <c r="C116" s="24">
        <v>-397</v>
      </c>
    </row>
    <row r="117" spans="1:4" x14ac:dyDescent="0.3">
      <c r="A117" s="26">
        <v>45995</v>
      </c>
      <c r="B117" s="27" t="s">
        <v>4</v>
      </c>
      <c r="C117" s="24">
        <v>-397</v>
      </c>
    </row>
    <row r="118" spans="1:4" x14ac:dyDescent="0.3">
      <c r="A118" s="26">
        <v>45995</v>
      </c>
      <c r="B118" s="27" t="s">
        <v>4</v>
      </c>
      <c r="C118" s="24">
        <v>-285.83999999999997</v>
      </c>
    </row>
    <row r="119" spans="1:4" x14ac:dyDescent="0.3">
      <c r="A119" s="26">
        <v>45998</v>
      </c>
      <c r="B119" s="27" t="s">
        <v>4</v>
      </c>
      <c r="C119" s="24">
        <v>-423.74</v>
      </c>
    </row>
    <row r="120" spans="1:4" x14ac:dyDescent="0.3">
      <c r="A120" s="26">
        <v>45996</v>
      </c>
      <c r="B120" s="27" t="s">
        <v>1</v>
      </c>
      <c r="C120" s="24">
        <v>460</v>
      </c>
      <c r="D120" s="25">
        <f>18+3</f>
        <v>21</v>
      </c>
    </row>
    <row r="121" spans="1:4" x14ac:dyDescent="0.3">
      <c r="A121" s="26">
        <v>45999</v>
      </c>
      <c r="B121" s="27" t="s">
        <v>4</v>
      </c>
      <c r="C121" s="24">
        <v>-5.75</v>
      </c>
    </row>
    <row r="122" spans="1:4" x14ac:dyDescent="0.3">
      <c r="A122" s="26">
        <v>45999</v>
      </c>
      <c r="B122" s="27" t="s">
        <v>4</v>
      </c>
      <c r="C122" s="24">
        <v>-1938.32</v>
      </c>
    </row>
    <row r="123" spans="1:4" x14ac:dyDescent="0.3">
      <c r="A123" s="26">
        <v>45999</v>
      </c>
      <c r="B123" s="27" t="s">
        <v>4</v>
      </c>
      <c r="C123" s="24">
        <v>-1938.32</v>
      </c>
    </row>
    <row r="124" spans="1:4" x14ac:dyDescent="0.3">
      <c r="A124" s="26">
        <v>45999</v>
      </c>
      <c r="B124" s="27" t="s">
        <v>4</v>
      </c>
      <c r="C124" s="24">
        <v>-1867.02</v>
      </c>
    </row>
    <row r="125" spans="1:4" x14ac:dyDescent="0.3">
      <c r="A125" s="26">
        <v>46000</v>
      </c>
      <c r="B125" s="27" t="s">
        <v>1</v>
      </c>
      <c r="C125" s="24">
        <v>4196.34</v>
      </c>
      <c r="D125" s="25">
        <v>56</v>
      </c>
    </row>
    <row r="126" spans="1:4" x14ac:dyDescent="0.3">
      <c r="A126" s="26">
        <v>46003</v>
      </c>
      <c r="B126" s="27" t="s">
        <v>4</v>
      </c>
      <c r="C126" s="24">
        <v>-251.99</v>
      </c>
    </row>
    <row r="127" spans="1:4" x14ac:dyDescent="0.3">
      <c r="A127" s="26">
        <v>46003</v>
      </c>
      <c r="B127" s="27" t="s">
        <v>1</v>
      </c>
      <c r="C127" s="24">
        <v>1787.8</v>
      </c>
      <c r="D127" s="25">
        <v>35</v>
      </c>
    </row>
    <row r="128" spans="1:4" x14ac:dyDescent="0.3">
      <c r="A128" s="26">
        <v>46003</v>
      </c>
      <c r="B128" s="27" t="s">
        <v>1</v>
      </c>
      <c r="C128" s="24">
        <v>49.14</v>
      </c>
    </row>
    <row r="129" spans="1:4" x14ac:dyDescent="0.3">
      <c r="A129" s="26">
        <v>46007</v>
      </c>
      <c r="B129" s="27" t="s">
        <v>1</v>
      </c>
      <c r="C129" s="24">
        <v>3092.92</v>
      </c>
      <c r="D129" s="25">
        <v>25</v>
      </c>
    </row>
    <row r="130" spans="1:4" x14ac:dyDescent="0.3">
      <c r="A130" s="26">
        <v>46008</v>
      </c>
      <c r="B130" s="27" t="s">
        <v>4</v>
      </c>
      <c r="C130" s="24">
        <v>-1446.25</v>
      </c>
    </row>
    <row r="131" spans="1:4" x14ac:dyDescent="0.3">
      <c r="A131" s="26">
        <v>46008</v>
      </c>
      <c r="B131" s="27" t="s">
        <v>4</v>
      </c>
      <c r="C131" s="24">
        <v>-632.74</v>
      </c>
    </row>
    <row r="132" spans="1:4" x14ac:dyDescent="0.3">
      <c r="A132" s="26">
        <v>46008</v>
      </c>
      <c r="B132" s="27" t="s">
        <v>4</v>
      </c>
      <c r="C132" s="24">
        <v>-1013.85</v>
      </c>
    </row>
    <row r="133" spans="1:4" x14ac:dyDescent="0.3">
      <c r="A133" s="26">
        <v>46010</v>
      </c>
      <c r="B133" s="27" t="s">
        <v>1</v>
      </c>
      <c r="C133" s="24">
        <v>621</v>
      </c>
    </row>
    <row r="134" spans="1:4" x14ac:dyDescent="0.3">
      <c r="A134" s="26">
        <v>46010</v>
      </c>
      <c r="B134" s="27" t="s">
        <v>1</v>
      </c>
      <c r="C134" s="24">
        <v>25.4</v>
      </c>
    </row>
    <row r="135" spans="1:4" x14ac:dyDescent="0.3">
      <c r="A135" s="26">
        <v>46013</v>
      </c>
      <c r="B135" s="27" t="s">
        <v>4</v>
      </c>
      <c r="C135" s="24">
        <v>-646.39</v>
      </c>
    </row>
    <row r="136" spans="1:4" x14ac:dyDescent="0.3">
      <c r="A136" s="26">
        <v>46013</v>
      </c>
      <c r="B136" s="27" t="s">
        <v>4</v>
      </c>
      <c r="C136" s="24">
        <v>-3293.6</v>
      </c>
    </row>
    <row r="137" spans="1:4" x14ac:dyDescent="0.3">
      <c r="A137" s="26">
        <v>46013</v>
      </c>
      <c r="B137" s="27" t="s">
        <v>4</v>
      </c>
      <c r="C137" s="24">
        <v>-700.76</v>
      </c>
    </row>
    <row r="138" spans="1:4" x14ac:dyDescent="0.3">
      <c r="A138" s="26">
        <v>46013</v>
      </c>
      <c r="B138" s="27" t="s">
        <v>1</v>
      </c>
      <c r="C138" s="24">
        <v>9187.65</v>
      </c>
      <c r="D138" s="25">
        <v>307</v>
      </c>
    </row>
    <row r="139" spans="1:4" x14ac:dyDescent="0.3">
      <c r="A139" s="26">
        <v>46014</v>
      </c>
      <c r="B139" s="27" t="s">
        <v>4</v>
      </c>
      <c r="C139" s="24">
        <v>-1976.08</v>
      </c>
    </row>
    <row r="140" spans="1:4" x14ac:dyDescent="0.3">
      <c r="A140" s="26">
        <v>46014</v>
      </c>
      <c r="B140" s="27" t="s">
        <v>1</v>
      </c>
      <c r="C140" s="24">
        <v>460</v>
      </c>
      <c r="D140" s="25">
        <v>8</v>
      </c>
    </row>
    <row r="141" spans="1:4" x14ac:dyDescent="0.3">
      <c r="A141" s="26">
        <v>46015</v>
      </c>
      <c r="B141" s="27" t="s">
        <v>4</v>
      </c>
      <c r="C141" s="24">
        <v>-380.98</v>
      </c>
    </row>
    <row r="142" spans="1:4" x14ac:dyDescent="0.3">
      <c r="A142" s="26">
        <v>46017</v>
      </c>
      <c r="B142" s="27" t="s">
        <v>4</v>
      </c>
      <c r="C142" s="24">
        <v>-384.41</v>
      </c>
    </row>
    <row r="143" spans="1:4" x14ac:dyDescent="0.3">
      <c r="A143" s="26">
        <v>46017</v>
      </c>
      <c r="B143" s="27" t="s">
        <v>4</v>
      </c>
      <c r="C143" s="24">
        <v>-391.28</v>
      </c>
    </row>
    <row r="144" spans="1:4" x14ac:dyDescent="0.3">
      <c r="A144" s="26">
        <v>46017</v>
      </c>
      <c r="B144" s="27" t="s">
        <v>1</v>
      </c>
      <c r="C144" s="24">
        <v>460</v>
      </c>
      <c r="D144" s="25">
        <v>-131</v>
      </c>
    </row>
    <row r="145" spans="1:4" x14ac:dyDescent="0.3">
      <c r="A145" s="26">
        <v>46020</v>
      </c>
      <c r="B145" s="27" t="s">
        <v>1</v>
      </c>
      <c r="C145" s="24">
        <v>492.76</v>
      </c>
      <c r="D145" s="25">
        <v>-30</v>
      </c>
    </row>
    <row r="146" spans="1:4" x14ac:dyDescent="0.3">
      <c r="A146" s="26">
        <v>46021</v>
      </c>
      <c r="B146" s="27" t="s">
        <v>4</v>
      </c>
      <c r="C146" s="24">
        <v>-2010.37</v>
      </c>
    </row>
    <row r="147" spans="1:4" x14ac:dyDescent="0.3">
      <c r="A147" s="26">
        <v>46021</v>
      </c>
      <c r="B147" s="27" t="s">
        <v>4</v>
      </c>
      <c r="C147" s="24">
        <v>-305.12</v>
      </c>
    </row>
    <row r="148" spans="1:4" x14ac:dyDescent="0.3">
      <c r="A148" s="26">
        <v>46021</v>
      </c>
      <c r="B148" s="27" t="s">
        <v>4</v>
      </c>
      <c r="C148" s="24">
        <v>-813.64</v>
      </c>
    </row>
    <row r="149" spans="1:4" x14ac:dyDescent="0.3">
      <c r="A149" s="26">
        <v>46021</v>
      </c>
      <c r="B149" s="27" t="s">
        <v>4</v>
      </c>
      <c r="C149" s="24">
        <v>-335.41</v>
      </c>
    </row>
    <row r="150" spans="1:4" x14ac:dyDescent="0.3">
      <c r="A150" s="26">
        <v>46029</v>
      </c>
      <c r="B150" s="27" t="s">
        <v>4</v>
      </c>
      <c r="C150" s="24">
        <v>-865.71</v>
      </c>
    </row>
    <row r="151" spans="1:4" x14ac:dyDescent="0.3">
      <c r="A151" s="26">
        <v>46030</v>
      </c>
      <c r="B151" s="27" t="s">
        <v>4</v>
      </c>
      <c r="C151" s="24">
        <v>-19.59</v>
      </c>
    </row>
    <row r="152" spans="1:4" x14ac:dyDescent="0.3">
      <c r="A152" s="26">
        <v>46030</v>
      </c>
      <c r="B152" s="27" t="s">
        <v>1</v>
      </c>
      <c r="C152" s="24">
        <v>828</v>
      </c>
      <c r="D152" s="25">
        <v>-50</v>
      </c>
    </row>
    <row r="153" spans="1:4" x14ac:dyDescent="0.3">
      <c r="A153" s="26">
        <v>46035</v>
      </c>
      <c r="B153" s="27" t="s">
        <v>4</v>
      </c>
      <c r="C153" s="24">
        <v>-514.57000000000005</v>
      </c>
    </row>
    <row r="154" spans="1:4" x14ac:dyDescent="0.3">
      <c r="A154" s="26">
        <v>46035</v>
      </c>
      <c r="B154" s="27" t="s">
        <v>4</v>
      </c>
      <c r="C154" s="24">
        <v>-484.3</v>
      </c>
    </row>
    <row r="155" spans="1:4" x14ac:dyDescent="0.3">
      <c r="A155" s="26">
        <v>46035</v>
      </c>
      <c r="B155" s="27" t="s">
        <v>1</v>
      </c>
      <c r="C155" s="24">
        <v>997.65</v>
      </c>
    </row>
    <row r="156" spans="1:4" x14ac:dyDescent="0.3">
      <c r="A156" s="26">
        <v>46035</v>
      </c>
      <c r="B156" s="27" t="s">
        <v>503</v>
      </c>
      <c r="C156" s="24">
        <v>-7.2</v>
      </c>
    </row>
    <row r="157" spans="1:4" x14ac:dyDescent="0.3">
      <c r="A157" s="26">
        <v>46042</v>
      </c>
      <c r="B157" s="27" t="s">
        <v>1</v>
      </c>
      <c r="C157" s="24">
        <v>1873.69</v>
      </c>
      <c r="D157" s="25">
        <v>-247</v>
      </c>
    </row>
    <row r="158" spans="1:4" x14ac:dyDescent="0.3">
      <c r="A158" s="26">
        <v>46042</v>
      </c>
      <c r="B158" s="27" t="s">
        <v>1</v>
      </c>
      <c r="C158" s="24">
        <v>16.96</v>
      </c>
    </row>
    <row r="159" spans="1:4" x14ac:dyDescent="0.3">
      <c r="A159" s="26">
        <v>46045</v>
      </c>
      <c r="B159" s="27" t="s">
        <v>1</v>
      </c>
      <c r="C159" s="24">
        <v>30.51</v>
      </c>
    </row>
    <row r="160" spans="1:4" x14ac:dyDescent="0.3">
      <c r="A160" s="26">
        <v>46048</v>
      </c>
      <c r="B160" s="27" t="s">
        <v>4</v>
      </c>
      <c r="C160" s="24">
        <v>-593.44000000000005</v>
      </c>
    </row>
    <row r="161" spans="1:4" x14ac:dyDescent="0.3">
      <c r="A161" s="26">
        <v>46049</v>
      </c>
      <c r="B161" s="27" t="s">
        <v>4</v>
      </c>
      <c r="C161" s="24">
        <v>-523.79</v>
      </c>
    </row>
    <row r="162" spans="1:4" x14ac:dyDescent="0.3">
      <c r="A162" s="26">
        <v>46049</v>
      </c>
      <c r="B162" s="27" t="s">
        <v>4</v>
      </c>
      <c r="C162" s="24">
        <v>-61.29</v>
      </c>
    </row>
    <row r="163" spans="1:4" x14ac:dyDescent="0.3">
      <c r="A163" s="26">
        <v>46051</v>
      </c>
      <c r="B163" s="27" t="s">
        <v>4</v>
      </c>
      <c r="C163" s="24">
        <v>-549.96</v>
      </c>
    </row>
    <row r="164" spans="1:4" x14ac:dyDescent="0.3">
      <c r="A164" s="26">
        <v>46055</v>
      </c>
      <c r="B164" s="27" t="s">
        <v>1</v>
      </c>
      <c r="C164" s="24">
        <v>608.65</v>
      </c>
      <c r="D164" s="25">
        <v>31</v>
      </c>
    </row>
    <row r="165" spans="1:4" x14ac:dyDescent="0.3">
      <c r="A165" s="26">
        <v>46056</v>
      </c>
      <c r="B165" s="27" t="s">
        <v>4</v>
      </c>
      <c r="C165" s="24">
        <v>-708.64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4930-6374-4411-A52E-E455587A3A94}">
  <sheetPr codeName="Hoja88"/>
  <dimension ref="A1:M237"/>
  <sheetViews>
    <sheetView view="pageBreakPreview" topLeftCell="A197" zoomScale="90" zoomScaleNormal="100" zoomScaleSheetLayoutView="90" workbookViewId="0">
      <selection activeCell="C238" sqref="C23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11.33203125" style="17" bestFit="1" customWidth="1"/>
    <col min="9" max="16384" width="10.88671875" style="18"/>
  </cols>
  <sheetData>
    <row r="1" spans="1:9" x14ac:dyDescent="0.3">
      <c r="A1" s="16" t="s">
        <v>15</v>
      </c>
      <c r="B1" s="17" t="s">
        <v>62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1052.8400000000031</v>
      </c>
      <c r="D3" s="20">
        <f>SUM(D$4:D$1048576)</f>
        <v>272</v>
      </c>
      <c r="E3" s="20">
        <f>SUM(E$5:E$1048576)</f>
        <v>0</v>
      </c>
      <c r="F3" s="20">
        <f>SUM(F$5:F$1048576)</f>
        <v>-5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45813</v>
      </c>
      <c r="B5" s="31" t="s">
        <v>21</v>
      </c>
      <c r="C5" s="24">
        <v>1706</v>
      </c>
      <c r="D5" s="30">
        <v>75</v>
      </c>
      <c r="E5" s="30"/>
      <c r="F5" s="30"/>
      <c r="G5" s="22"/>
    </row>
    <row r="6" spans="1:9" hidden="1" x14ac:dyDescent="0.3">
      <c r="A6" s="21">
        <v>45817</v>
      </c>
      <c r="B6" s="31" t="s">
        <v>4</v>
      </c>
      <c r="C6" s="24">
        <v>-1744.94</v>
      </c>
    </row>
    <row r="7" spans="1:9" hidden="1" x14ac:dyDescent="0.3">
      <c r="A7" s="26">
        <v>45815</v>
      </c>
      <c r="B7" s="31" t="s">
        <v>21</v>
      </c>
      <c r="C7" s="24">
        <v>38.950000000000003</v>
      </c>
    </row>
    <row r="8" spans="1:9" hidden="1" x14ac:dyDescent="0.3">
      <c r="A8" s="26">
        <v>45820</v>
      </c>
      <c r="B8" s="27" t="s">
        <v>1</v>
      </c>
      <c r="C8" s="24">
        <v>2144.8000000000002</v>
      </c>
      <c r="D8" s="25">
        <v>-15</v>
      </c>
    </row>
    <row r="9" spans="1:9" hidden="1" x14ac:dyDescent="0.3">
      <c r="A9" s="26">
        <v>45820</v>
      </c>
      <c r="B9" s="27" t="s">
        <v>1</v>
      </c>
      <c r="C9" s="24">
        <v>29.2</v>
      </c>
      <c r="I9" s="25"/>
    </row>
    <row r="10" spans="1:9" hidden="1" x14ac:dyDescent="0.3">
      <c r="A10" s="26">
        <v>45824</v>
      </c>
      <c r="B10" s="31" t="s">
        <v>4</v>
      </c>
      <c r="C10" s="24">
        <v>-803.56</v>
      </c>
    </row>
    <row r="11" spans="1:9" hidden="1" x14ac:dyDescent="0.3">
      <c r="A11" s="26">
        <v>45824</v>
      </c>
      <c r="B11" s="31" t="s">
        <v>4</v>
      </c>
      <c r="C11" s="24">
        <v>-1370.44</v>
      </c>
    </row>
    <row r="12" spans="1:9" x14ac:dyDescent="0.3">
      <c r="A12" s="26">
        <v>45825</v>
      </c>
      <c r="B12" s="31" t="s">
        <v>1</v>
      </c>
      <c r="C12" s="24">
        <v>3791.7</v>
      </c>
      <c r="D12" s="25">
        <v>26</v>
      </c>
    </row>
    <row r="13" spans="1:9" x14ac:dyDescent="0.3">
      <c r="A13" s="26">
        <v>45825</v>
      </c>
      <c r="B13" s="72" t="s">
        <v>1</v>
      </c>
      <c r="C13" s="24">
        <v>58.95</v>
      </c>
      <c r="H13" s="123">
        <f>SUM(C12:C13)</f>
        <v>3850.6499999999996</v>
      </c>
    </row>
    <row r="14" spans="1:9" x14ac:dyDescent="0.3">
      <c r="A14" s="26">
        <v>45831</v>
      </c>
      <c r="B14" s="27" t="s">
        <v>4</v>
      </c>
      <c r="C14" s="24">
        <v>-1763.49</v>
      </c>
      <c r="H14" s="78">
        <f>+C14+C15+C16+C18</f>
        <v>-3850.66</v>
      </c>
      <c r="I14" s="100"/>
    </row>
    <row r="15" spans="1:9" x14ac:dyDescent="0.3">
      <c r="A15" s="26">
        <v>45831</v>
      </c>
      <c r="B15" s="27" t="s">
        <v>4</v>
      </c>
      <c r="C15" s="24">
        <v>-541.41999999999996</v>
      </c>
    </row>
    <row r="16" spans="1:9" x14ac:dyDescent="0.3">
      <c r="A16" s="26">
        <v>45831</v>
      </c>
      <c r="B16" s="27" t="s">
        <v>4</v>
      </c>
      <c r="C16" s="24">
        <v>-1156.92</v>
      </c>
    </row>
    <row r="17" spans="1:9" x14ac:dyDescent="0.3">
      <c r="A17" s="26">
        <v>45833</v>
      </c>
      <c r="B17" s="27" t="s">
        <v>1</v>
      </c>
      <c r="C17" s="24">
        <v>1622.4</v>
      </c>
      <c r="H17" s="78">
        <f>+C17</f>
        <v>1622.4</v>
      </c>
    </row>
    <row r="18" spans="1:9" x14ac:dyDescent="0.3">
      <c r="A18" s="26">
        <v>45835</v>
      </c>
      <c r="B18" s="27" t="s">
        <v>4</v>
      </c>
      <c r="C18" s="24">
        <v>-388.83</v>
      </c>
      <c r="H18" s="78">
        <f>+C19</f>
        <v>-1645.45</v>
      </c>
      <c r="I18" s="87">
        <f>SUM(H17:H18)</f>
        <v>-23.049999999999955</v>
      </c>
    </row>
    <row r="19" spans="1:9" x14ac:dyDescent="0.3">
      <c r="A19" s="26">
        <v>45838</v>
      </c>
      <c r="B19" s="27" t="s">
        <v>4</v>
      </c>
      <c r="C19" s="24">
        <v>-1645.45</v>
      </c>
    </row>
    <row r="20" spans="1:9" x14ac:dyDescent="0.3">
      <c r="A20" s="26">
        <v>45840</v>
      </c>
      <c r="B20" s="27" t="s">
        <v>1</v>
      </c>
      <c r="C20" s="24">
        <v>1536.5</v>
      </c>
      <c r="D20" s="25">
        <v>-24</v>
      </c>
      <c r="H20" s="78">
        <f>+C20+C21</f>
        <v>1544</v>
      </c>
    </row>
    <row r="21" spans="1:9" x14ac:dyDescent="0.3">
      <c r="A21" s="26">
        <v>45840</v>
      </c>
      <c r="B21" s="72" t="s">
        <v>1</v>
      </c>
      <c r="C21" s="24">
        <v>7.5</v>
      </c>
      <c r="H21" s="78">
        <f>+C22</f>
        <v>-1525.51</v>
      </c>
      <c r="I21" s="87">
        <f>+H20+H21</f>
        <v>18.490000000000009</v>
      </c>
    </row>
    <row r="22" spans="1:9" x14ac:dyDescent="0.3">
      <c r="A22" s="26">
        <v>45845</v>
      </c>
      <c r="B22" s="27" t="s">
        <v>4</v>
      </c>
      <c r="C22" s="24">
        <v>-1525.51</v>
      </c>
    </row>
    <row r="23" spans="1:9" x14ac:dyDescent="0.3">
      <c r="A23" s="26">
        <v>45847</v>
      </c>
      <c r="B23" s="27" t="s">
        <v>1</v>
      </c>
      <c r="C23" s="24">
        <v>2450.6999999999998</v>
      </c>
      <c r="D23" s="25">
        <v>-22</v>
      </c>
      <c r="H23" s="78">
        <f>+C23+C24</f>
        <v>2480.2999999999997</v>
      </c>
    </row>
    <row r="24" spans="1:9" x14ac:dyDescent="0.3">
      <c r="A24" s="26">
        <v>45847</v>
      </c>
      <c r="B24" s="72" t="s">
        <v>1</v>
      </c>
      <c r="C24" s="24">
        <v>29.6</v>
      </c>
      <c r="H24" s="78">
        <f>+C25+C26+C27</f>
        <v>-2473.5500000000002</v>
      </c>
      <c r="I24" s="87">
        <f>SUM(H23:H24)</f>
        <v>6.7499999999995453</v>
      </c>
    </row>
    <row r="25" spans="1:9" x14ac:dyDescent="0.3">
      <c r="A25" s="26">
        <v>45853</v>
      </c>
      <c r="B25" s="27" t="s">
        <v>4</v>
      </c>
      <c r="C25" s="24">
        <v>-1734.19</v>
      </c>
    </row>
    <row r="26" spans="1:9" x14ac:dyDescent="0.3">
      <c r="A26" s="26">
        <v>45853</v>
      </c>
      <c r="B26" s="27" t="s">
        <v>4</v>
      </c>
      <c r="C26" s="24">
        <v>-253.46</v>
      </c>
    </row>
    <row r="27" spans="1:9" x14ac:dyDescent="0.3">
      <c r="A27" s="26">
        <v>45853</v>
      </c>
      <c r="B27" s="27" t="s">
        <v>4</v>
      </c>
      <c r="C27" s="24">
        <v>-485.9</v>
      </c>
    </row>
    <row r="28" spans="1:9" x14ac:dyDescent="0.3">
      <c r="A28" s="26">
        <v>45853</v>
      </c>
      <c r="B28" s="27" t="s">
        <v>1</v>
      </c>
      <c r="C28" s="24">
        <v>1685.8</v>
      </c>
      <c r="D28" s="25">
        <v>-21</v>
      </c>
      <c r="H28" s="78">
        <f>+C28</f>
        <v>1685.8</v>
      </c>
    </row>
    <row r="29" spans="1:9" x14ac:dyDescent="0.3">
      <c r="A29" s="26">
        <v>45860</v>
      </c>
      <c r="B29" s="27" t="s">
        <v>4</v>
      </c>
      <c r="C29" s="24">
        <v>-1004.34</v>
      </c>
      <c r="H29" s="78">
        <f>+C29+C31</f>
        <v>-1668.66</v>
      </c>
      <c r="I29" s="87">
        <f>SUM(H28:H29)</f>
        <v>17.139999999999873</v>
      </c>
    </row>
    <row r="30" spans="1:9" x14ac:dyDescent="0.3">
      <c r="A30" s="26">
        <v>45860</v>
      </c>
      <c r="B30" s="27" t="s">
        <v>1</v>
      </c>
      <c r="C30" s="24">
        <v>2727.2</v>
      </c>
      <c r="D30" s="25">
        <v>-5</v>
      </c>
      <c r="H30" s="78">
        <f>+C30</f>
        <v>2727.2</v>
      </c>
    </row>
    <row r="31" spans="1:9" x14ac:dyDescent="0.3">
      <c r="A31" s="26">
        <v>45860</v>
      </c>
      <c r="B31" s="27" t="s">
        <v>4</v>
      </c>
      <c r="C31" s="24">
        <v>-664.32</v>
      </c>
      <c r="H31" s="78">
        <f>+C32+C33</f>
        <v>-2718.4700000000003</v>
      </c>
      <c r="I31" s="87">
        <f>SUM(H30:H31)</f>
        <v>8.7299999999995634</v>
      </c>
    </row>
    <row r="32" spans="1:9" x14ac:dyDescent="0.3">
      <c r="A32" s="26">
        <v>45866</v>
      </c>
      <c r="B32" s="27" t="s">
        <v>4</v>
      </c>
      <c r="C32" s="24">
        <v>-1129.24</v>
      </c>
    </row>
    <row r="33" spans="1:9" x14ac:dyDescent="0.3">
      <c r="A33" s="26">
        <v>45867</v>
      </c>
      <c r="B33" s="27" t="s">
        <v>4</v>
      </c>
      <c r="C33" s="24">
        <v>-1589.23</v>
      </c>
    </row>
    <row r="34" spans="1:9" x14ac:dyDescent="0.3">
      <c r="A34" s="26">
        <v>45868</v>
      </c>
      <c r="B34" s="27" t="s">
        <v>1</v>
      </c>
      <c r="C34" s="24">
        <v>1830.5</v>
      </c>
      <c r="D34" s="25">
        <v>-14</v>
      </c>
      <c r="H34" s="78">
        <f>+C34+C35</f>
        <v>1925.51</v>
      </c>
    </row>
    <row r="35" spans="1:9" x14ac:dyDescent="0.3">
      <c r="A35" s="26">
        <v>45868</v>
      </c>
      <c r="B35" s="72" t="s">
        <v>1</v>
      </c>
      <c r="C35" s="24">
        <v>95.01</v>
      </c>
      <c r="H35" s="78">
        <f>+C36+C37+C38+C39</f>
        <v>-1943.57</v>
      </c>
      <c r="I35" s="87">
        <f>SUM(H34:H35)</f>
        <v>-18.059999999999945</v>
      </c>
    </row>
    <row r="36" spans="1:9" x14ac:dyDescent="0.3">
      <c r="A36" s="26">
        <v>45873</v>
      </c>
      <c r="B36" s="27" t="s">
        <v>4</v>
      </c>
      <c r="C36" s="24">
        <v>-18.059999999999999</v>
      </c>
    </row>
    <row r="37" spans="1:9" x14ac:dyDescent="0.3">
      <c r="A37" s="26">
        <v>45873</v>
      </c>
      <c r="B37" s="27" t="s">
        <v>4</v>
      </c>
      <c r="C37" s="24">
        <v>-1504.59</v>
      </c>
    </row>
    <row r="38" spans="1:9" x14ac:dyDescent="0.3">
      <c r="A38" s="26">
        <v>45873</v>
      </c>
      <c r="B38" s="27" t="s">
        <v>4</v>
      </c>
      <c r="C38" s="24">
        <v>-275.74</v>
      </c>
    </row>
    <row r="39" spans="1:9" x14ac:dyDescent="0.3">
      <c r="A39" s="26">
        <v>45873</v>
      </c>
      <c r="B39" s="27" t="s">
        <v>4</v>
      </c>
      <c r="C39" s="24">
        <v>-145.18</v>
      </c>
    </row>
    <row r="40" spans="1:9" x14ac:dyDescent="0.3">
      <c r="A40" s="26">
        <v>45875</v>
      </c>
      <c r="B40" s="27" t="s">
        <v>1</v>
      </c>
      <c r="C40" s="24">
        <v>3164.2</v>
      </c>
      <c r="H40" s="78">
        <f>+C40</f>
        <v>3164.2</v>
      </c>
    </row>
    <row r="41" spans="1:9" x14ac:dyDescent="0.3">
      <c r="A41" s="26">
        <v>45880</v>
      </c>
      <c r="B41" s="27" t="s">
        <v>4</v>
      </c>
      <c r="C41" s="24">
        <v>-772.29</v>
      </c>
      <c r="H41" s="78">
        <f>+C41+C42+C43</f>
        <v>-3164.2</v>
      </c>
    </row>
    <row r="42" spans="1:9" x14ac:dyDescent="0.3">
      <c r="A42" s="26">
        <v>45880</v>
      </c>
      <c r="B42" s="27" t="s">
        <v>4</v>
      </c>
      <c r="C42" s="24">
        <v>-1220.22</v>
      </c>
    </row>
    <row r="43" spans="1:9" x14ac:dyDescent="0.3">
      <c r="A43" s="26">
        <v>45880</v>
      </c>
      <c r="B43" s="27" t="s">
        <v>4</v>
      </c>
      <c r="C43" s="24">
        <v>-1171.69</v>
      </c>
    </row>
    <row r="44" spans="1:9" x14ac:dyDescent="0.3">
      <c r="A44" s="26">
        <v>45882</v>
      </c>
      <c r="B44" s="27" t="s">
        <v>1</v>
      </c>
      <c r="C44" s="24">
        <v>2824.3</v>
      </c>
      <c r="D44" s="25">
        <v>19</v>
      </c>
      <c r="H44" s="78">
        <f>+C44+C45</f>
        <v>2877.9500000000003</v>
      </c>
    </row>
    <row r="45" spans="1:9" x14ac:dyDescent="0.3">
      <c r="A45" s="26">
        <v>45882</v>
      </c>
      <c r="B45" s="72" t="s">
        <v>1</v>
      </c>
      <c r="C45" s="24">
        <v>53.65</v>
      </c>
      <c r="H45" s="78">
        <f>+C46+C47+C48</f>
        <v>-2877.95</v>
      </c>
    </row>
    <row r="46" spans="1:9" x14ac:dyDescent="0.3">
      <c r="A46" s="26">
        <v>45888</v>
      </c>
      <c r="B46" s="27" t="s">
        <v>4</v>
      </c>
      <c r="C46" s="24">
        <v>-1095.75</v>
      </c>
    </row>
    <row r="47" spans="1:9" x14ac:dyDescent="0.3">
      <c r="A47" s="26">
        <v>45888</v>
      </c>
      <c r="B47" s="27" t="s">
        <v>4</v>
      </c>
      <c r="C47" s="24">
        <v>-365.25</v>
      </c>
    </row>
    <row r="48" spans="1:9" x14ac:dyDescent="0.3">
      <c r="A48" s="26">
        <v>45888</v>
      </c>
      <c r="B48" s="27" t="s">
        <v>4</v>
      </c>
      <c r="C48" s="24">
        <v>-1416.95</v>
      </c>
    </row>
    <row r="49" spans="1:9" x14ac:dyDescent="0.3">
      <c r="A49" s="26">
        <v>45889</v>
      </c>
      <c r="B49" s="27" t="s">
        <v>1</v>
      </c>
      <c r="C49" s="24">
        <v>3011.9</v>
      </c>
      <c r="D49" s="25">
        <v>-19</v>
      </c>
      <c r="H49" s="78">
        <f>+C49+C51</f>
        <v>3077.05</v>
      </c>
    </row>
    <row r="50" spans="1:9" x14ac:dyDescent="0.3">
      <c r="A50" s="26">
        <v>45889</v>
      </c>
      <c r="B50" s="27" t="s">
        <v>22</v>
      </c>
      <c r="D50" s="25">
        <v>41</v>
      </c>
      <c r="H50" s="78">
        <f>+C52+C53+C54</f>
        <v>-3076.96</v>
      </c>
    </row>
    <row r="51" spans="1:9" x14ac:dyDescent="0.3">
      <c r="A51" s="26">
        <v>45889</v>
      </c>
      <c r="B51" s="72" t="s">
        <v>1</v>
      </c>
      <c r="C51" s="24">
        <v>65.150000000000006</v>
      </c>
    </row>
    <row r="52" spans="1:9" x14ac:dyDescent="0.3">
      <c r="A52" s="26">
        <v>45894</v>
      </c>
      <c r="B52" s="27" t="s">
        <v>4</v>
      </c>
      <c r="C52" s="24">
        <v>-328.24</v>
      </c>
    </row>
    <row r="53" spans="1:9" x14ac:dyDescent="0.3">
      <c r="A53" s="26">
        <v>45894</v>
      </c>
      <c r="B53" s="27" t="s">
        <v>4</v>
      </c>
      <c r="C53" s="24">
        <v>-1339.12</v>
      </c>
    </row>
    <row r="54" spans="1:9" x14ac:dyDescent="0.3">
      <c r="A54" s="26">
        <v>45894</v>
      </c>
      <c r="B54" s="27" t="s">
        <v>4</v>
      </c>
      <c r="C54" s="24">
        <v>-1409.6</v>
      </c>
    </row>
    <row r="55" spans="1:9" x14ac:dyDescent="0.3">
      <c r="A55" s="26">
        <v>45895</v>
      </c>
      <c r="B55" s="27" t="s">
        <v>1</v>
      </c>
      <c r="C55" s="24">
        <v>3206.4</v>
      </c>
      <c r="D55" s="25">
        <v>-17</v>
      </c>
      <c r="H55" s="78">
        <f>+C55+C56</f>
        <v>3235</v>
      </c>
    </row>
    <row r="56" spans="1:9" x14ac:dyDescent="0.3">
      <c r="A56" s="26">
        <v>45895</v>
      </c>
      <c r="B56" s="72" t="s">
        <v>1</v>
      </c>
      <c r="C56" s="24">
        <v>28.6</v>
      </c>
      <c r="H56" s="78">
        <f>+C57+C58+C59+C62</f>
        <v>-3234.98</v>
      </c>
      <c r="I56" s="87">
        <f>SUM(H55:H56)</f>
        <v>1.999999999998181E-2</v>
      </c>
    </row>
    <row r="57" spans="1:9" x14ac:dyDescent="0.3">
      <c r="A57" s="26">
        <v>45901</v>
      </c>
      <c r="B57" s="27" t="s">
        <v>4</v>
      </c>
      <c r="C57" s="24">
        <v>-875.75</v>
      </c>
    </row>
    <row r="58" spans="1:9" x14ac:dyDescent="0.3">
      <c r="A58" s="26">
        <v>45901</v>
      </c>
      <c r="B58" s="27" t="s">
        <v>4</v>
      </c>
      <c r="C58" s="24">
        <v>-1347.31</v>
      </c>
    </row>
    <row r="59" spans="1:9" x14ac:dyDescent="0.3">
      <c r="A59" s="26">
        <v>45902</v>
      </c>
      <c r="B59" s="27" t="s">
        <v>4</v>
      </c>
      <c r="C59" s="24">
        <v>-1004.92</v>
      </c>
    </row>
    <row r="60" spans="1:9" x14ac:dyDescent="0.3">
      <c r="A60" s="26">
        <v>45904</v>
      </c>
      <c r="B60" s="27" t="s">
        <v>1</v>
      </c>
      <c r="C60" s="24">
        <v>3714.2</v>
      </c>
      <c r="D60" s="25">
        <f>-24+42</f>
        <v>18</v>
      </c>
      <c r="H60" s="78">
        <f>+C60+C61</f>
        <v>3730.0499999999997</v>
      </c>
    </row>
    <row r="61" spans="1:9" x14ac:dyDescent="0.3">
      <c r="A61" s="26">
        <v>45904</v>
      </c>
      <c r="B61" s="72" t="s">
        <v>1</v>
      </c>
      <c r="C61" s="24">
        <v>15.85</v>
      </c>
      <c r="H61" s="78">
        <f>+C63+C64+C65+C66</f>
        <v>-3730.03</v>
      </c>
    </row>
    <row r="62" spans="1:9" x14ac:dyDescent="0.3">
      <c r="A62" s="26">
        <v>45905</v>
      </c>
      <c r="B62" s="27" t="s">
        <v>4</v>
      </c>
      <c r="C62" s="24">
        <v>-7</v>
      </c>
    </row>
    <row r="63" spans="1:9" x14ac:dyDescent="0.3">
      <c r="A63" s="26">
        <v>45909</v>
      </c>
      <c r="B63" s="27" t="s">
        <v>4</v>
      </c>
      <c r="C63" s="24">
        <v>-1114.82</v>
      </c>
    </row>
    <row r="64" spans="1:9" x14ac:dyDescent="0.3">
      <c r="A64" s="26">
        <v>45909</v>
      </c>
      <c r="B64" s="27" t="s">
        <v>4</v>
      </c>
      <c r="C64" s="24">
        <v>-421.42</v>
      </c>
    </row>
    <row r="65" spans="1:8" x14ac:dyDescent="0.3">
      <c r="A65" s="26">
        <v>45909</v>
      </c>
      <c r="B65" s="27" t="s">
        <v>4</v>
      </c>
      <c r="C65" s="24">
        <v>-1225.94</v>
      </c>
    </row>
    <row r="66" spans="1:8" x14ac:dyDescent="0.3">
      <c r="A66" s="26">
        <v>45909</v>
      </c>
      <c r="B66" s="27" t="s">
        <v>4</v>
      </c>
      <c r="C66" s="24">
        <v>-967.85</v>
      </c>
      <c r="H66" s="78">
        <f>+C67+C70+C71</f>
        <v>-3491.26</v>
      </c>
    </row>
    <row r="67" spans="1:8" x14ac:dyDescent="0.3">
      <c r="A67" s="26">
        <v>45910</v>
      </c>
      <c r="B67" s="27" t="s">
        <v>4</v>
      </c>
      <c r="C67" s="24">
        <v>-1039.97</v>
      </c>
      <c r="H67" s="78">
        <f>+C68</f>
        <v>3491.3</v>
      </c>
    </row>
    <row r="68" spans="1:8" x14ac:dyDescent="0.3">
      <c r="A68" s="26">
        <v>45910</v>
      </c>
      <c r="B68" s="27" t="s">
        <v>1</v>
      </c>
      <c r="C68" s="24">
        <v>3491.3</v>
      </c>
      <c r="D68" s="25">
        <f>69-42</f>
        <v>27</v>
      </c>
    </row>
    <row r="69" spans="1:8" x14ac:dyDescent="0.3">
      <c r="A69" s="26">
        <v>45910</v>
      </c>
      <c r="B69" s="72" t="s">
        <v>22</v>
      </c>
      <c r="E69" s="25">
        <v>-1</v>
      </c>
      <c r="F69" s="25">
        <v>-1</v>
      </c>
    </row>
    <row r="70" spans="1:8" x14ac:dyDescent="0.3">
      <c r="A70" s="26">
        <v>45916</v>
      </c>
      <c r="B70" s="27" t="s">
        <v>4</v>
      </c>
      <c r="C70" s="24">
        <v>-1204.78</v>
      </c>
    </row>
    <row r="71" spans="1:8" x14ac:dyDescent="0.3">
      <c r="A71" s="26">
        <v>45916</v>
      </c>
      <c r="B71" s="27" t="s">
        <v>4</v>
      </c>
      <c r="C71" s="24">
        <v>-1246.51</v>
      </c>
      <c r="H71" s="78">
        <f>+C72+C73+C75</f>
        <v>3763.2099999999996</v>
      </c>
    </row>
    <row r="72" spans="1:8" x14ac:dyDescent="0.3">
      <c r="A72" s="26">
        <v>45916</v>
      </c>
      <c r="B72" s="27" t="s">
        <v>1</v>
      </c>
      <c r="C72" s="24">
        <v>3206.2</v>
      </c>
      <c r="D72" s="25">
        <f>77-69</f>
        <v>8</v>
      </c>
      <c r="H72" s="78">
        <f>+C74+C76+C77+C78</f>
        <v>-3763.15</v>
      </c>
    </row>
    <row r="73" spans="1:8" x14ac:dyDescent="0.3">
      <c r="A73" s="26">
        <v>45916</v>
      </c>
      <c r="B73" s="72" t="s">
        <v>1</v>
      </c>
      <c r="C73" s="24">
        <v>57.81</v>
      </c>
      <c r="F73" s="25">
        <v>-1</v>
      </c>
    </row>
    <row r="74" spans="1:8" x14ac:dyDescent="0.3">
      <c r="A74" s="26">
        <v>45917</v>
      </c>
      <c r="B74" s="27" t="s">
        <v>4</v>
      </c>
      <c r="C74" s="24">
        <v>-1039.95</v>
      </c>
    </row>
    <row r="75" spans="1:8" x14ac:dyDescent="0.3">
      <c r="A75" s="26">
        <v>45919</v>
      </c>
      <c r="B75" s="27" t="s">
        <v>1</v>
      </c>
      <c r="C75" s="24">
        <v>499.2</v>
      </c>
      <c r="D75" s="25">
        <v>2</v>
      </c>
    </row>
    <row r="76" spans="1:8" x14ac:dyDescent="0.3">
      <c r="A76" s="26">
        <v>45922</v>
      </c>
      <c r="B76" s="27" t="s">
        <v>4</v>
      </c>
      <c r="C76" s="24">
        <v>-1200.5999999999999</v>
      </c>
    </row>
    <row r="77" spans="1:8" x14ac:dyDescent="0.3">
      <c r="A77" s="26">
        <v>45922</v>
      </c>
      <c r="B77" s="27" t="s">
        <v>4</v>
      </c>
      <c r="C77" s="24">
        <v>-1200.5999999999999</v>
      </c>
    </row>
    <row r="78" spans="1:8" x14ac:dyDescent="0.3">
      <c r="A78" s="26">
        <v>45922</v>
      </c>
      <c r="B78" s="27" t="s">
        <v>4</v>
      </c>
      <c r="C78" s="24">
        <v>-322</v>
      </c>
    </row>
    <row r="79" spans="1:8" x14ac:dyDescent="0.3">
      <c r="A79" s="26">
        <v>45923</v>
      </c>
      <c r="B79" s="27" t="s">
        <v>1</v>
      </c>
      <c r="C79" s="24">
        <v>2773</v>
      </c>
      <c r="H79" s="78">
        <f>+C79+C80+C81</f>
        <v>3443.25</v>
      </c>
    </row>
    <row r="80" spans="1:8" x14ac:dyDescent="0.3">
      <c r="A80" s="26">
        <v>45923</v>
      </c>
      <c r="B80" s="72" t="s">
        <v>1</v>
      </c>
      <c r="C80" s="24">
        <v>25.45</v>
      </c>
      <c r="E80" s="25">
        <v>1</v>
      </c>
      <c r="H80" s="78">
        <f>+C82+C83+C84+C85+C86</f>
        <v>-3443.25</v>
      </c>
    </row>
    <row r="81" spans="1:9" x14ac:dyDescent="0.3">
      <c r="A81" s="26">
        <v>45926</v>
      </c>
      <c r="B81" s="27" t="s">
        <v>1</v>
      </c>
      <c r="C81" s="24">
        <v>644.79999999999995</v>
      </c>
    </row>
    <row r="82" spans="1:9" x14ac:dyDescent="0.3">
      <c r="A82" s="26">
        <v>45929</v>
      </c>
      <c r="B82" s="27" t="s">
        <v>4</v>
      </c>
      <c r="C82" s="24">
        <v>-199.26</v>
      </c>
    </row>
    <row r="83" spans="1:9" x14ac:dyDescent="0.3">
      <c r="A83" s="26">
        <v>45929</v>
      </c>
      <c r="B83" s="27" t="s">
        <v>4</v>
      </c>
      <c r="C83" s="24">
        <v>-910.92</v>
      </c>
    </row>
    <row r="84" spans="1:9" x14ac:dyDescent="0.3">
      <c r="A84" s="26">
        <v>45929</v>
      </c>
      <c r="B84" s="27" t="s">
        <v>4</v>
      </c>
      <c r="C84" s="24">
        <v>-1138.6500000000001</v>
      </c>
    </row>
    <row r="85" spans="1:9" x14ac:dyDescent="0.3">
      <c r="A85" s="26">
        <v>45929</v>
      </c>
      <c r="B85" s="27" t="s">
        <v>4</v>
      </c>
      <c r="C85" s="24">
        <v>-1138.6500000000001</v>
      </c>
    </row>
    <row r="86" spans="1:9" x14ac:dyDescent="0.3">
      <c r="A86" s="26">
        <v>45929</v>
      </c>
      <c r="B86" s="27" t="s">
        <v>4</v>
      </c>
      <c r="C86" s="24">
        <v>-55.77</v>
      </c>
    </row>
    <row r="87" spans="1:9" x14ac:dyDescent="0.3">
      <c r="A87" s="26">
        <v>45930</v>
      </c>
      <c r="B87" s="27" t="s">
        <v>1</v>
      </c>
      <c r="C87" s="24">
        <v>3397.5</v>
      </c>
      <c r="D87" s="25">
        <f>139-79</f>
        <v>60</v>
      </c>
      <c r="H87" s="78">
        <f>+C87+C88+C90</f>
        <v>4154.2</v>
      </c>
    </row>
    <row r="88" spans="1:9" x14ac:dyDescent="0.3">
      <c r="A88" s="26">
        <v>45930</v>
      </c>
      <c r="B88" s="72" t="s">
        <v>1</v>
      </c>
      <c r="C88" s="24">
        <v>111.9</v>
      </c>
      <c r="H88" s="78">
        <f>+C89+C91+C92+C93</f>
        <v>-4154.1900000000005</v>
      </c>
    </row>
    <row r="89" spans="1:9" x14ac:dyDescent="0.3">
      <c r="A89" s="26">
        <v>45933</v>
      </c>
      <c r="B89" s="27" t="s">
        <v>4</v>
      </c>
      <c r="C89" s="24">
        <v>-1039.99</v>
      </c>
    </row>
    <row r="90" spans="1:9" x14ac:dyDescent="0.3">
      <c r="A90" s="26">
        <v>45933</v>
      </c>
      <c r="B90" s="27" t="s">
        <v>1</v>
      </c>
      <c r="C90" s="24">
        <v>644.79999999999995</v>
      </c>
    </row>
    <row r="91" spans="1:9" x14ac:dyDescent="0.3">
      <c r="A91" s="26">
        <v>45936</v>
      </c>
      <c r="B91" s="27" t="s">
        <v>4</v>
      </c>
      <c r="C91" s="24">
        <v>-1078.76</v>
      </c>
    </row>
    <row r="92" spans="1:9" x14ac:dyDescent="0.3">
      <c r="A92" s="26">
        <v>45936</v>
      </c>
      <c r="B92" s="27" t="s">
        <v>4</v>
      </c>
      <c r="C92" s="24">
        <v>-1078.76</v>
      </c>
    </row>
    <row r="93" spans="1:9" x14ac:dyDescent="0.3">
      <c r="A93" s="26">
        <v>45936</v>
      </c>
      <c r="B93" s="27" t="s">
        <v>4</v>
      </c>
      <c r="C93" s="24">
        <v>-956.68</v>
      </c>
    </row>
    <row r="94" spans="1:9" x14ac:dyDescent="0.3">
      <c r="A94" s="26">
        <v>45937</v>
      </c>
      <c r="B94" s="27" t="s">
        <v>1</v>
      </c>
      <c r="C94" s="24">
        <v>2332.5100000000002</v>
      </c>
      <c r="H94" s="78">
        <f>+C94+C95+C97+C98</f>
        <v>3932.2200000000003</v>
      </c>
    </row>
    <row r="95" spans="1:9" x14ac:dyDescent="0.3">
      <c r="A95" s="26">
        <v>45937</v>
      </c>
      <c r="B95" s="72" t="s">
        <v>1</v>
      </c>
      <c r="C95" s="24">
        <v>22.5</v>
      </c>
      <c r="H95" s="78">
        <f>+C96+C99+C100+C101</f>
        <v>-3923.0099999999998</v>
      </c>
      <c r="I95" s="87">
        <f>SUM(H94:H95)</f>
        <v>9.2100000000004911</v>
      </c>
    </row>
    <row r="96" spans="1:9" x14ac:dyDescent="0.3">
      <c r="A96" s="26">
        <v>45940</v>
      </c>
      <c r="B96" s="27" t="s">
        <v>4</v>
      </c>
      <c r="C96" s="24">
        <v>-910.8</v>
      </c>
    </row>
    <row r="97" spans="1:9" x14ac:dyDescent="0.3">
      <c r="A97" s="26">
        <v>45940</v>
      </c>
      <c r="B97" s="27" t="s">
        <v>1</v>
      </c>
      <c r="C97" s="24">
        <v>1556.71</v>
      </c>
      <c r="D97" s="25">
        <v>3</v>
      </c>
    </row>
    <row r="98" spans="1:9" x14ac:dyDescent="0.3">
      <c r="A98" s="26">
        <v>45940</v>
      </c>
      <c r="B98" s="72" t="s">
        <v>1</v>
      </c>
      <c r="C98" s="24">
        <v>20.5</v>
      </c>
      <c r="F98" s="25">
        <v>-1</v>
      </c>
    </row>
    <row r="99" spans="1:9" x14ac:dyDescent="0.3">
      <c r="A99" s="26">
        <v>45943</v>
      </c>
      <c r="B99" s="27" t="s">
        <v>4</v>
      </c>
      <c r="C99" s="24">
        <v>-963.55</v>
      </c>
    </row>
    <row r="100" spans="1:9" x14ac:dyDescent="0.3">
      <c r="A100" s="26">
        <v>45943</v>
      </c>
      <c r="B100" s="27" t="s">
        <v>4</v>
      </c>
      <c r="C100" s="24">
        <v>-1024.33</v>
      </c>
    </row>
    <row r="101" spans="1:9" x14ac:dyDescent="0.3">
      <c r="A101" s="26">
        <v>45943</v>
      </c>
      <c r="B101" s="27" t="s">
        <v>4</v>
      </c>
      <c r="C101" s="24">
        <v>-1024.33</v>
      </c>
    </row>
    <row r="102" spans="1:9" x14ac:dyDescent="0.3">
      <c r="A102" s="26">
        <v>45944</v>
      </c>
      <c r="B102" s="27" t="s">
        <v>1</v>
      </c>
      <c r="C102" s="24">
        <v>1988.69</v>
      </c>
      <c r="H102" s="78">
        <f>+C102+C103+C104</f>
        <v>2948.27</v>
      </c>
    </row>
    <row r="103" spans="1:9" x14ac:dyDescent="0.3">
      <c r="A103" s="26">
        <v>45944</v>
      </c>
      <c r="B103" s="72" t="s">
        <v>1</v>
      </c>
      <c r="C103" s="24">
        <v>39.58</v>
      </c>
      <c r="H103" s="78">
        <f>+C105+C106+C107+C108</f>
        <v>-2948.28</v>
      </c>
    </row>
    <row r="104" spans="1:9" x14ac:dyDescent="0.3">
      <c r="A104" s="26">
        <v>45947</v>
      </c>
      <c r="B104" s="27" t="s">
        <v>1</v>
      </c>
      <c r="C104" s="24">
        <v>920</v>
      </c>
    </row>
    <row r="105" spans="1:9" x14ac:dyDescent="0.3">
      <c r="A105" s="26">
        <v>45950</v>
      </c>
      <c r="B105" s="27" t="s">
        <v>4</v>
      </c>
      <c r="C105" s="24">
        <v>-972.41</v>
      </c>
    </row>
    <row r="106" spans="1:9" x14ac:dyDescent="0.3">
      <c r="A106" s="26">
        <v>45950</v>
      </c>
      <c r="B106" s="27" t="s">
        <v>4</v>
      </c>
      <c r="C106" s="24">
        <v>-972.41</v>
      </c>
    </row>
    <row r="107" spans="1:9" x14ac:dyDescent="0.3">
      <c r="A107" s="26">
        <v>45950</v>
      </c>
      <c r="B107" s="27" t="s">
        <v>4</v>
      </c>
      <c r="C107" s="24">
        <v>-972.41</v>
      </c>
    </row>
    <row r="108" spans="1:9" x14ac:dyDescent="0.3">
      <c r="A108" s="26">
        <v>45950</v>
      </c>
      <c r="B108" s="27" t="s">
        <v>4</v>
      </c>
      <c r="C108" s="24">
        <v>-31.05</v>
      </c>
    </row>
    <row r="109" spans="1:9" x14ac:dyDescent="0.3">
      <c r="A109" s="26">
        <v>45951</v>
      </c>
      <c r="B109" s="27" t="s">
        <v>1</v>
      </c>
      <c r="C109" s="24">
        <v>1957.46</v>
      </c>
      <c r="H109" s="78">
        <f>+C109+C110+C112</f>
        <v>3398.46</v>
      </c>
    </row>
    <row r="110" spans="1:9" x14ac:dyDescent="0.3">
      <c r="A110" s="26">
        <v>45951</v>
      </c>
      <c r="B110" s="72" t="s">
        <v>1</v>
      </c>
      <c r="C110" s="24">
        <v>15</v>
      </c>
      <c r="H110" s="78">
        <f>+C111+C113+C114+C115+C116</f>
        <v>-3407.9000000000005</v>
      </c>
      <c r="I110" s="87">
        <f>SUM(H109:H110)</f>
        <v>-9.4400000000005093</v>
      </c>
    </row>
    <row r="111" spans="1:9" x14ac:dyDescent="0.3">
      <c r="A111" s="26">
        <v>45951</v>
      </c>
      <c r="B111" s="27" t="s">
        <v>4</v>
      </c>
      <c r="C111" s="24">
        <v>-9.44</v>
      </c>
    </row>
    <row r="112" spans="1:9" x14ac:dyDescent="0.3">
      <c r="A112" s="26">
        <v>45954</v>
      </c>
      <c r="B112" s="27" t="s">
        <v>1</v>
      </c>
      <c r="C112" s="24">
        <v>1426</v>
      </c>
    </row>
    <row r="113" spans="1:9" x14ac:dyDescent="0.3">
      <c r="A113" s="26">
        <v>45957</v>
      </c>
      <c r="B113" s="27" t="s">
        <v>4</v>
      </c>
      <c r="C113" s="24">
        <v>-625.44000000000005</v>
      </c>
    </row>
    <row r="114" spans="1:9" x14ac:dyDescent="0.3">
      <c r="A114" s="26">
        <v>45957</v>
      </c>
      <c r="B114" s="27" t="s">
        <v>4</v>
      </c>
      <c r="C114" s="24">
        <v>-924.34</v>
      </c>
    </row>
    <row r="115" spans="1:9" x14ac:dyDescent="0.3">
      <c r="A115" s="26">
        <v>45957</v>
      </c>
      <c r="B115" s="27" t="s">
        <v>4</v>
      </c>
      <c r="C115" s="24">
        <v>-924.34</v>
      </c>
    </row>
    <row r="116" spans="1:9" x14ac:dyDescent="0.3">
      <c r="A116" s="26">
        <v>45957</v>
      </c>
      <c r="B116" s="27" t="s">
        <v>4</v>
      </c>
      <c r="C116" s="24">
        <v>-924.34</v>
      </c>
    </row>
    <row r="117" spans="1:9" x14ac:dyDescent="0.3">
      <c r="A117" s="26">
        <v>45959</v>
      </c>
      <c r="B117" s="27" t="s">
        <v>1</v>
      </c>
      <c r="C117" s="24">
        <v>1774.24</v>
      </c>
      <c r="D117" s="25">
        <v>-57</v>
      </c>
      <c r="H117" s="78">
        <f>+C117+C118+C119</f>
        <v>3714.38</v>
      </c>
    </row>
    <row r="118" spans="1:9" x14ac:dyDescent="0.3">
      <c r="A118" s="26">
        <v>45959</v>
      </c>
      <c r="B118" s="72" t="s">
        <v>1</v>
      </c>
      <c r="C118" s="24">
        <v>100.14</v>
      </c>
      <c r="H118" s="78">
        <f>+C121+C122+C123+C124+C125+C126+C127+C128</f>
        <v>-4445.16</v>
      </c>
      <c r="I118" s="87">
        <f>+H117+H118</f>
        <v>-730.77999999999975</v>
      </c>
    </row>
    <row r="119" spans="1:9" x14ac:dyDescent="0.3">
      <c r="A119" s="26">
        <v>45961</v>
      </c>
      <c r="B119" s="27" t="s">
        <v>1</v>
      </c>
      <c r="C119" s="24">
        <v>1840</v>
      </c>
      <c r="D119" s="25">
        <v>28</v>
      </c>
    </row>
    <row r="120" spans="1:9" x14ac:dyDescent="0.3">
      <c r="A120" s="26">
        <v>45964</v>
      </c>
      <c r="B120" s="27" t="s">
        <v>4</v>
      </c>
      <c r="C120" s="24">
        <v>-142.35</v>
      </c>
    </row>
    <row r="121" spans="1:9" x14ac:dyDescent="0.3">
      <c r="A121" s="26">
        <v>45964</v>
      </c>
      <c r="B121" s="27" t="s">
        <v>4</v>
      </c>
      <c r="C121" s="24">
        <v>-893.01</v>
      </c>
    </row>
    <row r="122" spans="1:9" x14ac:dyDescent="0.3">
      <c r="A122" s="26">
        <v>45964</v>
      </c>
      <c r="B122" s="27" t="s">
        <v>4</v>
      </c>
      <c r="C122" s="24">
        <v>-893.01</v>
      </c>
    </row>
    <row r="123" spans="1:9" x14ac:dyDescent="0.3">
      <c r="A123" s="26">
        <v>45964</v>
      </c>
      <c r="B123" s="27" t="s">
        <v>4</v>
      </c>
      <c r="C123" s="24">
        <v>-893.01</v>
      </c>
    </row>
    <row r="124" spans="1:9" x14ac:dyDescent="0.3">
      <c r="A124" s="26">
        <v>45964</v>
      </c>
      <c r="B124" s="27" t="s">
        <v>4</v>
      </c>
      <c r="C124" s="24">
        <v>-893.01</v>
      </c>
    </row>
    <row r="125" spans="1:9" x14ac:dyDescent="0.3">
      <c r="A125" s="26">
        <v>45967</v>
      </c>
      <c r="B125" s="27" t="s">
        <v>4</v>
      </c>
      <c r="C125" s="24">
        <v>-459.12</v>
      </c>
    </row>
    <row r="126" spans="1:9" x14ac:dyDescent="0.3">
      <c r="A126" s="26">
        <v>45967</v>
      </c>
      <c r="B126" s="27" t="s">
        <v>4</v>
      </c>
      <c r="C126" s="24">
        <v>-230</v>
      </c>
    </row>
    <row r="127" spans="1:9" x14ac:dyDescent="0.3">
      <c r="A127" s="26">
        <v>45967</v>
      </c>
      <c r="B127" s="27" t="s">
        <v>4</v>
      </c>
      <c r="C127" s="24">
        <v>-23</v>
      </c>
    </row>
    <row r="128" spans="1:9" x14ac:dyDescent="0.3">
      <c r="A128" s="26">
        <v>45967</v>
      </c>
      <c r="B128" s="27" t="s">
        <v>4</v>
      </c>
      <c r="C128" s="24">
        <v>-161</v>
      </c>
    </row>
    <row r="129" spans="1:9" x14ac:dyDescent="0.3">
      <c r="A129" s="26">
        <v>45966</v>
      </c>
      <c r="B129" s="27" t="s">
        <v>1</v>
      </c>
      <c r="C129" s="24">
        <v>2135.69</v>
      </c>
      <c r="D129" s="25">
        <v>-67</v>
      </c>
      <c r="H129" s="78">
        <f>+C129+C130</f>
        <v>2154.89</v>
      </c>
    </row>
    <row r="130" spans="1:9" x14ac:dyDescent="0.3">
      <c r="A130" s="26">
        <v>45966</v>
      </c>
      <c r="B130" s="72" t="s">
        <v>1</v>
      </c>
      <c r="C130" s="24">
        <v>19.2</v>
      </c>
      <c r="H130" s="78">
        <f>+C131+C132+C133+C134</f>
        <v>-691.84</v>
      </c>
      <c r="I130" s="87">
        <f>SUM(H129:H130)</f>
        <v>1463.0499999999997</v>
      </c>
    </row>
    <row r="131" spans="1:9" x14ac:dyDescent="0.3">
      <c r="A131" s="26">
        <v>45967</v>
      </c>
      <c r="B131" s="27" t="s">
        <v>4</v>
      </c>
      <c r="C131" s="24">
        <v>-457.54</v>
      </c>
    </row>
    <row r="132" spans="1:9" x14ac:dyDescent="0.3">
      <c r="A132" s="26">
        <v>45967</v>
      </c>
      <c r="B132" s="27" t="s">
        <v>4</v>
      </c>
      <c r="C132" s="24">
        <v>-2.4500000000000002</v>
      </c>
    </row>
    <row r="133" spans="1:9" x14ac:dyDescent="0.3">
      <c r="A133" s="26">
        <v>45967</v>
      </c>
      <c r="B133" s="27" t="s">
        <v>4</v>
      </c>
      <c r="C133" s="24">
        <v>-1.85</v>
      </c>
    </row>
    <row r="134" spans="1:9" x14ac:dyDescent="0.3">
      <c r="A134" s="26">
        <v>45967</v>
      </c>
      <c r="B134" s="27" t="s">
        <v>4</v>
      </c>
      <c r="C134" s="24">
        <v>-230</v>
      </c>
    </row>
    <row r="135" spans="1:9" x14ac:dyDescent="0.3">
      <c r="A135" s="26">
        <v>45967</v>
      </c>
      <c r="B135" s="27" t="s">
        <v>1</v>
      </c>
      <c r="C135" s="24">
        <v>1242</v>
      </c>
      <c r="D135" s="25">
        <f>54+7</f>
        <v>61</v>
      </c>
      <c r="H135" s="78">
        <f>+C136+C135</f>
        <v>1794</v>
      </c>
    </row>
    <row r="136" spans="1:9" x14ac:dyDescent="0.3">
      <c r="A136" s="26">
        <v>45968</v>
      </c>
      <c r="B136" s="27" t="s">
        <v>1</v>
      </c>
      <c r="C136" s="24">
        <v>552</v>
      </c>
      <c r="H136" s="78">
        <f>+C137+C138+C139+C140</f>
        <v>-3071.6899999999996</v>
      </c>
      <c r="I136" s="87">
        <f>SUM(H135:H136)</f>
        <v>-1277.6899999999996</v>
      </c>
    </row>
    <row r="137" spans="1:9" x14ac:dyDescent="0.3">
      <c r="A137" s="26">
        <v>45971</v>
      </c>
      <c r="B137" s="27" t="s">
        <v>4</v>
      </c>
      <c r="C137" s="24">
        <v>-865.63</v>
      </c>
    </row>
    <row r="138" spans="1:9" x14ac:dyDescent="0.3">
      <c r="A138" s="26">
        <v>45971</v>
      </c>
      <c r="B138" s="27" t="s">
        <v>4</v>
      </c>
      <c r="C138" s="24">
        <v>-865.63</v>
      </c>
    </row>
    <row r="139" spans="1:9" x14ac:dyDescent="0.3">
      <c r="A139" s="26">
        <v>45971</v>
      </c>
      <c r="B139" s="27" t="s">
        <v>4</v>
      </c>
      <c r="C139" s="24">
        <v>-650.44000000000005</v>
      </c>
    </row>
    <row r="140" spans="1:9" x14ac:dyDescent="0.3">
      <c r="A140" s="26">
        <v>45973</v>
      </c>
      <c r="B140" s="27" t="s">
        <v>4</v>
      </c>
      <c r="C140" s="24">
        <v>-689.99</v>
      </c>
    </row>
    <row r="141" spans="1:9" x14ac:dyDescent="0.3">
      <c r="A141" s="26">
        <v>45972</v>
      </c>
      <c r="B141" s="27" t="s">
        <v>1</v>
      </c>
      <c r="C141" s="24">
        <v>2413.87</v>
      </c>
      <c r="E141" s="25">
        <v>-1</v>
      </c>
      <c r="F141" s="25">
        <v>-1</v>
      </c>
      <c r="H141" s="78">
        <f>+C141</f>
        <v>2413.87</v>
      </c>
    </row>
    <row r="142" spans="1:9" x14ac:dyDescent="0.3">
      <c r="A142" s="26">
        <v>45973</v>
      </c>
      <c r="B142" s="27" t="s">
        <v>4</v>
      </c>
      <c r="C142" s="24">
        <v>-690</v>
      </c>
      <c r="H142" s="78">
        <f>+C142+C143</f>
        <v>-1380</v>
      </c>
      <c r="I142" s="87">
        <f>SUM(H141:H142)</f>
        <v>1033.8699999999999</v>
      </c>
    </row>
    <row r="143" spans="1:9" x14ac:dyDescent="0.3">
      <c r="A143" s="26">
        <v>45974</v>
      </c>
      <c r="B143" s="27" t="s">
        <v>4</v>
      </c>
      <c r="C143" s="24">
        <v>-690</v>
      </c>
    </row>
    <row r="144" spans="1:9" x14ac:dyDescent="0.3">
      <c r="A144" s="26">
        <v>45975</v>
      </c>
      <c r="B144" s="27" t="s">
        <v>1</v>
      </c>
      <c r="C144" s="24">
        <v>2403.7600000000002</v>
      </c>
      <c r="H144" s="78">
        <f>+C144</f>
        <v>2403.7600000000002</v>
      </c>
    </row>
    <row r="145" spans="1:9" x14ac:dyDescent="0.3">
      <c r="A145" s="26">
        <v>45978</v>
      </c>
      <c r="B145" s="27" t="s">
        <v>4</v>
      </c>
      <c r="C145" s="24">
        <v>-845.81</v>
      </c>
      <c r="H145" s="78">
        <f>+C145+C146+C147+C148</f>
        <v>-2747.6299999999997</v>
      </c>
      <c r="I145" s="87">
        <f>SUM(H144:H145)</f>
        <v>-343.86999999999944</v>
      </c>
    </row>
    <row r="146" spans="1:9" x14ac:dyDescent="0.3">
      <c r="A146" s="26">
        <v>45978</v>
      </c>
      <c r="B146" s="27" t="s">
        <v>4</v>
      </c>
      <c r="C146" s="24">
        <v>-845.81</v>
      </c>
    </row>
    <row r="147" spans="1:9" x14ac:dyDescent="0.3">
      <c r="A147" s="26">
        <v>45978</v>
      </c>
      <c r="B147" s="27" t="s">
        <v>4</v>
      </c>
      <c r="C147" s="24">
        <v>-845.81</v>
      </c>
    </row>
    <row r="148" spans="1:9" x14ac:dyDescent="0.3">
      <c r="A148" s="26">
        <v>45978</v>
      </c>
      <c r="B148" s="27" t="s">
        <v>4</v>
      </c>
      <c r="C148" s="24">
        <v>-210.2</v>
      </c>
    </row>
    <row r="149" spans="1:9" x14ac:dyDescent="0.3">
      <c r="A149" s="26">
        <v>45979</v>
      </c>
      <c r="B149" s="27" t="s">
        <v>1</v>
      </c>
      <c r="C149" s="24">
        <v>2142.6999999999998</v>
      </c>
      <c r="H149" s="78">
        <f>+C149</f>
        <v>2142.6999999999998</v>
      </c>
    </row>
    <row r="150" spans="1:9" x14ac:dyDescent="0.3">
      <c r="A150" s="26">
        <v>45980</v>
      </c>
      <c r="B150" s="27" t="s">
        <v>4</v>
      </c>
      <c r="C150" s="24">
        <v>-690</v>
      </c>
      <c r="H150" s="78">
        <f>+C150+C151+C152+C153</f>
        <v>-2079.16</v>
      </c>
      <c r="I150" s="87">
        <f>SUM(H149:H150)</f>
        <v>63.539999999999964</v>
      </c>
    </row>
    <row r="151" spans="1:9" x14ac:dyDescent="0.3">
      <c r="A151" s="26">
        <v>45980</v>
      </c>
      <c r="B151" s="27" t="s">
        <v>4</v>
      </c>
      <c r="C151" s="24">
        <v>-124.16</v>
      </c>
    </row>
    <row r="152" spans="1:9" x14ac:dyDescent="0.3">
      <c r="A152" s="26">
        <v>45980</v>
      </c>
      <c r="B152" s="27" t="s">
        <v>4</v>
      </c>
      <c r="C152" s="24">
        <v>-690</v>
      </c>
    </row>
    <row r="153" spans="1:9" x14ac:dyDescent="0.3">
      <c r="A153" s="26">
        <v>45981</v>
      </c>
      <c r="B153" s="27" t="s">
        <v>4</v>
      </c>
      <c r="C153" s="24">
        <v>-575</v>
      </c>
    </row>
    <row r="154" spans="1:9" x14ac:dyDescent="0.3">
      <c r="A154" s="26">
        <v>45982</v>
      </c>
      <c r="B154" s="27" t="s">
        <v>1</v>
      </c>
      <c r="C154" s="24">
        <v>2110.56</v>
      </c>
      <c r="E154" s="25">
        <v>1</v>
      </c>
      <c r="H154" s="78">
        <f>+C154</f>
        <v>2110.56</v>
      </c>
    </row>
    <row r="155" spans="1:9" x14ac:dyDescent="0.3">
      <c r="A155" s="26">
        <v>45985</v>
      </c>
      <c r="B155" s="27" t="s">
        <v>4</v>
      </c>
      <c r="C155" s="24">
        <v>-822.67</v>
      </c>
      <c r="H155" s="78">
        <f>+C155+C156+C157</f>
        <v>-2322.2399999999998</v>
      </c>
      <c r="I155" s="87">
        <f>SUM(H154:H155)</f>
        <v>-211.67999999999984</v>
      </c>
    </row>
    <row r="156" spans="1:9" x14ac:dyDescent="0.3">
      <c r="A156" s="26">
        <v>45985</v>
      </c>
      <c r="B156" s="27" t="s">
        <v>4</v>
      </c>
      <c r="C156" s="24">
        <v>-822.67</v>
      </c>
    </row>
    <row r="157" spans="1:9" x14ac:dyDescent="0.3">
      <c r="A157" s="26">
        <v>45985</v>
      </c>
      <c r="B157" s="27" t="s">
        <v>4</v>
      </c>
      <c r="C157" s="24">
        <v>-676.9</v>
      </c>
    </row>
    <row r="158" spans="1:9" x14ac:dyDescent="0.3">
      <c r="A158" s="26">
        <v>45986</v>
      </c>
      <c r="B158" s="27" t="s">
        <v>1</v>
      </c>
      <c r="C158" s="24">
        <v>3099.89</v>
      </c>
      <c r="D158" s="25">
        <v>-36</v>
      </c>
      <c r="F158" s="25">
        <v>-1</v>
      </c>
      <c r="H158" s="78">
        <f>+C158</f>
        <v>3099.89</v>
      </c>
    </row>
    <row r="159" spans="1:9" x14ac:dyDescent="0.3">
      <c r="A159" s="26">
        <v>45987</v>
      </c>
      <c r="B159" s="27" t="s">
        <v>4</v>
      </c>
      <c r="C159" s="24">
        <v>-690</v>
      </c>
      <c r="H159" s="78">
        <f>+C159+C160</f>
        <v>-1840</v>
      </c>
      <c r="I159" s="87">
        <f>SUM(H158:H159)</f>
        <v>1259.8899999999999</v>
      </c>
    </row>
    <row r="160" spans="1:9" x14ac:dyDescent="0.3">
      <c r="A160" s="26">
        <v>45987</v>
      </c>
      <c r="B160" s="27" t="s">
        <v>4</v>
      </c>
      <c r="C160" s="24">
        <v>-1150</v>
      </c>
    </row>
    <row r="161" spans="1:13" x14ac:dyDescent="0.3">
      <c r="A161" s="26">
        <v>45989</v>
      </c>
      <c r="B161" s="27" t="s">
        <v>1</v>
      </c>
      <c r="C161" s="24">
        <v>1978</v>
      </c>
      <c r="H161" s="78">
        <f>+C161</f>
        <v>1978</v>
      </c>
    </row>
    <row r="162" spans="1:13" x14ac:dyDescent="0.3">
      <c r="A162" s="26">
        <v>45992</v>
      </c>
      <c r="B162" s="27" t="s">
        <v>4</v>
      </c>
      <c r="C162" s="24">
        <v>-808.73</v>
      </c>
      <c r="H162" s="78">
        <f>+C162+C163+C164+C165+C167</f>
        <v>-3237.88</v>
      </c>
      <c r="I162" s="87">
        <f>SUM(H161:H162)</f>
        <v>-1259.8800000000001</v>
      </c>
    </row>
    <row r="163" spans="1:13" x14ac:dyDescent="0.3">
      <c r="A163" s="26">
        <v>45992</v>
      </c>
      <c r="B163" s="27" t="s">
        <v>4</v>
      </c>
      <c r="C163" s="24">
        <v>-808.73</v>
      </c>
    </row>
    <row r="164" spans="1:13" x14ac:dyDescent="0.3">
      <c r="A164" s="26">
        <v>45992</v>
      </c>
      <c r="B164" s="27" t="s">
        <v>4</v>
      </c>
      <c r="C164" s="24">
        <v>-808.73</v>
      </c>
    </row>
    <row r="165" spans="1:13" x14ac:dyDescent="0.3">
      <c r="A165" s="26">
        <v>45992</v>
      </c>
      <c r="B165" s="27" t="s">
        <v>4</v>
      </c>
      <c r="C165" s="24">
        <v>-351.69</v>
      </c>
      <c r="M165" s="87">
        <f>SUM(C12:C165)</f>
        <v>324.08999999999929</v>
      </c>
    </row>
    <row r="166" spans="1:13" x14ac:dyDescent="0.3">
      <c r="A166" s="26">
        <v>45993</v>
      </c>
      <c r="B166" s="27" t="s">
        <v>1</v>
      </c>
      <c r="C166" s="24">
        <v>7970.7</v>
      </c>
      <c r="D166" s="25">
        <v>144</v>
      </c>
      <c r="H166" s="78">
        <f>+C166+C168+C170</f>
        <v>14589.26</v>
      </c>
      <c r="M166" s="87">
        <f>SUM(C166:C226)</f>
        <v>-179.03999999999564</v>
      </c>
    </row>
    <row r="167" spans="1:13" x14ac:dyDescent="0.3">
      <c r="A167" s="26">
        <v>45994</v>
      </c>
      <c r="B167" s="27" t="s">
        <v>4</v>
      </c>
      <c r="C167" s="24">
        <v>-460</v>
      </c>
      <c r="H167" s="78">
        <f>+C169+C171</f>
        <v>-2092.9899999999998</v>
      </c>
      <c r="I167" s="87">
        <f>SUM(H166:H167)</f>
        <v>12496.27</v>
      </c>
    </row>
    <row r="168" spans="1:13" x14ac:dyDescent="0.3">
      <c r="A168" s="26">
        <v>45994</v>
      </c>
      <c r="B168" s="27" t="s">
        <v>1</v>
      </c>
      <c r="C168" s="24">
        <v>6066.56</v>
      </c>
      <c r="D168" s="25">
        <v>288</v>
      </c>
      <c r="H168" s="78"/>
    </row>
    <row r="169" spans="1:13" x14ac:dyDescent="0.3">
      <c r="A169" s="26">
        <v>45995</v>
      </c>
      <c r="B169" s="27" t="s">
        <v>4</v>
      </c>
      <c r="C169" s="24">
        <v>-1586.99</v>
      </c>
    </row>
    <row r="170" spans="1:13" x14ac:dyDescent="0.3">
      <c r="A170" s="26">
        <v>45996</v>
      </c>
      <c r="B170" s="27" t="s">
        <v>1</v>
      </c>
      <c r="C170" s="24">
        <v>552</v>
      </c>
      <c r="D170" s="25">
        <v>27</v>
      </c>
    </row>
    <row r="171" spans="1:13" x14ac:dyDescent="0.3">
      <c r="A171" s="26">
        <v>45996</v>
      </c>
      <c r="B171" s="27" t="s">
        <v>4</v>
      </c>
      <c r="C171" s="24">
        <v>-506</v>
      </c>
    </row>
    <row r="172" spans="1:13" x14ac:dyDescent="0.3">
      <c r="A172" s="26">
        <v>45996</v>
      </c>
      <c r="B172" s="27" t="s">
        <v>1</v>
      </c>
      <c r="C172" s="24">
        <v>1426</v>
      </c>
      <c r="D172" s="25">
        <f>62+8</f>
        <v>70</v>
      </c>
      <c r="H172" s="78">
        <f>+C172</f>
        <v>1426</v>
      </c>
    </row>
    <row r="173" spans="1:13" x14ac:dyDescent="0.3">
      <c r="A173" s="26">
        <v>45999</v>
      </c>
      <c r="B173" s="27" t="s">
        <v>4</v>
      </c>
      <c r="C173" s="24">
        <v>-519.78</v>
      </c>
      <c r="H173" s="78">
        <f>+C173+C174+C175</f>
        <v>-2070.6</v>
      </c>
      <c r="I173" s="87">
        <f>+H172+H173</f>
        <v>-644.59999999999991</v>
      </c>
    </row>
    <row r="174" spans="1:13" x14ac:dyDescent="0.3">
      <c r="A174" s="26">
        <v>45999</v>
      </c>
      <c r="B174" s="27" t="s">
        <v>4</v>
      </c>
      <c r="C174" s="24">
        <v>-775.41</v>
      </c>
    </row>
    <row r="175" spans="1:13" x14ac:dyDescent="0.3">
      <c r="A175" s="26">
        <v>45999</v>
      </c>
      <c r="B175" s="27" t="s">
        <v>4</v>
      </c>
      <c r="C175" s="24">
        <v>-775.41</v>
      </c>
    </row>
    <row r="176" spans="1:13" x14ac:dyDescent="0.3">
      <c r="A176" s="26">
        <v>45999</v>
      </c>
      <c r="B176" s="27" t="s">
        <v>1</v>
      </c>
      <c r="C176" s="24">
        <v>9888.9500000000007</v>
      </c>
      <c r="D176" s="25">
        <v>294</v>
      </c>
      <c r="H176" s="78">
        <f>+C176+C177+C178</f>
        <v>14146.75</v>
      </c>
    </row>
    <row r="177" spans="1:9" x14ac:dyDescent="0.3">
      <c r="A177" s="26">
        <v>46000</v>
      </c>
      <c r="B177" s="27" t="s">
        <v>1</v>
      </c>
      <c r="C177" s="24">
        <v>163.80000000000001</v>
      </c>
      <c r="D177" s="25">
        <v>10</v>
      </c>
      <c r="H177" s="78">
        <f>+C179+C180+C181+C182+C183</f>
        <v>-6853.92</v>
      </c>
      <c r="I177" s="124">
        <f>SUM(H176:H177)</f>
        <v>7292.83</v>
      </c>
    </row>
    <row r="178" spans="1:9" x14ac:dyDescent="0.3">
      <c r="A178" s="26">
        <v>46003</v>
      </c>
      <c r="B178" s="27" t="s">
        <v>1</v>
      </c>
      <c r="C178" s="24">
        <v>4094</v>
      </c>
      <c r="D178" s="25">
        <v>146</v>
      </c>
    </row>
    <row r="179" spans="1:9" x14ac:dyDescent="0.3">
      <c r="A179" s="26">
        <v>46006</v>
      </c>
      <c r="B179" s="27" t="s">
        <v>4</v>
      </c>
      <c r="C179" s="24">
        <v>-2598.9899999999998</v>
      </c>
    </row>
    <row r="180" spans="1:9" x14ac:dyDescent="0.3">
      <c r="A180" s="26">
        <v>46006</v>
      </c>
      <c r="B180" s="27" t="s">
        <v>4</v>
      </c>
      <c r="C180" s="24">
        <v>-738.58</v>
      </c>
    </row>
    <row r="181" spans="1:9" x14ac:dyDescent="0.3">
      <c r="A181" s="26">
        <v>46006</v>
      </c>
      <c r="B181" s="27" t="s">
        <v>4</v>
      </c>
      <c r="C181" s="24">
        <v>-738.58</v>
      </c>
    </row>
    <row r="182" spans="1:9" x14ac:dyDescent="0.3">
      <c r="A182" s="26">
        <v>46006</v>
      </c>
      <c r="B182" s="27" t="s">
        <v>4</v>
      </c>
      <c r="C182" s="24">
        <v>-17.829999999999998</v>
      </c>
    </row>
    <row r="183" spans="1:9" x14ac:dyDescent="0.3">
      <c r="A183" s="26">
        <v>46007</v>
      </c>
      <c r="B183" s="27" t="s">
        <v>4</v>
      </c>
      <c r="C183" s="24">
        <v>-2759.94</v>
      </c>
    </row>
    <row r="184" spans="1:9" x14ac:dyDescent="0.3">
      <c r="A184" s="26">
        <v>46007</v>
      </c>
      <c r="B184" s="27" t="s">
        <v>22</v>
      </c>
      <c r="D184" s="25">
        <v>-137</v>
      </c>
    </row>
    <row r="185" spans="1:9" x14ac:dyDescent="0.3">
      <c r="A185" s="26">
        <v>46010</v>
      </c>
      <c r="B185" s="27" t="s">
        <v>1</v>
      </c>
      <c r="C185" s="24">
        <v>575</v>
      </c>
      <c r="D185" s="25">
        <v>-48</v>
      </c>
      <c r="H185" s="78">
        <f>+C185</f>
        <v>575</v>
      </c>
    </row>
    <row r="186" spans="1:9" x14ac:dyDescent="0.3">
      <c r="A186" s="26">
        <v>46013</v>
      </c>
      <c r="B186" s="27" t="s">
        <v>4</v>
      </c>
      <c r="C186" s="24">
        <v>-145</v>
      </c>
      <c r="H186" s="78">
        <f>+C186</f>
        <v>-145</v>
      </c>
      <c r="I186" s="87">
        <f>SUM(H185:H186)</f>
        <v>430</v>
      </c>
    </row>
    <row r="187" spans="1:9" x14ac:dyDescent="0.3">
      <c r="A187" s="26">
        <v>46013</v>
      </c>
      <c r="B187" s="27" t="s">
        <v>1</v>
      </c>
      <c r="C187" s="24">
        <v>5006.66</v>
      </c>
      <c r="D187" s="25">
        <v>13</v>
      </c>
      <c r="H187" s="78">
        <f>+C187</f>
        <v>5006.66</v>
      </c>
    </row>
    <row r="188" spans="1:9" x14ac:dyDescent="0.3">
      <c r="A188" s="26">
        <v>46014</v>
      </c>
      <c r="B188" s="27" t="s">
        <v>4</v>
      </c>
      <c r="C188" s="24">
        <v>-700.76</v>
      </c>
      <c r="H188" s="78">
        <f>+C188+C189+C190+C191+C192+C193+C194+C195+C196</f>
        <v>-6166.96</v>
      </c>
      <c r="I188" s="87">
        <f>SUM(H187:H188)</f>
        <v>-1160.3000000000002</v>
      </c>
    </row>
    <row r="189" spans="1:9" x14ac:dyDescent="0.3">
      <c r="A189" s="26">
        <v>46014</v>
      </c>
      <c r="B189" s="27" t="s">
        <v>4</v>
      </c>
      <c r="C189" s="24">
        <v>-700.76</v>
      </c>
    </row>
    <row r="190" spans="1:9" x14ac:dyDescent="0.3">
      <c r="A190" s="26">
        <v>46014</v>
      </c>
      <c r="B190" s="27" t="s">
        <v>4</v>
      </c>
      <c r="C190" s="24">
        <v>-700.76</v>
      </c>
    </row>
    <row r="191" spans="1:9" x14ac:dyDescent="0.3">
      <c r="A191" s="26">
        <v>46014</v>
      </c>
      <c r="B191" s="27" t="s">
        <v>4</v>
      </c>
      <c r="C191" s="24">
        <v>-700.76</v>
      </c>
    </row>
    <row r="192" spans="1:9" x14ac:dyDescent="0.3">
      <c r="A192" s="26">
        <v>46014</v>
      </c>
      <c r="B192" s="27" t="s">
        <v>4</v>
      </c>
      <c r="C192" s="24">
        <v>-700.76</v>
      </c>
    </row>
    <row r="193" spans="1:9" x14ac:dyDescent="0.3">
      <c r="A193" s="26">
        <v>46014</v>
      </c>
      <c r="B193" s="27" t="s">
        <v>4</v>
      </c>
      <c r="C193" s="24">
        <v>-700.76</v>
      </c>
    </row>
    <row r="194" spans="1:9" x14ac:dyDescent="0.3">
      <c r="A194" s="26">
        <v>46014</v>
      </c>
      <c r="B194" s="27" t="s">
        <v>4</v>
      </c>
      <c r="C194" s="24">
        <v>-395.4</v>
      </c>
    </row>
    <row r="195" spans="1:9" x14ac:dyDescent="0.3">
      <c r="A195" s="26">
        <v>46014</v>
      </c>
      <c r="B195" s="27" t="s">
        <v>4</v>
      </c>
      <c r="C195" s="24">
        <v>-551.63</v>
      </c>
    </row>
    <row r="196" spans="1:9" x14ac:dyDescent="0.3">
      <c r="A196" s="26">
        <v>46014</v>
      </c>
      <c r="B196" s="27" t="s">
        <v>4</v>
      </c>
      <c r="C196" s="24">
        <v>-1015.37</v>
      </c>
    </row>
    <row r="197" spans="1:9" x14ac:dyDescent="0.3">
      <c r="A197" s="26">
        <v>46014</v>
      </c>
      <c r="B197" s="27" t="s">
        <v>1</v>
      </c>
      <c r="C197" s="24">
        <v>907.3</v>
      </c>
      <c r="D197" s="25">
        <f>34+5</f>
        <v>39</v>
      </c>
      <c r="H197" s="78">
        <f>+C197</f>
        <v>907.3</v>
      </c>
    </row>
    <row r="198" spans="1:9" x14ac:dyDescent="0.3">
      <c r="A198" s="26">
        <v>46017</v>
      </c>
      <c r="B198" s="27" t="s">
        <v>4</v>
      </c>
      <c r="C198" s="24">
        <v>-1353.26</v>
      </c>
      <c r="H198" s="78">
        <f>+C198</f>
        <v>-1353.26</v>
      </c>
      <c r="I198" s="87">
        <f>SUM(H197:H198)</f>
        <v>-445.96000000000004</v>
      </c>
    </row>
    <row r="199" spans="1:9" x14ac:dyDescent="0.3">
      <c r="A199" s="26">
        <v>46017</v>
      </c>
      <c r="B199" s="27" t="s">
        <v>1</v>
      </c>
      <c r="C199" s="24">
        <v>566.79999999999995</v>
      </c>
      <c r="D199" s="25">
        <v>-277</v>
      </c>
      <c r="H199" s="78">
        <f>+C199</f>
        <v>566.79999999999995</v>
      </c>
    </row>
    <row r="200" spans="1:9" x14ac:dyDescent="0.3">
      <c r="A200" s="26">
        <v>46018</v>
      </c>
      <c r="B200" s="27" t="s">
        <v>4</v>
      </c>
      <c r="C200" s="24">
        <v>-7409.96</v>
      </c>
      <c r="H200" s="78">
        <f>+C200+C201+C202+C203</f>
        <v>-10311.24</v>
      </c>
      <c r="I200" s="87">
        <f>SUM(H199:H200)</f>
        <v>-9744.44</v>
      </c>
    </row>
    <row r="201" spans="1:9" x14ac:dyDescent="0.3">
      <c r="A201" s="26">
        <v>46020</v>
      </c>
      <c r="B201" s="27" t="s">
        <v>4</v>
      </c>
      <c r="C201" s="24">
        <v>-23.5</v>
      </c>
    </row>
    <row r="202" spans="1:9" x14ac:dyDescent="0.3">
      <c r="A202" s="26">
        <v>46021</v>
      </c>
      <c r="B202" s="27" t="s">
        <v>4</v>
      </c>
      <c r="C202" s="24">
        <v>-2138.98</v>
      </c>
    </row>
    <row r="203" spans="1:9" x14ac:dyDescent="0.3">
      <c r="A203" s="26">
        <v>46021</v>
      </c>
      <c r="B203" s="27" t="s">
        <v>4</v>
      </c>
      <c r="C203" s="24">
        <v>-738.8</v>
      </c>
    </row>
    <row r="204" spans="1:9" x14ac:dyDescent="0.3">
      <c r="A204" s="26">
        <v>46020</v>
      </c>
      <c r="B204" s="27" t="s">
        <v>1</v>
      </c>
      <c r="C204" s="24">
        <v>1633.5</v>
      </c>
      <c r="D204" s="25">
        <v>-144</v>
      </c>
      <c r="H204" s="78">
        <f>+C204+C205</f>
        <v>2113.5500000000002</v>
      </c>
    </row>
    <row r="205" spans="1:9" x14ac:dyDescent="0.3">
      <c r="A205" s="26">
        <v>46021</v>
      </c>
      <c r="B205" s="27" t="s">
        <v>1</v>
      </c>
      <c r="C205" s="24">
        <v>480.05</v>
      </c>
      <c r="H205" s="78">
        <f>+C206+C207+C208+C209+C210+C211+C212+C213+C214</f>
        <v>-8570.56</v>
      </c>
      <c r="I205" s="87">
        <f>SUM(H204:H205)</f>
        <v>-6457.0099999999993</v>
      </c>
    </row>
    <row r="206" spans="1:9" x14ac:dyDescent="0.3">
      <c r="A206" s="26">
        <v>46027</v>
      </c>
      <c r="B206" s="27" t="s">
        <v>4</v>
      </c>
      <c r="C206" s="24">
        <v>-656.43</v>
      </c>
    </row>
    <row r="207" spans="1:9" x14ac:dyDescent="0.3">
      <c r="A207" s="26">
        <v>46027</v>
      </c>
      <c r="B207" s="27" t="s">
        <v>4</v>
      </c>
      <c r="C207" s="24">
        <v>-656.43</v>
      </c>
    </row>
    <row r="208" spans="1:9" x14ac:dyDescent="0.3">
      <c r="A208" s="26">
        <v>46027</v>
      </c>
      <c r="B208" s="27" t="s">
        <v>4</v>
      </c>
      <c r="C208" s="24">
        <v>-656.43</v>
      </c>
    </row>
    <row r="209" spans="1:11" x14ac:dyDescent="0.3">
      <c r="A209" s="26">
        <v>46027</v>
      </c>
      <c r="B209" s="27" t="s">
        <v>4</v>
      </c>
      <c r="C209" s="24">
        <v>-656.43</v>
      </c>
    </row>
    <row r="210" spans="1:11" x14ac:dyDescent="0.3">
      <c r="A210" s="26">
        <v>46027</v>
      </c>
      <c r="B210" s="27" t="s">
        <v>4</v>
      </c>
      <c r="C210" s="24">
        <v>-656.43</v>
      </c>
    </row>
    <row r="211" spans="1:11" x14ac:dyDescent="0.3">
      <c r="A211" s="26">
        <v>46027</v>
      </c>
      <c r="B211" s="27" t="s">
        <v>4</v>
      </c>
      <c r="C211" s="24">
        <v>-656.43</v>
      </c>
    </row>
    <row r="212" spans="1:11" x14ac:dyDescent="0.3">
      <c r="A212" s="26">
        <v>46027</v>
      </c>
      <c r="B212" s="27" t="s">
        <v>4</v>
      </c>
      <c r="C212" s="24">
        <v>-2953.92</v>
      </c>
    </row>
    <row r="213" spans="1:11" x14ac:dyDescent="0.3">
      <c r="A213" s="26">
        <v>46027</v>
      </c>
      <c r="B213" s="27" t="s">
        <v>4</v>
      </c>
      <c r="C213" s="24">
        <v>-1533.06</v>
      </c>
    </row>
    <row r="214" spans="1:11" x14ac:dyDescent="0.3">
      <c r="A214" s="26">
        <v>46027</v>
      </c>
      <c r="B214" s="27" t="s">
        <v>4</v>
      </c>
      <c r="C214" s="24">
        <v>-145</v>
      </c>
    </row>
    <row r="215" spans="1:11" x14ac:dyDescent="0.3">
      <c r="A215" s="26">
        <v>46030</v>
      </c>
      <c r="B215" s="27" t="s">
        <v>1</v>
      </c>
      <c r="C215" s="24">
        <v>575</v>
      </c>
      <c r="D215" s="25">
        <v>-40</v>
      </c>
      <c r="H215" s="78">
        <f>+C215+C216</f>
        <v>1112.23</v>
      </c>
    </row>
    <row r="216" spans="1:11" x14ac:dyDescent="0.3">
      <c r="A216" s="26">
        <v>45666</v>
      </c>
      <c r="B216" s="27" t="s">
        <v>1</v>
      </c>
      <c r="C216" s="24">
        <v>537.23</v>
      </c>
      <c r="D216" s="25">
        <v>22</v>
      </c>
      <c r="H216" s="78">
        <f>+C217+C218+C219+C220</f>
        <v>-2608.37</v>
      </c>
      <c r="I216" s="87">
        <f>SUM(H215:H216)</f>
        <v>-1496.1399999999999</v>
      </c>
    </row>
    <row r="217" spans="1:11" x14ac:dyDescent="0.3">
      <c r="A217" s="26">
        <v>46031</v>
      </c>
      <c r="B217" s="27" t="s">
        <v>503</v>
      </c>
      <c r="C217" s="24">
        <v>-7.2</v>
      </c>
      <c r="K217" s="18" t="s">
        <v>545</v>
      </c>
    </row>
    <row r="218" spans="1:11" x14ac:dyDescent="0.3">
      <c r="A218" s="26">
        <v>46035</v>
      </c>
      <c r="B218" s="27" t="s">
        <v>4</v>
      </c>
      <c r="C218" s="24">
        <v>-1513.43</v>
      </c>
    </row>
    <row r="219" spans="1:11" x14ac:dyDescent="0.3">
      <c r="A219" s="26">
        <v>46035</v>
      </c>
      <c r="B219" s="27" t="s">
        <v>4</v>
      </c>
      <c r="C219" s="24">
        <v>-908.06</v>
      </c>
    </row>
    <row r="220" spans="1:11" x14ac:dyDescent="0.3">
      <c r="A220" s="26">
        <v>46035</v>
      </c>
      <c r="B220" s="27" t="s">
        <v>4</v>
      </c>
      <c r="C220" s="24">
        <v>-179.68</v>
      </c>
      <c r="K220" s="18">
        <f>SUM(I13:I222)</f>
        <v>287.20000000000005</v>
      </c>
    </row>
    <row r="221" spans="1:11" x14ac:dyDescent="0.3">
      <c r="A221" s="26">
        <v>46035</v>
      </c>
      <c r="B221" s="27" t="s">
        <v>1</v>
      </c>
      <c r="C221" s="24">
        <v>1771</v>
      </c>
      <c r="H221" s="78">
        <f>+C221+C222</f>
        <v>1990.43</v>
      </c>
    </row>
    <row r="222" spans="1:11" x14ac:dyDescent="0.3">
      <c r="A222" s="26">
        <v>46036</v>
      </c>
      <c r="B222" s="27" t="s">
        <v>1</v>
      </c>
      <c r="C222" s="24">
        <v>219.43</v>
      </c>
      <c r="H222" s="78">
        <f>+C223+C224+C225+C226</f>
        <v>-1980.12</v>
      </c>
      <c r="I222" s="87">
        <f>SUM(H221:H222)</f>
        <v>10.310000000000173</v>
      </c>
    </row>
    <row r="223" spans="1:11" x14ac:dyDescent="0.3">
      <c r="A223" s="26">
        <v>46042</v>
      </c>
      <c r="B223" s="27" t="s">
        <v>4</v>
      </c>
      <c r="C223" s="24">
        <v>-580.54</v>
      </c>
    </row>
    <row r="224" spans="1:11" x14ac:dyDescent="0.3">
      <c r="A224" s="26">
        <v>46042</v>
      </c>
      <c r="B224" s="27" t="s">
        <v>4</v>
      </c>
      <c r="C224" s="24">
        <v>-580.54</v>
      </c>
    </row>
    <row r="225" spans="1:9" x14ac:dyDescent="0.3">
      <c r="A225" s="26">
        <v>46042</v>
      </c>
      <c r="B225" s="27" t="s">
        <v>4</v>
      </c>
      <c r="C225" s="24">
        <v>-580.54</v>
      </c>
    </row>
    <row r="226" spans="1:9" x14ac:dyDescent="0.3">
      <c r="A226" s="26">
        <v>46042</v>
      </c>
      <c r="B226" s="27" t="s">
        <v>4</v>
      </c>
      <c r="C226" s="24">
        <v>-238.5</v>
      </c>
      <c r="I226" s="18">
        <v>10.31</v>
      </c>
    </row>
    <row r="227" spans="1:9" x14ac:dyDescent="0.3">
      <c r="A227" s="26">
        <v>46042</v>
      </c>
      <c r="B227" s="27" t="s">
        <v>1</v>
      </c>
      <c r="C227" s="24">
        <v>2599.92</v>
      </c>
      <c r="D227" s="25">
        <v>50</v>
      </c>
    </row>
    <row r="228" spans="1:9" x14ac:dyDescent="0.3">
      <c r="A228" s="26">
        <v>46043</v>
      </c>
      <c r="B228" s="27" t="s">
        <v>22</v>
      </c>
      <c r="D228" s="25">
        <v>-256</v>
      </c>
    </row>
    <row r="229" spans="1:9" x14ac:dyDescent="0.3">
      <c r="A229" s="26">
        <v>46048</v>
      </c>
      <c r="B229" s="27" t="s">
        <v>4</v>
      </c>
      <c r="C229" s="24">
        <v>-1955</v>
      </c>
    </row>
    <row r="230" spans="1:9" x14ac:dyDescent="0.3">
      <c r="A230" s="26">
        <v>46049</v>
      </c>
      <c r="B230" s="27" t="s">
        <v>4</v>
      </c>
      <c r="C230" s="24">
        <v>-644</v>
      </c>
    </row>
    <row r="231" spans="1:9" x14ac:dyDescent="0.3">
      <c r="A231" s="26">
        <v>46050</v>
      </c>
      <c r="B231" s="27" t="s">
        <v>1</v>
      </c>
      <c r="C231" s="24">
        <v>1810.31</v>
      </c>
    </row>
    <row r="232" spans="1:9" x14ac:dyDescent="0.3">
      <c r="A232" s="26">
        <v>46055</v>
      </c>
      <c r="B232" s="27" t="s">
        <v>4</v>
      </c>
      <c r="C232" s="24">
        <v>-189.8</v>
      </c>
    </row>
    <row r="233" spans="1:9" x14ac:dyDescent="0.3">
      <c r="A233" s="26">
        <v>46055</v>
      </c>
      <c r="B233" s="27" t="s">
        <v>4</v>
      </c>
      <c r="C233" s="24">
        <v>-540.16999999999996</v>
      </c>
    </row>
    <row r="234" spans="1:9" x14ac:dyDescent="0.3">
      <c r="A234" s="26">
        <v>46055</v>
      </c>
      <c r="B234" s="27" t="s">
        <v>4</v>
      </c>
      <c r="C234" s="24">
        <v>-540.16999999999996</v>
      </c>
    </row>
    <row r="235" spans="1:9" x14ac:dyDescent="0.3">
      <c r="A235" s="26">
        <v>46055</v>
      </c>
      <c r="B235" s="27" t="s">
        <v>4</v>
      </c>
      <c r="C235" s="24">
        <v>-540.16999999999996</v>
      </c>
    </row>
    <row r="236" spans="1:9" x14ac:dyDescent="0.3">
      <c r="A236" s="26">
        <v>46056</v>
      </c>
      <c r="B236" s="27" t="s">
        <v>1</v>
      </c>
      <c r="C236" s="24">
        <v>2139</v>
      </c>
    </row>
    <row r="237" spans="1:9" x14ac:dyDescent="0.3">
      <c r="A237" s="26">
        <v>46057</v>
      </c>
      <c r="B237" s="27" t="s">
        <v>4</v>
      </c>
      <c r="C237" s="24">
        <v>-1232.1400000000001</v>
      </c>
    </row>
  </sheetData>
  <mergeCells count="1">
    <mergeCell ref="A3:B3"/>
  </mergeCells>
  <pageMargins left="0.7" right="0.7" top="0.75" bottom="0.75" header="0.3" footer="0.3"/>
  <pageSetup paperSize="5" scale="81" orientation="portrait" r:id="rId1"/>
  <legacyDrawing r:id="rId2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9BC7-E6F5-4A77-84C5-C03AD8746E8D}">
  <sheetPr codeName="Hoja167"/>
  <dimension ref="A1:H71"/>
  <sheetViews>
    <sheetView view="pageBreakPreview" zoomScale="80" zoomScaleNormal="100" zoomScaleSheetLayoutView="80" workbookViewId="0">
      <selection activeCell="C49" sqref="C4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216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695.00000000000011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45821</v>
      </c>
      <c r="B5" s="31" t="s">
        <v>21</v>
      </c>
      <c r="C5" s="24">
        <v>187.2</v>
      </c>
      <c r="D5" s="30"/>
      <c r="E5" s="30"/>
      <c r="F5" s="30"/>
      <c r="G5" s="22"/>
    </row>
    <row r="6" spans="1:8" hidden="1" x14ac:dyDescent="0.3">
      <c r="A6" s="21">
        <v>45821</v>
      </c>
      <c r="B6" s="32" t="s">
        <v>1</v>
      </c>
      <c r="C6" s="24">
        <v>15.85</v>
      </c>
    </row>
    <row r="7" spans="1:8" hidden="1" x14ac:dyDescent="0.3">
      <c r="A7" s="21">
        <v>45824</v>
      </c>
      <c r="B7" s="27" t="s">
        <v>4</v>
      </c>
      <c r="C7" s="24">
        <v>-97.89</v>
      </c>
    </row>
    <row r="8" spans="1:8" hidden="1" x14ac:dyDescent="0.3">
      <c r="A8" s="26">
        <v>45821</v>
      </c>
      <c r="B8" s="27" t="s">
        <v>4</v>
      </c>
      <c r="C8" s="24">
        <v>-58.7</v>
      </c>
    </row>
    <row r="9" spans="1:8" hidden="1" x14ac:dyDescent="0.3">
      <c r="A9" s="26">
        <v>45827</v>
      </c>
      <c r="B9" s="27" t="s">
        <v>4</v>
      </c>
      <c r="C9" s="24">
        <v>-46.46</v>
      </c>
    </row>
    <row r="10" spans="1:8" hidden="1" x14ac:dyDescent="0.3">
      <c r="A10" s="26">
        <v>45827</v>
      </c>
      <c r="B10" s="31" t="s">
        <v>1</v>
      </c>
      <c r="C10" s="24">
        <v>312</v>
      </c>
    </row>
    <row r="11" spans="1:8" hidden="1" x14ac:dyDescent="0.3">
      <c r="A11" s="26">
        <v>45831</v>
      </c>
      <c r="B11" s="27" t="s">
        <v>4</v>
      </c>
      <c r="C11" s="24">
        <v>-94.83</v>
      </c>
    </row>
    <row r="12" spans="1:8" hidden="1" x14ac:dyDescent="0.3">
      <c r="A12" s="26">
        <v>45832</v>
      </c>
      <c r="B12" s="31" t="s">
        <v>4</v>
      </c>
      <c r="C12" s="24">
        <v>-94.83</v>
      </c>
    </row>
    <row r="13" spans="1:8" hidden="1" x14ac:dyDescent="0.3">
      <c r="A13" s="26">
        <v>45835</v>
      </c>
      <c r="B13" s="27" t="s">
        <v>4</v>
      </c>
      <c r="C13" s="24">
        <v>-122.34</v>
      </c>
    </row>
    <row r="14" spans="1:8" hidden="1" x14ac:dyDescent="0.3">
      <c r="A14" s="26">
        <v>45840</v>
      </c>
      <c r="B14" s="27" t="s">
        <v>1</v>
      </c>
      <c r="C14" s="24">
        <v>439.2</v>
      </c>
    </row>
    <row r="15" spans="1:8" hidden="1" x14ac:dyDescent="0.3">
      <c r="A15" s="26">
        <v>45841</v>
      </c>
      <c r="B15" s="27" t="s">
        <v>4</v>
      </c>
      <c r="C15" s="24">
        <v>-91.1</v>
      </c>
    </row>
    <row r="16" spans="1:8" hidden="1" x14ac:dyDescent="0.3">
      <c r="A16" s="26">
        <v>45845</v>
      </c>
      <c r="B16" s="27" t="s">
        <v>4</v>
      </c>
      <c r="C16" s="24">
        <v>-89.75</v>
      </c>
    </row>
    <row r="17" spans="1:3" hidden="1" x14ac:dyDescent="0.3">
      <c r="A17" s="26">
        <v>45848</v>
      </c>
      <c r="B17" s="27" t="s">
        <v>4</v>
      </c>
      <c r="C17" s="24">
        <v>-88.63</v>
      </c>
    </row>
    <row r="18" spans="1:3" hidden="1" x14ac:dyDescent="0.3">
      <c r="A18" s="26">
        <v>45852</v>
      </c>
      <c r="B18" s="27" t="s">
        <v>4</v>
      </c>
      <c r="C18" s="24">
        <v>-169.72</v>
      </c>
    </row>
    <row r="19" spans="1:3" hidden="1" x14ac:dyDescent="0.3">
      <c r="A19" s="26">
        <v>45853</v>
      </c>
      <c r="B19" s="27" t="s">
        <v>1</v>
      </c>
      <c r="C19" s="24">
        <v>520</v>
      </c>
    </row>
    <row r="20" spans="1:3" hidden="1" x14ac:dyDescent="0.3">
      <c r="A20" s="26">
        <v>45853</v>
      </c>
      <c r="B20" s="32" t="s">
        <v>1</v>
      </c>
      <c r="C20" s="24">
        <v>15.85</v>
      </c>
    </row>
    <row r="21" spans="1:3" hidden="1" x14ac:dyDescent="0.3">
      <c r="A21" s="26">
        <v>45856</v>
      </c>
      <c r="B21" s="27" t="s">
        <v>4</v>
      </c>
      <c r="C21" s="24">
        <v>-169.08</v>
      </c>
    </row>
    <row r="22" spans="1:3" hidden="1" x14ac:dyDescent="0.3">
      <c r="A22" s="26">
        <v>45859</v>
      </c>
      <c r="B22" s="27" t="s">
        <v>4</v>
      </c>
      <c r="C22" s="24">
        <v>-83.93</v>
      </c>
    </row>
    <row r="23" spans="1:3" hidden="1" x14ac:dyDescent="0.3">
      <c r="A23" s="26">
        <v>45861</v>
      </c>
      <c r="B23" s="27" t="s">
        <v>4</v>
      </c>
      <c r="C23" s="24">
        <v>-83.04</v>
      </c>
    </row>
    <row r="24" spans="1:3" hidden="1" x14ac:dyDescent="0.3">
      <c r="A24" s="26">
        <v>45863</v>
      </c>
      <c r="B24" s="27" t="s">
        <v>4</v>
      </c>
      <c r="C24" s="24">
        <v>-82.41</v>
      </c>
    </row>
    <row r="25" spans="1:3" hidden="1" x14ac:dyDescent="0.3">
      <c r="A25" s="26">
        <v>45866</v>
      </c>
      <c r="B25" s="27" t="s">
        <v>4</v>
      </c>
      <c r="C25" s="24">
        <v>-117.39</v>
      </c>
    </row>
    <row r="26" spans="1:3" hidden="1" x14ac:dyDescent="0.3">
      <c r="A26" s="26">
        <v>45868</v>
      </c>
      <c r="B26" s="27" t="s">
        <v>1</v>
      </c>
      <c r="C26" s="24">
        <v>589.79999999999995</v>
      </c>
    </row>
    <row r="27" spans="1:3" hidden="1" x14ac:dyDescent="0.3">
      <c r="A27" s="26">
        <v>45874</v>
      </c>
      <c r="B27" s="27" t="s">
        <v>4</v>
      </c>
      <c r="C27" s="24">
        <v>-78.67</v>
      </c>
    </row>
    <row r="28" spans="1:3" hidden="1" x14ac:dyDescent="0.3">
      <c r="A28" s="26">
        <v>45880</v>
      </c>
      <c r="B28" s="27" t="s">
        <v>4</v>
      </c>
      <c r="C28" s="24">
        <v>-152.53</v>
      </c>
    </row>
    <row r="29" spans="1:3" hidden="1" x14ac:dyDescent="0.3">
      <c r="A29" s="26">
        <v>45882</v>
      </c>
      <c r="B29" s="27" t="s">
        <v>4</v>
      </c>
      <c r="C29" s="24">
        <v>-149.79</v>
      </c>
    </row>
    <row r="30" spans="1:3" hidden="1" x14ac:dyDescent="0.3">
      <c r="A30" s="26">
        <v>45884</v>
      </c>
      <c r="B30" s="27" t="s">
        <v>4</v>
      </c>
      <c r="C30" s="24">
        <v>-139.01</v>
      </c>
    </row>
    <row r="31" spans="1:3" hidden="1" x14ac:dyDescent="0.3">
      <c r="A31" s="26">
        <v>45884</v>
      </c>
      <c r="B31" s="27" t="s">
        <v>1</v>
      </c>
      <c r="C31" s="24">
        <v>603.20000000000005</v>
      </c>
    </row>
    <row r="32" spans="1:3" hidden="1" x14ac:dyDescent="0.3">
      <c r="A32" s="26">
        <v>45884</v>
      </c>
      <c r="B32" s="32" t="s">
        <v>1</v>
      </c>
      <c r="C32" s="24">
        <v>19.2</v>
      </c>
    </row>
    <row r="33" spans="1:3" hidden="1" x14ac:dyDescent="0.3">
      <c r="A33" s="26">
        <v>45893</v>
      </c>
      <c r="B33" s="27" t="s">
        <v>4</v>
      </c>
      <c r="C33" s="24">
        <v>-140.96</v>
      </c>
    </row>
    <row r="34" spans="1:3" hidden="1" x14ac:dyDescent="0.3">
      <c r="A34" s="26">
        <v>45894</v>
      </c>
      <c r="B34" s="27" t="s">
        <v>4</v>
      </c>
      <c r="C34" s="24">
        <v>-281.92</v>
      </c>
    </row>
    <row r="35" spans="1:3" hidden="1" x14ac:dyDescent="0.3">
      <c r="A35" s="26">
        <v>45896</v>
      </c>
      <c r="B35" s="27" t="s">
        <v>4</v>
      </c>
      <c r="C35" s="24">
        <v>-138.53</v>
      </c>
    </row>
    <row r="36" spans="1:3" hidden="1" x14ac:dyDescent="0.3">
      <c r="A36" s="26">
        <v>45896</v>
      </c>
      <c r="B36" s="27" t="s">
        <v>4</v>
      </c>
      <c r="C36" s="24">
        <v>-130.80000000000001</v>
      </c>
    </row>
    <row r="37" spans="1:3" hidden="1" x14ac:dyDescent="0.3">
      <c r="A37" s="26">
        <v>45897</v>
      </c>
      <c r="B37" s="27" t="s">
        <v>1</v>
      </c>
      <c r="C37" s="24">
        <v>604.9</v>
      </c>
    </row>
    <row r="38" spans="1:3" hidden="1" x14ac:dyDescent="0.3">
      <c r="A38" s="26">
        <v>45897</v>
      </c>
      <c r="B38" s="32" t="s">
        <v>1</v>
      </c>
      <c r="C38" s="24">
        <v>15.85</v>
      </c>
    </row>
    <row r="39" spans="1:3" hidden="1" x14ac:dyDescent="0.3">
      <c r="A39" s="26">
        <v>45908</v>
      </c>
      <c r="B39" s="27" t="s">
        <v>4</v>
      </c>
      <c r="C39" s="24">
        <v>-129.86000000000001</v>
      </c>
    </row>
    <row r="40" spans="1:3" hidden="1" x14ac:dyDescent="0.3">
      <c r="A40" s="26">
        <v>45910</v>
      </c>
      <c r="B40" s="27" t="s">
        <v>4</v>
      </c>
      <c r="C40" s="24">
        <v>-127.9</v>
      </c>
    </row>
    <row r="41" spans="1:3" hidden="1" x14ac:dyDescent="0.3">
      <c r="A41" s="26">
        <v>45912</v>
      </c>
      <c r="B41" s="27" t="s">
        <v>4</v>
      </c>
      <c r="C41" s="24">
        <v>-125.84</v>
      </c>
    </row>
    <row r="42" spans="1:3" hidden="1" x14ac:dyDescent="0.3">
      <c r="A42" s="26">
        <v>45916</v>
      </c>
      <c r="B42" s="27" t="s">
        <v>4</v>
      </c>
      <c r="C42" s="24">
        <v>-186.98</v>
      </c>
    </row>
    <row r="43" spans="1:3" hidden="1" x14ac:dyDescent="0.3">
      <c r="A43" s="26">
        <v>45917</v>
      </c>
      <c r="B43" s="27" t="s">
        <v>4</v>
      </c>
      <c r="C43" s="24">
        <v>-50.16</v>
      </c>
    </row>
    <row r="44" spans="1:3" hidden="1" x14ac:dyDescent="0.3">
      <c r="A44" s="26">
        <v>45918</v>
      </c>
      <c r="B44" s="27" t="s">
        <v>4</v>
      </c>
      <c r="C44" s="24">
        <v>-305.52999999999997</v>
      </c>
    </row>
    <row r="45" spans="1:3" hidden="1" x14ac:dyDescent="0.3">
      <c r="A45" s="26">
        <v>45918</v>
      </c>
      <c r="B45" s="27" t="s">
        <v>1</v>
      </c>
      <c r="C45" s="24">
        <v>896</v>
      </c>
    </row>
    <row r="46" spans="1:3" hidden="1" x14ac:dyDescent="0.3">
      <c r="A46" s="26">
        <v>45918</v>
      </c>
      <c r="B46" s="32" t="s">
        <v>1</v>
      </c>
      <c r="C46" s="24">
        <v>50.3</v>
      </c>
    </row>
    <row r="47" spans="1:3" hidden="1" x14ac:dyDescent="0.3">
      <c r="A47" s="26">
        <v>45925</v>
      </c>
      <c r="B47" s="27" t="s">
        <v>4</v>
      </c>
      <c r="C47" s="24">
        <v>-290.95999999999998</v>
      </c>
    </row>
    <row r="48" spans="1:3" hidden="1" x14ac:dyDescent="0.3">
      <c r="A48" s="26">
        <v>45929</v>
      </c>
      <c r="B48" s="27" t="s">
        <v>4</v>
      </c>
      <c r="C48" s="24">
        <v>-170.8</v>
      </c>
    </row>
    <row r="49" spans="1:3" hidden="1" x14ac:dyDescent="0.3">
      <c r="A49" s="26">
        <v>45930</v>
      </c>
      <c r="B49" s="27" t="s">
        <v>4</v>
      </c>
      <c r="C49" s="24">
        <v>-179.01</v>
      </c>
    </row>
    <row r="50" spans="1:3" x14ac:dyDescent="0.3">
      <c r="A50" s="26">
        <v>45933</v>
      </c>
      <c r="B50" s="27" t="s">
        <v>1</v>
      </c>
      <c r="C50" s="118">
        <v>832</v>
      </c>
    </row>
    <row r="51" spans="1:3" x14ac:dyDescent="0.3">
      <c r="A51" s="26">
        <v>45933</v>
      </c>
      <c r="B51" s="32" t="s">
        <v>1</v>
      </c>
      <c r="C51" s="118">
        <v>4.5</v>
      </c>
    </row>
    <row r="52" spans="1:3" x14ac:dyDescent="0.3">
      <c r="A52" s="26">
        <v>45943</v>
      </c>
      <c r="B52" s="27" t="s">
        <v>4</v>
      </c>
      <c r="C52" s="118">
        <v>-307.3</v>
      </c>
    </row>
    <row r="53" spans="1:3" x14ac:dyDescent="0.3">
      <c r="A53" s="26">
        <v>45958</v>
      </c>
      <c r="B53" s="27" t="s">
        <v>4</v>
      </c>
      <c r="C53" s="118">
        <v>-183.34</v>
      </c>
    </row>
    <row r="54" spans="1:3" x14ac:dyDescent="0.3">
      <c r="A54" s="26">
        <v>45959</v>
      </c>
      <c r="B54" s="27" t="s">
        <v>1</v>
      </c>
      <c r="C54" s="24">
        <v>460</v>
      </c>
    </row>
    <row r="55" spans="1:3" x14ac:dyDescent="0.3">
      <c r="A55" s="26">
        <v>45959</v>
      </c>
      <c r="B55" s="32" t="s">
        <v>1</v>
      </c>
      <c r="C55" s="24">
        <v>9</v>
      </c>
    </row>
    <row r="56" spans="1:3" x14ac:dyDescent="0.3">
      <c r="A56" s="26">
        <v>45964</v>
      </c>
      <c r="B56" s="27" t="s">
        <v>4</v>
      </c>
      <c r="C56" s="118">
        <v>-89.3</v>
      </c>
    </row>
    <row r="57" spans="1:3" x14ac:dyDescent="0.3">
      <c r="A57" s="26">
        <v>45966</v>
      </c>
      <c r="B57" s="27" t="s">
        <v>4</v>
      </c>
      <c r="C57" s="118">
        <v>-88.44</v>
      </c>
    </row>
    <row r="58" spans="1:3" x14ac:dyDescent="0.3">
      <c r="A58" s="26">
        <v>45971</v>
      </c>
      <c r="B58" s="27" t="s">
        <v>4</v>
      </c>
      <c r="C58" s="118">
        <v>-86.56</v>
      </c>
    </row>
    <row r="59" spans="1:3" x14ac:dyDescent="0.3">
      <c r="A59" s="26">
        <v>45978</v>
      </c>
      <c r="B59" s="27" t="s">
        <v>4</v>
      </c>
      <c r="C59" s="118">
        <v>-81.38</v>
      </c>
    </row>
    <row r="60" spans="1:3" x14ac:dyDescent="0.3">
      <c r="A60" s="26">
        <v>45981</v>
      </c>
      <c r="B60" s="27" t="s">
        <v>4</v>
      </c>
      <c r="C60" s="24">
        <v>-166.44</v>
      </c>
    </row>
    <row r="61" spans="1:3" x14ac:dyDescent="0.3">
      <c r="A61" s="26">
        <v>45982</v>
      </c>
      <c r="B61" s="27" t="s">
        <v>1</v>
      </c>
      <c r="C61" s="24">
        <v>978.62</v>
      </c>
    </row>
    <row r="62" spans="1:3" x14ac:dyDescent="0.3">
      <c r="A62" s="26">
        <v>46006</v>
      </c>
      <c r="B62" s="27" t="s">
        <v>4</v>
      </c>
      <c r="C62" s="24">
        <v>-184.65</v>
      </c>
    </row>
    <row r="63" spans="1:3" x14ac:dyDescent="0.3">
      <c r="A63" s="26">
        <v>46012</v>
      </c>
      <c r="B63" s="27" t="s">
        <v>4</v>
      </c>
      <c r="C63" s="24">
        <v>-175.19</v>
      </c>
    </row>
    <row r="64" spans="1:3" x14ac:dyDescent="0.3">
      <c r="A64" s="26">
        <v>46017</v>
      </c>
      <c r="B64" s="27" t="s">
        <v>4</v>
      </c>
      <c r="C64" s="24">
        <v>-302.55</v>
      </c>
    </row>
    <row r="65" spans="1:3" x14ac:dyDescent="0.3">
      <c r="A65" s="26">
        <v>46017</v>
      </c>
      <c r="B65" s="27" t="s">
        <v>4</v>
      </c>
      <c r="C65" s="24">
        <v>-646.41</v>
      </c>
    </row>
    <row r="66" spans="1:3" x14ac:dyDescent="0.3">
      <c r="A66" s="26">
        <v>46017</v>
      </c>
      <c r="B66" s="27" t="s">
        <v>1</v>
      </c>
      <c r="C66" s="24">
        <v>966.34</v>
      </c>
    </row>
    <row r="67" spans="1:3" x14ac:dyDescent="0.3">
      <c r="A67" s="26">
        <v>46021</v>
      </c>
      <c r="B67" s="27" t="s">
        <v>1</v>
      </c>
      <c r="C67" s="24">
        <v>355.3</v>
      </c>
    </row>
    <row r="68" spans="1:3" x14ac:dyDescent="0.3">
      <c r="A68" s="26">
        <v>46022</v>
      </c>
      <c r="B68" s="27" t="s">
        <v>4</v>
      </c>
      <c r="C68" s="24">
        <v>-351.49</v>
      </c>
    </row>
    <row r="69" spans="1:3" x14ac:dyDescent="0.3">
      <c r="A69" s="26">
        <v>46022</v>
      </c>
      <c r="B69" s="27" t="s">
        <v>4</v>
      </c>
      <c r="C69" s="24">
        <v>-3.81</v>
      </c>
    </row>
    <row r="70" spans="1:3" x14ac:dyDescent="0.3">
      <c r="A70" s="26">
        <v>46031</v>
      </c>
      <c r="B70" s="27" t="s">
        <v>1</v>
      </c>
      <c r="C70" s="24">
        <v>37.35</v>
      </c>
    </row>
    <row r="71" spans="1:3" x14ac:dyDescent="0.3">
      <c r="A71" s="26">
        <v>46048</v>
      </c>
      <c r="B71" s="27" t="s">
        <v>4</v>
      </c>
      <c r="C71" s="24">
        <v>-281.25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7AAB-D5D2-4D2C-A2E8-18DB14D26C90}">
  <dimension ref="A1:H73"/>
  <sheetViews>
    <sheetView view="pageBreakPreview" topLeftCell="A3" zoomScale="80" zoomScaleNormal="100" zoomScaleSheetLayoutView="80" workbookViewId="0">
      <selection activeCell="C74" sqref="C74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411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1548.8500000000006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45882</v>
      </c>
      <c r="B5" s="31" t="s">
        <v>21</v>
      </c>
      <c r="C5" s="24">
        <v>1840.3</v>
      </c>
      <c r="D5" s="30"/>
      <c r="E5" s="30"/>
      <c r="F5" s="30"/>
      <c r="G5" s="22"/>
    </row>
    <row r="6" spans="1:8" hidden="1" x14ac:dyDescent="0.3">
      <c r="A6" s="21">
        <v>45882</v>
      </c>
      <c r="B6" s="32" t="s">
        <v>1</v>
      </c>
      <c r="C6" s="24">
        <v>174.79</v>
      </c>
    </row>
    <row r="7" spans="1:8" hidden="1" x14ac:dyDescent="0.3">
      <c r="A7" s="21">
        <v>45883</v>
      </c>
      <c r="B7" s="27" t="s">
        <v>4</v>
      </c>
      <c r="C7" s="24">
        <v>-1840.3</v>
      </c>
    </row>
    <row r="8" spans="1:8" hidden="1" x14ac:dyDescent="0.3">
      <c r="A8" s="26">
        <v>45890</v>
      </c>
      <c r="B8" s="27" t="s">
        <v>4</v>
      </c>
      <c r="C8" s="24">
        <v>-678.52</v>
      </c>
    </row>
    <row r="9" spans="1:8" hidden="1" x14ac:dyDescent="0.3">
      <c r="A9" s="26">
        <v>45890</v>
      </c>
      <c r="B9" s="27" t="s">
        <v>4</v>
      </c>
      <c r="C9" s="24">
        <v>-681.48</v>
      </c>
    </row>
    <row r="10" spans="1:8" hidden="1" x14ac:dyDescent="0.3">
      <c r="A10" s="26">
        <v>45890</v>
      </c>
      <c r="B10" s="31" t="s">
        <v>1</v>
      </c>
      <c r="C10" s="24">
        <v>1185</v>
      </c>
    </row>
    <row r="11" spans="1:8" hidden="1" x14ac:dyDescent="0.3">
      <c r="A11" s="26">
        <v>45897</v>
      </c>
      <c r="B11" s="27" t="s">
        <v>1</v>
      </c>
      <c r="C11" s="24">
        <v>1168.5</v>
      </c>
    </row>
    <row r="12" spans="1:8" hidden="1" x14ac:dyDescent="0.3">
      <c r="A12" s="26">
        <v>45903</v>
      </c>
      <c r="B12" s="31" t="s">
        <v>4</v>
      </c>
      <c r="C12" s="24">
        <v>-836.73</v>
      </c>
    </row>
    <row r="13" spans="1:8" hidden="1" x14ac:dyDescent="0.3">
      <c r="A13" s="26">
        <v>45903</v>
      </c>
      <c r="B13" s="31" t="s">
        <v>4</v>
      </c>
      <c r="C13" s="24">
        <v>-331.58</v>
      </c>
    </row>
    <row r="14" spans="1:8" hidden="1" x14ac:dyDescent="0.3">
      <c r="A14" s="26">
        <v>45904</v>
      </c>
      <c r="B14" s="27" t="s">
        <v>1</v>
      </c>
      <c r="C14" s="24">
        <v>678.7</v>
      </c>
    </row>
    <row r="15" spans="1:8" hidden="1" x14ac:dyDescent="0.3">
      <c r="A15" s="26">
        <v>45904</v>
      </c>
      <c r="B15" s="32" t="s">
        <v>1</v>
      </c>
      <c r="C15" s="24">
        <v>30.85</v>
      </c>
    </row>
    <row r="16" spans="1:8" hidden="1" x14ac:dyDescent="0.3">
      <c r="A16" s="26">
        <v>45909</v>
      </c>
      <c r="B16" s="27" t="s">
        <v>4</v>
      </c>
      <c r="C16" s="24">
        <v>-548.45000000000005</v>
      </c>
    </row>
    <row r="17" spans="1:3" hidden="1" x14ac:dyDescent="0.3">
      <c r="A17" s="26">
        <v>45909</v>
      </c>
      <c r="B17" s="27" t="s">
        <v>4</v>
      </c>
      <c r="C17" s="24">
        <v>-161.1</v>
      </c>
    </row>
    <row r="18" spans="1:3" hidden="1" x14ac:dyDescent="0.3">
      <c r="A18" s="26">
        <v>45912</v>
      </c>
      <c r="B18" s="27" t="s">
        <v>1</v>
      </c>
      <c r="C18" s="24">
        <v>2178.8000000000002</v>
      </c>
    </row>
    <row r="19" spans="1:3" hidden="1" x14ac:dyDescent="0.3">
      <c r="A19" s="26">
        <v>45912</v>
      </c>
      <c r="B19" s="32" t="s">
        <v>1</v>
      </c>
      <c r="C19" s="24">
        <v>26.96</v>
      </c>
    </row>
    <row r="20" spans="1:3" hidden="1" x14ac:dyDescent="0.3">
      <c r="A20" s="26">
        <v>45915</v>
      </c>
      <c r="B20" s="27" t="s">
        <v>4</v>
      </c>
      <c r="C20" s="24">
        <v>-684.72</v>
      </c>
    </row>
    <row r="21" spans="1:3" hidden="1" x14ac:dyDescent="0.3">
      <c r="A21" s="26">
        <v>45915</v>
      </c>
      <c r="B21" s="27" t="s">
        <v>4</v>
      </c>
      <c r="C21" s="24">
        <v>-202.88</v>
      </c>
    </row>
    <row r="22" spans="1:3" hidden="1" x14ac:dyDescent="0.3">
      <c r="A22" s="26">
        <v>45915</v>
      </c>
      <c r="B22" s="27" t="s">
        <v>4</v>
      </c>
      <c r="C22" s="24">
        <v>-1333.2</v>
      </c>
    </row>
    <row r="23" spans="1:3" hidden="1" x14ac:dyDescent="0.3">
      <c r="A23" s="26">
        <v>45924</v>
      </c>
      <c r="B23" s="27" t="s">
        <v>1</v>
      </c>
      <c r="C23" s="24">
        <v>1662</v>
      </c>
    </row>
    <row r="24" spans="1:3" hidden="1" x14ac:dyDescent="0.3">
      <c r="A24" s="26">
        <v>45924</v>
      </c>
      <c r="B24" s="32" t="s">
        <v>1</v>
      </c>
      <c r="C24" s="24">
        <v>56.5</v>
      </c>
    </row>
    <row r="25" spans="1:3" hidden="1" x14ac:dyDescent="0.3">
      <c r="A25" s="26">
        <v>45926</v>
      </c>
      <c r="B25" s="27" t="s">
        <v>4</v>
      </c>
      <c r="C25" s="24">
        <v>-1718.5</v>
      </c>
    </row>
    <row r="26" spans="1:3" hidden="1" x14ac:dyDescent="0.3">
      <c r="A26" s="26">
        <v>45931</v>
      </c>
      <c r="B26" s="27" t="s">
        <v>1</v>
      </c>
      <c r="C26" s="24">
        <v>854.1</v>
      </c>
    </row>
    <row r="27" spans="1:3" hidden="1" x14ac:dyDescent="0.3">
      <c r="A27" s="26">
        <v>45931</v>
      </c>
      <c r="B27" s="32" t="s">
        <v>1</v>
      </c>
      <c r="C27" s="24">
        <v>41.54</v>
      </c>
    </row>
    <row r="28" spans="1:3" hidden="1" x14ac:dyDescent="0.3">
      <c r="A28" s="26">
        <v>45933</v>
      </c>
      <c r="B28" s="27" t="s">
        <v>4</v>
      </c>
      <c r="C28" s="24">
        <v>-879.8</v>
      </c>
    </row>
    <row r="29" spans="1:3" x14ac:dyDescent="0.3">
      <c r="A29" s="26">
        <v>45944</v>
      </c>
      <c r="B29" s="27" t="s">
        <v>1</v>
      </c>
      <c r="C29" s="24">
        <v>1495.78</v>
      </c>
    </row>
    <row r="30" spans="1:3" x14ac:dyDescent="0.3">
      <c r="A30" s="26">
        <v>45944</v>
      </c>
      <c r="B30" s="32" t="s">
        <v>1</v>
      </c>
      <c r="C30" s="24">
        <v>112.92</v>
      </c>
    </row>
    <row r="31" spans="1:3" x14ac:dyDescent="0.3">
      <c r="A31" s="26">
        <v>45950</v>
      </c>
      <c r="B31" s="27" t="s">
        <v>4</v>
      </c>
      <c r="C31" s="24">
        <v>-408.41</v>
      </c>
    </row>
    <row r="32" spans="1:3" x14ac:dyDescent="0.3">
      <c r="A32" s="26">
        <v>45950</v>
      </c>
      <c r="B32" s="27" t="s">
        <v>4</v>
      </c>
      <c r="C32" s="24">
        <v>-257.69</v>
      </c>
    </row>
    <row r="33" spans="1:3" x14ac:dyDescent="0.3">
      <c r="A33" s="26">
        <v>45950</v>
      </c>
      <c r="B33" s="27" t="s">
        <v>4</v>
      </c>
      <c r="C33" s="24">
        <v>-938.37</v>
      </c>
    </row>
    <row r="34" spans="1:3" x14ac:dyDescent="0.3">
      <c r="A34" s="26">
        <v>45954</v>
      </c>
      <c r="B34" s="27" t="s">
        <v>1</v>
      </c>
      <c r="C34" s="24">
        <v>713</v>
      </c>
    </row>
    <row r="35" spans="1:3" x14ac:dyDescent="0.3">
      <c r="A35" s="26">
        <v>45954</v>
      </c>
      <c r="B35" s="32" t="s">
        <v>1</v>
      </c>
      <c r="C35" s="24">
        <v>37.5</v>
      </c>
    </row>
    <row r="36" spans="1:3" x14ac:dyDescent="0.3">
      <c r="A36" s="26">
        <v>45957</v>
      </c>
      <c r="B36" s="27" t="s">
        <v>4</v>
      </c>
      <c r="C36" s="24">
        <v>-750.5</v>
      </c>
    </row>
    <row r="37" spans="1:3" x14ac:dyDescent="0.3">
      <c r="A37" s="26">
        <v>45960</v>
      </c>
      <c r="B37" s="27" t="s">
        <v>1</v>
      </c>
      <c r="C37" s="24">
        <v>368</v>
      </c>
    </row>
    <row r="38" spans="1:3" x14ac:dyDescent="0.3">
      <c r="A38" s="26">
        <v>45961</v>
      </c>
      <c r="B38" s="32" t="s">
        <v>1</v>
      </c>
      <c r="C38" s="24">
        <v>16.7</v>
      </c>
    </row>
    <row r="39" spans="1:3" x14ac:dyDescent="0.3">
      <c r="A39" s="26">
        <v>45965</v>
      </c>
      <c r="B39" s="27" t="s">
        <v>4</v>
      </c>
      <c r="C39" s="24">
        <v>-367.99</v>
      </c>
    </row>
    <row r="40" spans="1:3" x14ac:dyDescent="0.3">
      <c r="A40" s="26">
        <v>45967</v>
      </c>
      <c r="B40" s="27" t="s">
        <v>4</v>
      </c>
      <c r="C40" s="24">
        <v>-446.96</v>
      </c>
    </row>
    <row r="41" spans="1:3" x14ac:dyDescent="0.3">
      <c r="A41" s="26">
        <v>45966</v>
      </c>
      <c r="B41" s="27" t="s">
        <v>1</v>
      </c>
      <c r="C41" s="24">
        <v>437.76</v>
      </c>
    </row>
    <row r="42" spans="1:3" x14ac:dyDescent="0.3">
      <c r="A42" s="26">
        <v>45966</v>
      </c>
      <c r="B42" s="32" t="s">
        <v>1</v>
      </c>
      <c r="C42" s="24">
        <v>9.1999999999999993</v>
      </c>
    </row>
    <row r="43" spans="1:3" x14ac:dyDescent="0.3">
      <c r="A43" s="26">
        <v>45973</v>
      </c>
      <c r="B43" s="27" t="s">
        <v>4</v>
      </c>
      <c r="C43" s="24">
        <v>-669.38</v>
      </c>
    </row>
    <row r="44" spans="1:3" x14ac:dyDescent="0.3">
      <c r="A44" s="26">
        <v>45973</v>
      </c>
      <c r="B44" s="27" t="s">
        <v>1</v>
      </c>
      <c r="C44" s="24">
        <v>669.38</v>
      </c>
    </row>
    <row r="45" spans="1:3" x14ac:dyDescent="0.3">
      <c r="A45" s="26">
        <v>45975</v>
      </c>
      <c r="B45" s="27" t="s">
        <v>1</v>
      </c>
      <c r="C45" s="24">
        <v>368</v>
      </c>
    </row>
    <row r="46" spans="1:3" x14ac:dyDescent="0.3">
      <c r="A46" s="26">
        <v>45980</v>
      </c>
      <c r="B46" s="27" t="s">
        <v>4</v>
      </c>
      <c r="C46" s="24">
        <v>-384.7</v>
      </c>
    </row>
    <row r="47" spans="1:3" x14ac:dyDescent="0.3">
      <c r="A47" s="26">
        <v>45981</v>
      </c>
      <c r="B47" s="27" t="s">
        <v>1</v>
      </c>
      <c r="C47" s="24">
        <v>819.74</v>
      </c>
    </row>
    <row r="48" spans="1:3" x14ac:dyDescent="0.3">
      <c r="A48" s="26">
        <v>45985</v>
      </c>
      <c r="B48" s="27" t="s">
        <v>4</v>
      </c>
      <c r="C48" s="24">
        <v>-819.74</v>
      </c>
    </row>
    <row r="49" spans="1:3" x14ac:dyDescent="0.3">
      <c r="A49" s="26">
        <v>45988</v>
      </c>
      <c r="B49" s="27" t="s">
        <v>4</v>
      </c>
      <c r="C49" s="24">
        <v>-907.42</v>
      </c>
    </row>
    <row r="50" spans="1:3" x14ac:dyDescent="0.3">
      <c r="A50" s="26">
        <v>45988</v>
      </c>
      <c r="B50" s="27" t="s">
        <v>4</v>
      </c>
      <c r="C50" s="24">
        <v>-379.71</v>
      </c>
    </row>
    <row r="51" spans="1:3" x14ac:dyDescent="0.3">
      <c r="A51" s="26">
        <v>45988</v>
      </c>
      <c r="B51" s="27" t="s">
        <v>1</v>
      </c>
      <c r="C51" s="24">
        <v>1309.93</v>
      </c>
    </row>
    <row r="52" spans="1:3" x14ac:dyDescent="0.3">
      <c r="A52" s="26">
        <v>45988</v>
      </c>
      <c r="B52" s="27" t="s">
        <v>503</v>
      </c>
      <c r="C52" s="24">
        <v>-22.8</v>
      </c>
    </row>
    <row r="53" spans="1:3" x14ac:dyDescent="0.3">
      <c r="A53" s="26">
        <v>45996</v>
      </c>
      <c r="B53" s="27" t="s">
        <v>514</v>
      </c>
      <c r="C53" s="24">
        <v>552</v>
      </c>
    </row>
    <row r="54" spans="1:3" x14ac:dyDescent="0.3">
      <c r="A54" s="26">
        <v>46003</v>
      </c>
      <c r="B54" s="27" t="s">
        <v>4</v>
      </c>
      <c r="C54" s="24">
        <v>-557.02</v>
      </c>
    </row>
    <row r="55" spans="1:3" x14ac:dyDescent="0.3">
      <c r="A55" s="26">
        <v>46007</v>
      </c>
      <c r="B55" s="27" t="s">
        <v>1</v>
      </c>
      <c r="C55" s="24">
        <v>1532.08</v>
      </c>
    </row>
    <row r="56" spans="1:3" x14ac:dyDescent="0.3">
      <c r="A56" s="26">
        <v>46009</v>
      </c>
      <c r="B56" s="27" t="s">
        <v>4</v>
      </c>
      <c r="C56" s="24">
        <v>-17.89</v>
      </c>
    </row>
    <row r="57" spans="1:3" x14ac:dyDescent="0.3">
      <c r="A57" s="26">
        <v>46009</v>
      </c>
      <c r="B57" s="27" t="s">
        <v>4</v>
      </c>
      <c r="C57" s="24">
        <v>-1055.22</v>
      </c>
    </row>
    <row r="58" spans="1:3" x14ac:dyDescent="0.3">
      <c r="A58" s="26">
        <v>46009</v>
      </c>
      <c r="B58" s="27" t="s">
        <v>4</v>
      </c>
      <c r="C58" s="24">
        <v>-458.98</v>
      </c>
    </row>
    <row r="59" spans="1:3" x14ac:dyDescent="0.3">
      <c r="A59" s="26">
        <v>46013</v>
      </c>
      <c r="B59" s="27" t="s">
        <v>1</v>
      </c>
      <c r="C59" s="24">
        <v>2085.59</v>
      </c>
    </row>
    <row r="60" spans="1:3" x14ac:dyDescent="0.3">
      <c r="A60" s="26">
        <v>46014</v>
      </c>
      <c r="B60" s="27" t="s">
        <v>4</v>
      </c>
      <c r="C60" s="24">
        <v>-1733.41</v>
      </c>
    </row>
    <row r="61" spans="1:3" x14ac:dyDescent="0.3">
      <c r="A61" s="26">
        <v>46014</v>
      </c>
      <c r="B61" s="27" t="s">
        <v>4</v>
      </c>
      <c r="C61" s="24">
        <v>-352.18</v>
      </c>
    </row>
    <row r="62" spans="1:3" x14ac:dyDescent="0.3">
      <c r="A62" s="26">
        <v>46017</v>
      </c>
      <c r="B62" s="27" t="s">
        <v>4</v>
      </c>
      <c r="C62" s="24">
        <v>-177.44</v>
      </c>
    </row>
    <row r="63" spans="1:3" x14ac:dyDescent="0.3">
      <c r="A63" s="26">
        <v>46017</v>
      </c>
      <c r="B63" s="27" t="s">
        <v>1</v>
      </c>
      <c r="C63" s="24">
        <v>177.44</v>
      </c>
    </row>
    <row r="64" spans="1:3" x14ac:dyDescent="0.3">
      <c r="A64" s="26">
        <v>46020</v>
      </c>
      <c r="B64" s="27" t="s">
        <v>4</v>
      </c>
      <c r="C64" s="24">
        <v>952.76</v>
      </c>
    </row>
    <row r="65" spans="1:3" x14ac:dyDescent="0.3">
      <c r="A65" s="26">
        <v>46021</v>
      </c>
      <c r="B65" s="27" t="s">
        <v>4</v>
      </c>
      <c r="C65" s="24">
        <v>-97.47</v>
      </c>
    </row>
    <row r="66" spans="1:3" x14ac:dyDescent="0.3">
      <c r="A66" s="26">
        <v>46021</v>
      </c>
      <c r="B66" s="27" t="s">
        <v>4</v>
      </c>
      <c r="C66" s="24">
        <v>-855.29</v>
      </c>
    </row>
    <row r="67" spans="1:3" x14ac:dyDescent="0.3">
      <c r="A67" s="26">
        <v>46031</v>
      </c>
      <c r="B67" s="27" t="s">
        <v>4</v>
      </c>
      <c r="C67" s="24">
        <v>-1342.68</v>
      </c>
    </row>
    <row r="68" spans="1:3" x14ac:dyDescent="0.3">
      <c r="A68" s="26">
        <v>46030</v>
      </c>
      <c r="B68" s="27" t="s">
        <v>1</v>
      </c>
      <c r="C68" s="24">
        <v>1342.68</v>
      </c>
    </row>
    <row r="69" spans="1:3" x14ac:dyDescent="0.3">
      <c r="A69" s="26">
        <v>46036</v>
      </c>
      <c r="B69" s="27" t="s">
        <v>1</v>
      </c>
      <c r="C69" s="24">
        <v>241.37</v>
      </c>
    </row>
    <row r="70" spans="1:3" x14ac:dyDescent="0.3">
      <c r="A70" s="26">
        <v>46038</v>
      </c>
      <c r="B70" s="27" t="s">
        <v>4</v>
      </c>
      <c r="C70" s="24">
        <v>-241.37</v>
      </c>
    </row>
    <row r="71" spans="1:3" x14ac:dyDescent="0.3">
      <c r="A71" s="26">
        <v>46044</v>
      </c>
      <c r="B71" s="27" t="s">
        <v>1</v>
      </c>
      <c r="C71" s="24">
        <v>590.64</v>
      </c>
    </row>
    <row r="72" spans="1:3" x14ac:dyDescent="0.3">
      <c r="A72" s="26">
        <v>46048</v>
      </c>
      <c r="B72" s="27" t="s">
        <v>4</v>
      </c>
      <c r="C72" s="24">
        <v>-590.64</v>
      </c>
    </row>
    <row r="73" spans="1:3" x14ac:dyDescent="0.3">
      <c r="A73" s="26">
        <v>46056</v>
      </c>
      <c r="B73" s="27" t="s">
        <v>1</v>
      </c>
      <c r="C73" s="24">
        <v>1548.86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A2C45-13D2-4A27-8D9C-434A5257D6DD}">
  <sheetPr codeName="Hoja168"/>
  <dimension ref="A1:H1048576"/>
  <sheetViews>
    <sheetView view="pageBreakPreview" zoomScale="80" zoomScaleNormal="100" zoomScaleSheetLayoutView="80" workbookViewId="0">
      <selection activeCell="B15" sqref="B1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280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400.09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45827</v>
      </c>
      <c r="B5" s="27" t="s">
        <v>21</v>
      </c>
      <c r="C5" s="24">
        <v>217.1</v>
      </c>
      <c r="D5" s="30"/>
      <c r="E5" s="30"/>
      <c r="F5" s="30"/>
      <c r="G5" s="22"/>
    </row>
    <row r="6" spans="1:8" x14ac:dyDescent="0.3">
      <c r="A6" s="21">
        <v>45871</v>
      </c>
      <c r="B6" s="27" t="s">
        <v>21</v>
      </c>
      <c r="C6" s="24">
        <v>226.4</v>
      </c>
    </row>
    <row r="7" spans="1:8" x14ac:dyDescent="0.3">
      <c r="A7" s="21">
        <v>45871</v>
      </c>
      <c r="B7" s="35" t="s">
        <v>1</v>
      </c>
      <c r="C7" s="24">
        <v>15.85</v>
      </c>
    </row>
    <row r="8" spans="1:8" x14ac:dyDescent="0.3">
      <c r="A8" s="26">
        <v>45876</v>
      </c>
      <c r="B8" s="27" t="s">
        <v>7</v>
      </c>
      <c r="C8" s="24">
        <v>-217.1</v>
      </c>
    </row>
    <row r="9" spans="1:8" x14ac:dyDescent="0.3">
      <c r="A9" s="26">
        <v>45916</v>
      </c>
      <c r="B9" s="27" t="s">
        <v>4</v>
      </c>
      <c r="C9" s="24">
        <v>-89.13</v>
      </c>
    </row>
    <row r="10" spans="1:8" x14ac:dyDescent="0.3">
      <c r="A10" s="26">
        <v>45958</v>
      </c>
      <c r="B10" s="27" t="s">
        <v>4</v>
      </c>
      <c r="C10" s="24">
        <v>-137.51</v>
      </c>
    </row>
    <row r="11" spans="1:8" x14ac:dyDescent="0.3">
      <c r="A11" s="26">
        <v>45959</v>
      </c>
      <c r="B11" s="31" t="s">
        <v>1</v>
      </c>
      <c r="C11" s="24">
        <v>366.34</v>
      </c>
    </row>
    <row r="12" spans="1:8" x14ac:dyDescent="0.3">
      <c r="A12" s="26">
        <v>46012</v>
      </c>
      <c r="B12" s="27" t="s">
        <v>4</v>
      </c>
      <c r="C12" s="24">
        <v>-84.09</v>
      </c>
    </row>
    <row r="13" spans="1:8" x14ac:dyDescent="0.3">
      <c r="A13" s="26">
        <v>46030</v>
      </c>
      <c r="B13" s="27" t="s">
        <v>4</v>
      </c>
      <c r="C13" s="24">
        <v>-297.86</v>
      </c>
    </row>
    <row r="14" spans="1:8" x14ac:dyDescent="0.3">
      <c r="A14" s="26">
        <v>46031</v>
      </c>
      <c r="B14" s="27" t="s">
        <v>1</v>
      </c>
      <c r="C14" s="24">
        <v>400.09</v>
      </c>
    </row>
    <row r="86" spans="2:2" x14ac:dyDescent="0.3">
      <c r="B86" s="31"/>
    </row>
    <row r="1048576" spans="1:1" x14ac:dyDescent="0.3">
      <c r="A1048576" s="2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F8EA-E014-4EF9-887F-21A38C5ACFFA}">
  <dimension ref="A1:H1048576"/>
  <sheetViews>
    <sheetView view="pageBreakPreview" zoomScale="80" zoomScaleNormal="100" zoomScaleSheetLayoutView="80" workbookViewId="0">
      <selection activeCell="C18" sqref="C1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473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2.0000000000027107E-2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45937</v>
      </c>
      <c r="B5" s="27" t="s">
        <v>21</v>
      </c>
      <c r="C5" s="24">
        <v>446.86</v>
      </c>
      <c r="D5" s="30"/>
      <c r="E5" s="30"/>
      <c r="F5" s="30"/>
      <c r="G5" s="22"/>
    </row>
    <row r="6" spans="1:8" x14ac:dyDescent="0.3">
      <c r="A6" s="21">
        <v>45937</v>
      </c>
      <c r="B6" s="35" t="s">
        <v>1</v>
      </c>
      <c r="C6" s="24">
        <v>23.88</v>
      </c>
    </row>
    <row r="7" spans="1:8" x14ac:dyDescent="0.3">
      <c r="A7" s="21">
        <v>45938</v>
      </c>
      <c r="B7" s="27" t="s">
        <v>4</v>
      </c>
      <c r="C7" s="24">
        <v>-470.21</v>
      </c>
    </row>
    <row r="8" spans="1:8" x14ac:dyDescent="0.3">
      <c r="A8" s="21">
        <v>45944</v>
      </c>
      <c r="B8" s="31" t="s">
        <v>21</v>
      </c>
      <c r="C8" s="24">
        <v>575</v>
      </c>
    </row>
    <row r="9" spans="1:8" x14ac:dyDescent="0.3">
      <c r="A9" s="21">
        <v>45945</v>
      </c>
      <c r="B9" s="27" t="s">
        <v>4</v>
      </c>
      <c r="C9" s="24">
        <v>-575.54</v>
      </c>
    </row>
    <row r="10" spans="1:8" x14ac:dyDescent="0.3">
      <c r="A10" s="26">
        <v>45952</v>
      </c>
      <c r="B10" s="27" t="s">
        <v>1</v>
      </c>
      <c r="C10" s="24">
        <v>557.74</v>
      </c>
    </row>
    <row r="11" spans="1:8" x14ac:dyDescent="0.3">
      <c r="A11" s="26">
        <v>45958</v>
      </c>
      <c r="B11" s="27" t="s">
        <v>4</v>
      </c>
      <c r="C11" s="24">
        <v>-500.8</v>
      </c>
    </row>
    <row r="12" spans="1:8" x14ac:dyDescent="0.3">
      <c r="A12" s="26">
        <v>45996</v>
      </c>
      <c r="B12" s="31" t="s">
        <v>4</v>
      </c>
      <c r="C12" s="24">
        <v>-56.93</v>
      </c>
    </row>
    <row r="13" spans="1:8" x14ac:dyDescent="0.3">
      <c r="A13" s="26">
        <v>46010</v>
      </c>
      <c r="B13" s="27" t="s">
        <v>1</v>
      </c>
      <c r="C13" s="24">
        <v>256.73</v>
      </c>
    </row>
    <row r="14" spans="1:8" x14ac:dyDescent="0.3">
      <c r="A14" s="26">
        <v>46013</v>
      </c>
      <c r="B14" s="27" t="s">
        <v>4</v>
      </c>
      <c r="C14" s="24">
        <v>-256.73</v>
      </c>
    </row>
    <row r="15" spans="1:8" x14ac:dyDescent="0.3">
      <c r="A15" s="26">
        <v>46017</v>
      </c>
      <c r="B15" s="27" t="s">
        <v>4</v>
      </c>
      <c r="C15" s="24">
        <v>-501.01</v>
      </c>
    </row>
    <row r="16" spans="1:8" x14ac:dyDescent="0.3">
      <c r="A16" s="26">
        <v>46017</v>
      </c>
      <c r="B16" s="27" t="s">
        <v>1</v>
      </c>
      <c r="C16" s="24">
        <v>507.23</v>
      </c>
    </row>
    <row r="17" spans="1:3" x14ac:dyDescent="0.3">
      <c r="A17" s="26">
        <v>46049</v>
      </c>
      <c r="B17" s="27" t="s">
        <v>4</v>
      </c>
      <c r="C17" s="24">
        <v>-6.2</v>
      </c>
    </row>
    <row r="86" spans="2:2" x14ac:dyDescent="0.3">
      <c r="B86" s="31"/>
    </row>
    <row r="1048576" spans="1:1" x14ac:dyDescent="0.3">
      <c r="A1048576" s="2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1EA57-6588-4E41-BC04-BEAD10F20606}">
  <dimension ref="A1:I45"/>
  <sheetViews>
    <sheetView view="pageBreakPreview" zoomScale="80" zoomScaleNormal="100" zoomScaleSheetLayoutView="80" workbookViewId="0">
      <selection activeCell="C45" sqref="C4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471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 t="s">
        <v>472</v>
      </c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223.82000000000005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45937</v>
      </c>
      <c r="B5" s="34" t="s">
        <v>21</v>
      </c>
      <c r="C5" s="24">
        <v>49.26</v>
      </c>
      <c r="D5" s="30"/>
      <c r="E5" s="30"/>
      <c r="F5" s="30"/>
      <c r="G5" s="22"/>
    </row>
    <row r="6" spans="1:9" x14ac:dyDescent="0.3">
      <c r="A6" s="21">
        <v>45951</v>
      </c>
      <c r="B6" s="34" t="s">
        <v>21</v>
      </c>
      <c r="C6" s="24">
        <v>81.599999999999994</v>
      </c>
    </row>
    <row r="7" spans="1:9" x14ac:dyDescent="0.3">
      <c r="A7" s="21">
        <v>45951</v>
      </c>
      <c r="B7" s="46" t="s">
        <v>21</v>
      </c>
      <c r="C7" s="24">
        <v>25.56</v>
      </c>
    </row>
    <row r="8" spans="1:9" x14ac:dyDescent="0.3">
      <c r="A8" s="26">
        <v>45958</v>
      </c>
      <c r="B8" s="31" t="s">
        <v>4</v>
      </c>
      <c r="C8" s="24">
        <v>-50</v>
      </c>
    </row>
    <row r="9" spans="1:9" x14ac:dyDescent="0.3">
      <c r="A9" s="26">
        <v>45962</v>
      </c>
      <c r="B9" s="31" t="s">
        <v>4</v>
      </c>
      <c r="C9" s="24">
        <v>-76.150000000000006</v>
      </c>
      <c r="I9" s="25"/>
    </row>
    <row r="10" spans="1:9" x14ac:dyDescent="0.3">
      <c r="A10" s="26">
        <v>45964</v>
      </c>
      <c r="B10" s="31" t="s">
        <v>4</v>
      </c>
      <c r="C10" s="24">
        <v>-50</v>
      </c>
    </row>
    <row r="11" spans="1:9" x14ac:dyDescent="0.3">
      <c r="A11" s="26">
        <v>45958</v>
      </c>
      <c r="B11" s="34" t="s">
        <v>1</v>
      </c>
      <c r="C11" s="24">
        <v>73</v>
      </c>
    </row>
    <row r="12" spans="1:9" x14ac:dyDescent="0.3">
      <c r="A12" s="26">
        <v>45967</v>
      </c>
      <c r="B12" s="32" t="s">
        <v>1</v>
      </c>
      <c r="C12" s="24">
        <v>20.5</v>
      </c>
    </row>
    <row r="13" spans="1:9" x14ac:dyDescent="0.3">
      <c r="A13" s="26">
        <v>45967</v>
      </c>
      <c r="B13" s="34" t="s">
        <v>1</v>
      </c>
      <c r="C13" s="24">
        <v>72.25</v>
      </c>
    </row>
    <row r="14" spans="1:9" x14ac:dyDescent="0.3">
      <c r="A14" s="26">
        <v>45968</v>
      </c>
      <c r="B14" s="34" t="s">
        <v>1</v>
      </c>
      <c r="C14" s="24">
        <v>73</v>
      </c>
    </row>
    <row r="15" spans="1:9" x14ac:dyDescent="0.3">
      <c r="A15" s="26">
        <v>45973</v>
      </c>
      <c r="B15" s="27" t="s">
        <v>4</v>
      </c>
      <c r="C15" s="24">
        <v>-50</v>
      </c>
    </row>
    <row r="16" spans="1:9" x14ac:dyDescent="0.3">
      <c r="A16" s="26">
        <v>45975</v>
      </c>
      <c r="B16" s="27" t="s">
        <v>1</v>
      </c>
      <c r="C16" s="24">
        <v>50.8</v>
      </c>
    </row>
    <row r="17" spans="1:3" x14ac:dyDescent="0.3">
      <c r="A17" s="26">
        <v>45978</v>
      </c>
      <c r="B17" s="27" t="s">
        <v>4</v>
      </c>
      <c r="C17" s="24">
        <v>-50</v>
      </c>
    </row>
    <row r="18" spans="1:3" x14ac:dyDescent="0.3">
      <c r="A18" s="26">
        <v>45980</v>
      </c>
      <c r="B18" s="27" t="s">
        <v>4</v>
      </c>
      <c r="C18" s="24">
        <v>-50</v>
      </c>
    </row>
    <row r="19" spans="1:3" x14ac:dyDescent="0.3">
      <c r="A19" s="26">
        <v>45980</v>
      </c>
      <c r="B19" s="27" t="s">
        <v>1</v>
      </c>
      <c r="C19" s="24">
        <v>98.44</v>
      </c>
    </row>
    <row r="20" spans="1:3" x14ac:dyDescent="0.3">
      <c r="A20" s="26">
        <v>45980</v>
      </c>
      <c r="B20" s="27" t="s">
        <v>4</v>
      </c>
      <c r="C20" s="24">
        <v>-25.4</v>
      </c>
    </row>
    <row r="21" spans="1:3" x14ac:dyDescent="0.3">
      <c r="A21" s="26">
        <v>45982</v>
      </c>
      <c r="B21" s="27" t="s">
        <v>1</v>
      </c>
      <c r="C21" s="24">
        <v>26.64</v>
      </c>
    </row>
    <row r="22" spans="1:3" x14ac:dyDescent="0.3">
      <c r="A22" s="26">
        <v>45985</v>
      </c>
      <c r="B22" s="27" t="s">
        <v>4</v>
      </c>
      <c r="C22" s="24">
        <v>-50</v>
      </c>
    </row>
    <row r="23" spans="1:3" x14ac:dyDescent="0.3">
      <c r="A23" s="26">
        <v>45986</v>
      </c>
      <c r="B23" s="27" t="s">
        <v>4</v>
      </c>
      <c r="C23" s="24">
        <v>-50</v>
      </c>
    </row>
    <row r="24" spans="1:3" x14ac:dyDescent="0.3">
      <c r="A24" s="26">
        <v>45992</v>
      </c>
      <c r="B24" s="27" t="s">
        <v>4</v>
      </c>
      <c r="C24" s="24">
        <v>-50</v>
      </c>
    </row>
    <row r="25" spans="1:3" x14ac:dyDescent="0.3">
      <c r="A25" s="26">
        <v>45994</v>
      </c>
      <c r="B25" s="27" t="s">
        <v>1</v>
      </c>
      <c r="C25" s="24">
        <v>194.63</v>
      </c>
    </row>
    <row r="26" spans="1:3" x14ac:dyDescent="0.3">
      <c r="A26" s="26">
        <v>45996</v>
      </c>
      <c r="B26" s="27" t="s">
        <v>1</v>
      </c>
      <c r="C26" s="24">
        <v>36.72</v>
      </c>
    </row>
    <row r="27" spans="1:3" x14ac:dyDescent="0.3">
      <c r="A27" s="26">
        <v>46000</v>
      </c>
      <c r="B27" s="27" t="s">
        <v>4</v>
      </c>
      <c r="C27" s="24">
        <v>-50</v>
      </c>
    </row>
    <row r="28" spans="1:3" x14ac:dyDescent="0.3">
      <c r="A28" s="26">
        <v>46002</v>
      </c>
      <c r="B28" s="27" t="s">
        <v>4</v>
      </c>
      <c r="C28" s="24">
        <v>-50</v>
      </c>
    </row>
    <row r="29" spans="1:3" x14ac:dyDescent="0.3">
      <c r="A29" s="26">
        <v>46006</v>
      </c>
      <c r="B29" s="27" t="s">
        <v>4</v>
      </c>
      <c r="C29" s="24">
        <v>-50</v>
      </c>
    </row>
    <row r="30" spans="1:3" x14ac:dyDescent="0.3">
      <c r="A30" s="26">
        <v>46007</v>
      </c>
      <c r="B30" s="27" t="s">
        <v>4</v>
      </c>
      <c r="C30" s="24">
        <v>-50</v>
      </c>
    </row>
    <row r="31" spans="1:3" x14ac:dyDescent="0.3">
      <c r="A31" s="26">
        <v>46007</v>
      </c>
      <c r="B31" s="27" t="s">
        <v>1</v>
      </c>
      <c r="C31" s="24">
        <v>77</v>
      </c>
    </row>
    <row r="32" spans="1:3" x14ac:dyDescent="0.3">
      <c r="A32" s="26">
        <v>46008</v>
      </c>
      <c r="B32" s="27" t="s">
        <v>4</v>
      </c>
      <c r="C32" s="24">
        <v>-50</v>
      </c>
    </row>
    <row r="33" spans="1:3" x14ac:dyDescent="0.3">
      <c r="A33" s="26">
        <v>46010</v>
      </c>
      <c r="B33" s="27" t="s">
        <v>4</v>
      </c>
      <c r="C33" s="24">
        <v>-50</v>
      </c>
    </row>
    <row r="34" spans="1:3" x14ac:dyDescent="0.3">
      <c r="A34" s="26">
        <v>46015</v>
      </c>
      <c r="B34" s="27" t="s">
        <v>1</v>
      </c>
      <c r="C34" s="24">
        <v>136.38</v>
      </c>
    </row>
    <row r="35" spans="1:3" x14ac:dyDescent="0.3">
      <c r="A35" s="26">
        <v>46024</v>
      </c>
      <c r="B35" s="27" t="s">
        <v>4</v>
      </c>
      <c r="C35" s="24">
        <v>-50</v>
      </c>
    </row>
    <row r="36" spans="1:3" x14ac:dyDescent="0.3">
      <c r="A36" s="26">
        <v>46027</v>
      </c>
      <c r="B36" s="27" t="s">
        <v>4</v>
      </c>
      <c r="C36" s="24">
        <v>-50</v>
      </c>
    </row>
    <row r="37" spans="1:3" x14ac:dyDescent="0.3">
      <c r="A37" s="26">
        <v>46028</v>
      </c>
      <c r="B37" s="27" t="s">
        <v>4</v>
      </c>
      <c r="C37" s="24">
        <v>-50</v>
      </c>
    </row>
    <row r="38" spans="1:3" x14ac:dyDescent="0.3">
      <c r="A38" s="26">
        <v>46035</v>
      </c>
      <c r="B38" s="27" t="s">
        <v>1</v>
      </c>
      <c r="C38" s="24">
        <v>83</v>
      </c>
    </row>
    <row r="39" spans="1:3" x14ac:dyDescent="0.3">
      <c r="A39" s="26">
        <v>46037</v>
      </c>
      <c r="B39" s="27" t="s">
        <v>4</v>
      </c>
      <c r="C39" s="24">
        <v>-50</v>
      </c>
    </row>
    <row r="40" spans="1:3" x14ac:dyDescent="0.3">
      <c r="A40" s="26">
        <v>46042</v>
      </c>
      <c r="B40" s="27" t="s">
        <v>1</v>
      </c>
      <c r="C40" s="24">
        <v>149.97999999999999</v>
      </c>
    </row>
    <row r="41" spans="1:3" x14ac:dyDescent="0.3">
      <c r="A41" s="26">
        <v>46045</v>
      </c>
      <c r="B41" s="27" t="s">
        <v>4</v>
      </c>
      <c r="C41" s="24">
        <v>-50</v>
      </c>
    </row>
    <row r="42" spans="1:3" x14ac:dyDescent="0.3">
      <c r="A42" s="26">
        <v>46049</v>
      </c>
      <c r="B42" s="27" t="s">
        <v>1</v>
      </c>
      <c r="C42" s="24">
        <v>176.62</v>
      </c>
    </row>
    <row r="43" spans="1:3" x14ac:dyDescent="0.3">
      <c r="A43" s="26">
        <v>46051</v>
      </c>
      <c r="B43" s="27" t="s">
        <v>4</v>
      </c>
      <c r="C43" s="24">
        <v>-50</v>
      </c>
    </row>
    <row r="44" spans="1:3" x14ac:dyDescent="0.3">
      <c r="A44" s="26">
        <v>46051</v>
      </c>
      <c r="B44" s="27" t="s">
        <v>4</v>
      </c>
      <c r="C44" s="24">
        <v>-50.01</v>
      </c>
    </row>
    <row r="45" spans="1:3" x14ac:dyDescent="0.3">
      <c r="A45" s="26">
        <v>46056</v>
      </c>
      <c r="B45" s="27" t="s">
        <v>4</v>
      </c>
      <c r="C45" s="24">
        <v>-50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7ADE5-A0CE-4046-AFDE-8D1BC1167FF3}">
  <dimension ref="A1:I48"/>
  <sheetViews>
    <sheetView view="pageBreakPreview" topLeftCell="A16" zoomScale="80" zoomScaleNormal="100" zoomScaleSheetLayoutView="80" workbookViewId="0">
      <selection activeCell="C49" sqref="C4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435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121.73</v>
      </c>
      <c r="D3" s="20">
        <f>SUM(D$4:D$1048576)</f>
        <v>1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45911</v>
      </c>
      <c r="B5" s="32" t="s">
        <v>21</v>
      </c>
      <c r="C5" s="24">
        <v>7.8</v>
      </c>
      <c r="D5" s="30"/>
      <c r="E5" s="30"/>
      <c r="F5" s="30"/>
      <c r="G5" s="22"/>
    </row>
    <row r="6" spans="1:9" x14ac:dyDescent="0.3">
      <c r="A6" s="21">
        <v>45911</v>
      </c>
      <c r="B6" s="31" t="s">
        <v>1</v>
      </c>
      <c r="C6" s="24">
        <v>47.9</v>
      </c>
    </row>
    <row r="7" spans="1:9" x14ac:dyDescent="0.3">
      <c r="A7" s="26">
        <v>45918</v>
      </c>
      <c r="B7" s="27" t="s">
        <v>4</v>
      </c>
      <c r="C7" s="24">
        <v>-55.04</v>
      </c>
    </row>
    <row r="8" spans="1:9" x14ac:dyDescent="0.3">
      <c r="A8" s="26">
        <v>45925</v>
      </c>
      <c r="B8" s="32" t="s">
        <v>1</v>
      </c>
      <c r="C8" s="24">
        <v>27.8</v>
      </c>
    </row>
    <row r="9" spans="1:9" x14ac:dyDescent="0.3">
      <c r="A9" s="26">
        <v>45925</v>
      </c>
      <c r="B9" s="31" t="s">
        <v>1</v>
      </c>
      <c r="C9" s="24">
        <v>22.4</v>
      </c>
      <c r="I9" s="25"/>
    </row>
    <row r="10" spans="1:9" x14ac:dyDescent="0.3">
      <c r="A10" s="26">
        <v>45932</v>
      </c>
      <c r="B10" s="32" t="s">
        <v>1</v>
      </c>
      <c r="C10" s="24">
        <v>7.8</v>
      </c>
    </row>
    <row r="11" spans="1:9" x14ac:dyDescent="0.3">
      <c r="A11" s="26">
        <v>45933</v>
      </c>
      <c r="B11" s="27" t="s">
        <v>4</v>
      </c>
      <c r="C11" s="24">
        <v>-73.849999999999994</v>
      </c>
    </row>
    <row r="12" spans="1:9" x14ac:dyDescent="0.3">
      <c r="A12" s="26">
        <v>45939</v>
      </c>
      <c r="B12" s="32" t="s">
        <v>1</v>
      </c>
      <c r="C12" s="24">
        <v>27.63</v>
      </c>
    </row>
    <row r="13" spans="1:9" x14ac:dyDescent="0.3">
      <c r="A13" s="26">
        <v>45946</v>
      </c>
      <c r="B13" s="32" t="s">
        <v>1</v>
      </c>
      <c r="C13" s="24">
        <v>17.399999999999999</v>
      </c>
    </row>
    <row r="14" spans="1:9" x14ac:dyDescent="0.3">
      <c r="A14" s="26">
        <v>45946</v>
      </c>
      <c r="B14" s="27" t="s">
        <v>1</v>
      </c>
      <c r="C14" s="24">
        <v>26.7</v>
      </c>
    </row>
    <row r="15" spans="1:9" x14ac:dyDescent="0.3">
      <c r="A15" s="26">
        <v>45948</v>
      </c>
      <c r="B15" s="27" t="s">
        <v>4</v>
      </c>
      <c r="C15" s="24">
        <v>-27.05</v>
      </c>
    </row>
    <row r="16" spans="1:9" x14ac:dyDescent="0.3">
      <c r="A16" s="26">
        <v>45953</v>
      </c>
      <c r="B16" s="32" t="s">
        <v>1</v>
      </c>
      <c r="C16" s="24">
        <v>17.399999999999999</v>
      </c>
    </row>
    <row r="17" spans="1:3" x14ac:dyDescent="0.3">
      <c r="A17" s="26">
        <v>45953</v>
      </c>
      <c r="B17" s="27" t="s">
        <v>1</v>
      </c>
      <c r="C17" s="24">
        <v>25.06</v>
      </c>
    </row>
    <row r="18" spans="1:3" x14ac:dyDescent="0.3">
      <c r="A18" s="26">
        <v>45957</v>
      </c>
      <c r="B18" s="27" t="s">
        <v>4</v>
      </c>
      <c r="C18" s="24">
        <v>-44.1</v>
      </c>
    </row>
    <row r="19" spans="1:3" x14ac:dyDescent="0.3">
      <c r="A19" s="26">
        <v>45960</v>
      </c>
      <c r="B19" s="32" t="s">
        <v>1</v>
      </c>
      <c r="C19" s="24">
        <v>17.8</v>
      </c>
    </row>
    <row r="20" spans="1:3" x14ac:dyDescent="0.3">
      <c r="A20" s="26">
        <v>45966</v>
      </c>
      <c r="B20" s="27" t="s">
        <v>4</v>
      </c>
      <c r="C20" s="24">
        <v>-17.8</v>
      </c>
    </row>
    <row r="21" spans="1:3" x14ac:dyDescent="0.3">
      <c r="A21" s="26">
        <v>45967</v>
      </c>
      <c r="B21" s="24" t="s">
        <v>4</v>
      </c>
      <c r="C21" s="24">
        <v>-42.46</v>
      </c>
    </row>
    <row r="22" spans="1:3" x14ac:dyDescent="0.3">
      <c r="A22" s="26">
        <v>45967</v>
      </c>
      <c r="B22" s="32" t="s">
        <v>1</v>
      </c>
      <c r="C22" s="24">
        <v>17.8</v>
      </c>
    </row>
    <row r="23" spans="1:3" x14ac:dyDescent="0.3">
      <c r="A23" s="26">
        <v>45974</v>
      </c>
      <c r="B23" s="27" t="s">
        <v>1</v>
      </c>
      <c r="C23" s="24">
        <v>15.6</v>
      </c>
    </row>
    <row r="24" spans="1:3" x14ac:dyDescent="0.3">
      <c r="A24" s="26">
        <v>45981</v>
      </c>
      <c r="B24" s="27" t="s">
        <v>4</v>
      </c>
      <c r="C24" s="24">
        <v>-33.4</v>
      </c>
    </row>
    <row r="25" spans="1:3" x14ac:dyDescent="0.3">
      <c r="A25" s="26">
        <v>45981</v>
      </c>
      <c r="B25" s="27" t="s">
        <v>1</v>
      </c>
      <c r="C25" s="24">
        <v>173.07</v>
      </c>
    </row>
    <row r="26" spans="1:3" x14ac:dyDescent="0.3">
      <c r="A26" s="26">
        <v>45986</v>
      </c>
      <c r="B26" s="27" t="s">
        <v>4</v>
      </c>
      <c r="C26" s="24">
        <v>-65</v>
      </c>
    </row>
    <row r="27" spans="1:3" x14ac:dyDescent="0.3">
      <c r="A27" s="26">
        <v>45987</v>
      </c>
      <c r="B27" s="27" t="s">
        <v>4</v>
      </c>
      <c r="C27" s="24">
        <v>-26</v>
      </c>
    </row>
    <row r="28" spans="1:3" x14ac:dyDescent="0.3">
      <c r="A28" s="26">
        <v>45988</v>
      </c>
      <c r="B28" s="27" t="s">
        <v>1</v>
      </c>
      <c r="C28" s="24">
        <v>57.29</v>
      </c>
    </row>
    <row r="29" spans="1:3" x14ac:dyDescent="0.3">
      <c r="A29" s="26">
        <v>45989</v>
      </c>
      <c r="B29" s="27" t="s">
        <v>4</v>
      </c>
      <c r="C29" s="24">
        <v>-48</v>
      </c>
    </row>
    <row r="30" spans="1:3" x14ac:dyDescent="0.3">
      <c r="A30" s="26">
        <v>45994</v>
      </c>
      <c r="B30" s="27" t="s">
        <v>4</v>
      </c>
      <c r="C30" s="24">
        <v>-20</v>
      </c>
    </row>
    <row r="31" spans="1:3" x14ac:dyDescent="0.3">
      <c r="A31" s="26">
        <v>45995</v>
      </c>
      <c r="B31" s="27" t="s">
        <v>1</v>
      </c>
      <c r="C31" s="24">
        <v>40.659999999999997</v>
      </c>
    </row>
    <row r="32" spans="1:3" x14ac:dyDescent="0.3">
      <c r="A32" s="26">
        <v>45996</v>
      </c>
      <c r="B32" s="27" t="s">
        <v>4</v>
      </c>
      <c r="C32" s="24">
        <v>-30</v>
      </c>
    </row>
    <row r="33" spans="1:4" x14ac:dyDescent="0.3">
      <c r="A33" s="26">
        <v>46003</v>
      </c>
      <c r="B33" s="27" t="s">
        <v>1</v>
      </c>
      <c r="C33" s="24">
        <v>44.5</v>
      </c>
    </row>
    <row r="34" spans="1:4" x14ac:dyDescent="0.3">
      <c r="A34" s="26">
        <v>46010</v>
      </c>
      <c r="B34" s="27" t="s">
        <v>4</v>
      </c>
      <c r="C34" s="24">
        <v>-44.03</v>
      </c>
    </row>
    <row r="35" spans="1:4" x14ac:dyDescent="0.3">
      <c r="A35" s="26">
        <v>46010</v>
      </c>
      <c r="B35" s="27" t="s">
        <v>1</v>
      </c>
      <c r="C35" s="24">
        <v>103.65</v>
      </c>
      <c r="D35" s="25">
        <v>1</v>
      </c>
    </row>
    <row r="36" spans="1:4" x14ac:dyDescent="0.3">
      <c r="A36" s="26">
        <v>46013</v>
      </c>
      <c r="B36" s="27" t="s">
        <v>4</v>
      </c>
      <c r="C36" s="24">
        <v>-40</v>
      </c>
    </row>
    <row r="37" spans="1:4" x14ac:dyDescent="0.3">
      <c r="A37" s="26">
        <v>46017</v>
      </c>
      <c r="B37" s="27" t="s">
        <v>4</v>
      </c>
      <c r="C37" s="24">
        <v>-40.24</v>
      </c>
    </row>
    <row r="38" spans="1:4" x14ac:dyDescent="0.3">
      <c r="A38" s="26">
        <v>46017</v>
      </c>
      <c r="B38" s="27" t="s">
        <v>4</v>
      </c>
      <c r="C38" s="24">
        <v>-63.65</v>
      </c>
    </row>
    <row r="39" spans="1:4" x14ac:dyDescent="0.3">
      <c r="A39" s="26">
        <v>46017</v>
      </c>
      <c r="B39" s="27" t="s">
        <v>1</v>
      </c>
      <c r="C39" s="24">
        <v>85.66</v>
      </c>
    </row>
    <row r="40" spans="1:4" x14ac:dyDescent="0.3">
      <c r="A40" s="26">
        <v>46030</v>
      </c>
      <c r="B40" s="27" t="s">
        <v>4</v>
      </c>
      <c r="C40" s="24">
        <v>-85.66</v>
      </c>
    </row>
    <row r="41" spans="1:4" x14ac:dyDescent="0.3">
      <c r="A41" s="26">
        <v>46031</v>
      </c>
      <c r="B41" s="27" t="s">
        <v>1</v>
      </c>
      <c r="C41" s="24">
        <v>194.18</v>
      </c>
    </row>
    <row r="42" spans="1:4" x14ac:dyDescent="0.3">
      <c r="A42" s="26">
        <v>46036</v>
      </c>
      <c r="B42" s="27" t="s">
        <v>4</v>
      </c>
      <c r="C42" s="24">
        <v>-50</v>
      </c>
    </row>
    <row r="43" spans="1:4" x14ac:dyDescent="0.3">
      <c r="A43" s="26">
        <v>46037</v>
      </c>
      <c r="B43" s="27" t="s">
        <v>4</v>
      </c>
      <c r="C43" s="24">
        <v>-144.63</v>
      </c>
    </row>
    <row r="44" spans="1:4" x14ac:dyDescent="0.3">
      <c r="A44" s="26">
        <v>46037</v>
      </c>
      <c r="B44" s="27" t="s">
        <v>1</v>
      </c>
      <c r="C44" s="24">
        <v>125.69</v>
      </c>
    </row>
    <row r="45" spans="1:4" x14ac:dyDescent="0.3">
      <c r="A45" s="26">
        <v>46044</v>
      </c>
      <c r="B45" s="27" t="s">
        <v>4</v>
      </c>
      <c r="C45" s="24">
        <v>-67.92</v>
      </c>
    </row>
    <row r="46" spans="1:4" x14ac:dyDescent="0.3">
      <c r="A46" s="26">
        <v>46044</v>
      </c>
      <c r="B46" s="27" t="s">
        <v>4</v>
      </c>
      <c r="C46" s="24">
        <v>-40</v>
      </c>
    </row>
    <row r="47" spans="1:4" x14ac:dyDescent="0.3">
      <c r="A47" s="26">
        <v>46044</v>
      </c>
      <c r="B47" s="27" t="s">
        <v>1</v>
      </c>
      <c r="C47" s="24">
        <v>22.35</v>
      </c>
    </row>
    <row r="48" spans="1:4" x14ac:dyDescent="0.3">
      <c r="A48" s="26">
        <v>46051</v>
      </c>
      <c r="B48" s="27" t="s">
        <v>1</v>
      </c>
      <c r="C48" s="24">
        <v>54.42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C29C-60F5-4E3F-97D6-649DAB305EC7}">
  <dimension ref="A1:I27"/>
  <sheetViews>
    <sheetView view="pageBreakPreview" zoomScale="80" zoomScaleNormal="100" zoomScaleSheetLayoutView="80" workbookViewId="0">
      <selection sqref="A1:H3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449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36.65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45919</v>
      </c>
      <c r="B5" s="32" t="s">
        <v>21</v>
      </c>
      <c r="C5" s="24">
        <v>15.85</v>
      </c>
      <c r="D5" s="30"/>
      <c r="E5" s="30"/>
      <c r="F5" s="30"/>
      <c r="G5" s="22"/>
    </row>
    <row r="6" spans="1:9" x14ac:dyDescent="0.3">
      <c r="A6" s="21">
        <v>45919</v>
      </c>
      <c r="B6" s="31" t="s">
        <v>1</v>
      </c>
      <c r="C6" s="24">
        <v>20.8</v>
      </c>
    </row>
    <row r="8" spans="1:9" x14ac:dyDescent="0.3">
      <c r="B8" s="32"/>
    </row>
    <row r="9" spans="1:9" x14ac:dyDescent="0.3">
      <c r="B9" s="34"/>
      <c r="I9" s="25"/>
    </row>
    <row r="10" spans="1:9" x14ac:dyDescent="0.3">
      <c r="B10" s="31"/>
    </row>
    <row r="12" spans="1:9" x14ac:dyDescent="0.3">
      <c r="B12" s="32"/>
    </row>
    <row r="14" spans="1:9" x14ac:dyDescent="0.3">
      <c r="B14" s="32"/>
    </row>
    <row r="15" spans="1:9" x14ac:dyDescent="0.3">
      <c r="B15" s="34"/>
    </row>
    <row r="17" spans="2:2" x14ac:dyDescent="0.3">
      <c r="B17" s="32"/>
    </row>
    <row r="21" spans="2:2" x14ac:dyDescent="0.3">
      <c r="B21" s="32"/>
    </row>
    <row r="23" spans="2:2" x14ac:dyDescent="0.3">
      <c r="B23" s="32"/>
    </row>
    <row r="25" spans="2:2" x14ac:dyDescent="0.3">
      <c r="B25" s="32"/>
    </row>
    <row r="26" spans="2:2" x14ac:dyDescent="0.3">
      <c r="B26" s="34"/>
    </row>
    <row r="27" spans="2:2" x14ac:dyDescent="0.3">
      <c r="B27" s="32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8367B-ACD8-41D8-9FB4-4C471762F603}">
  <dimension ref="A1:I27"/>
  <sheetViews>
    <sheetView view="pageBreakPreview" zoomScale="80" zoomScaleNormal="100" zoomScaleSheetLayoutView="80" workbookViewId="0">
      <selection activeCell="C7" sqref="C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547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127">
        <v>46049</v>
      </c>
      <c r="B5" s="128" t="s">
        <v>4</v>
      </c>
      <c r="C5" s="91">
        <v>-17.28</v>
      </c>
      <c r="D5" s="129"/>
      <c r="E5" s="30"/>
      <c r="F5" s="30"/>
      <c r="G5" s="22"/>
    </row>
    <row r="6" spans="1:9" x14ac:dyDescent="0.3">
      <c r="A6" s="127">
        <v>46049</v>
      </c>
      <c r="B6" s="130" t="s">
        <v>21</v>
      </c>
      <c r="C6" s="91">
        <v>17.28</v>
      </c>
      <c r="D6" s="131"/>
    </row>
    <row r="7" spans="1:9" x14ac:dyDescent="0.3">
      <c r="A7" s="132"/>
      <c r="B7" s="133"/>
      <c r="C7" s="91"/>
      <c r="D7" s="131"/>
    </row>
    <row r="8" spans="1:9" x14ac:dyDescent="0.3">
      <c r="A8" s="132"/>
      <c r="B8" s="128"/>
      <c r="C8" s="91"/>
      <c r="D8" s="131"/>
    </row>
    <row r="9" spans="1:9" x14ac:dyDescent="0.3">
      <c r="A9" s="132"/>
      <c r="B9" s="128"/>
      <c r="C9" s="91"/>
      <c r="D9" s="131"/>
      <c r="I9" s="25"/>
    </row>
    <row r="10" spans="1:9" x14ac:dyDescent="0.3">
      <c r="A10" s="132"/>
      <c r="B10" s="130"/>
      <c r="C10" s="91"/>
      <c r="D10" s="131"/>
    </row>
    <row r="11" spans="1:9" x14ac:dyDescent="0.3">
      <c r="A11" s="132"/>
      <c r="B11" s="133"/>
      <c r="C11" s="91"/>
      <c r="D11" s="131"/>
    </row>
    <row r="12" spans="1:9" x14ac:dyDescent="0.3">
      <c r="A12" s="132"/>
      <c r="B12" s="128"/>
      <c r="C12" s="91"/>
      <c r="D12" s="131"/>
    </row>
    <row r="13" spans="1:9" x14ac:dyDescent="0.3">
      <c r="A13" s="132"/>
      <c r="B13" s="133"/>
      <c r="C13" s="91"/>
      <c r="D13" s="131"/>
    </row>
    <row r="14" spans="1:9" x14ac:dyDescent="0.3">
      <c r="A14" s="132"/>
      <c r="B14" s="128"/>
      <c r="C14" s="91"/>
      <c r="D14" s="131"/>
    </row>
    <row r="15" spans="1:9" x14ac:dyDescent="0.3">
      <c r="A15" s="132"/>
      <c r="B15" s="128"/>
      <c r="C15" s="91"/>
      <c r="D15" s="131"/>
    </row>
    <row r="16" spans="1:9" x14ac:dyDescent="0.3">
      <c r="A16" s="132"/>
      <c r="B16" s="133"/>
      <c r="C16" s="91"/>
      <c r="D16" s="131"/>
    </row>
    <row r="17" spans="1:4" x14ac:dyDescent="0.3">
      <c r="A17" s="132"/>
      <c r="B17" s="128"/>
      <c r="C17" s="91"/>
      <c r="D17" s="131"/>
    </row>
    <row r="18" spans="1:4" x14ac:dyDescent="0.3">
      <c r="A18" s="132"/>
      <c r="B18" s="133"/>
      <c r="C18" s="91"/>
      <c r="D18" s="131"/>
    </row>
    <row r="19" spans="1:4" x14ac:dyDescent="0.3">
      <c r="A19" s="132"/>
      <c r="B19" s="133"/>
      <c r="C19" s="91"/>
      <c r="D19" s="131"/>
    </row>
    <row r="20" spans="1:4" x14ac:dyDescent="0.3">
      <c r="A20" s="132"/>
      <c r="B20" s="133"/>
      <c r="C20" s="91"/>
      <c r="D20" s="131"/>
    </row>
    <row r="21" spans="1:4" x14ac:dyDescent="0.3">
      <c r="A21" s="132"/>
      <c r="B21" s="128"/>
      <c r="C21" s="91"/>
      <c r="D21" s="131"/>
    </row>
    <row r="22" spans="1:4" x14ac:dyDescent="0.3">
      <c r="A22" s="132"/>
      <c r="B22" s="133"/>
      <c r="C22" s="91"/>
      <c r="D22" s="131"/>
    </row>
    <row r="23" spans="1:4" x14ac:dyDescent="0.3">
      <c r="A23" s="132"/>
      <c r="B23" s="128"/>
      <c r="C23" s="91"/>
      <c r="D23" s="131"/>
    </row>
    <row r="24" spans="1:4" x14ac:dyDescent="0.3">
      <c r="A24" s="132"/>
      <c r="B24" s="133"/>
      <c r="C24" s="91"/>
      <c r="D24" s="131"/>
    </row>
    <row r="25" spans="1:4" x14ac:dyDescent="0.3">
      <c r="A25" s="132"/>
      <c r="B25" s="128"/>
      <c r="C25" s="91"/>
      <c r="D25" s="131"/>
    </row>
    <row r="26" spans="1:4" x14ac:dyDescent="0.3">
      <c r="A26" s="132"/>
      <c r="B26" s="128"/>
      <c r="C26" s="91"/>
      <c r="D26" s="131"/>
    </row>
    <row r="27" spans="1:4" x14ac:dyDescent="0.3">
      <c r="A27" s="132"/>
      <c r="B27" s="128"/>
      <c r="C27" s="91"/>
      <c r="D27" s="1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E031-0A6E-4588-A37A-36635D59A916}">
  <sheetPr codeName="Hoja89"/>
  <dimension ref="A1:I59"/>
  <sheetViews>
    <sheetView view="pageBreakPreview" zoomScale="80" zoomScaleNormal="100" zoomScaleSheetLayoutView="80" workbookViewId="0">
      <selection activeCell="C60" sqref="C6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29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138.45000000000002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45812</v>
      </c>
      <c r="B5" s="32" t="s">
        <v>21</v>
      </c>
      <c r="C5" s="24">
        <v>51.84</v>
      </c>
      <c r="D5" s="30"/>
      <c r="E5" s="30"/>
      <c r="F5" s="30"/>
      <c r="G5" s="22"/>
    </row>
    <row r="6" spans="1:9" hidden="1" x14ac:dyDescent="0.3">
      <c r="A6" s="21">
        <v>45825</v>
      </c>
      <c r="B6" s="31" t="s">
        <v>4</v>
      </c>
      <c r="C6" s="24">
        <v>-31.81</v>
      </c>
    </row>
    <row r="7" spans="1:9" hidden="1" x14ac:dyDescent="0.3">
      <c r="A7" s="26">
        <v>45827</v>
      </c>
      <c r="B7" s="27" t="s">
        <v>4</v>
      </c>
      <c r="C7" s="24">
        <v>-20.239999999999998</v>
      </c>
    </row>
    <row r="8" spans="1:9" hidden="1" x14ac:dyDescent="0.3">
      <c r="A8" s="26">
        <v>45827</v>
      </c>
      <c r="B8" s="32" t="s">
        <v>21</v>
      </c>
      <c r="C8" s="24">
        <v>70.2</v>
      </c>
    </row>
    <row r="9" spans="1:9" hidden="1" x14ac:dyDescent="0.3">
      <c r="A9" s="26">
        <v>45827</v>
      </c>
      <c r="B9" s="34" t="s">
        <v>21</v>
      </c>
      <c r="C9" s="24">
        <v>8.7200000000000006</v>
      </c>
      <c r="I9" s="25"/>
    </row>
    <row r="10" spans="1:9" hidden="1" x14ac:dyDescent="0.3">
      <c r="A10" s="26">
        <v>45834</v>
      </c>
      <c r="B10" s="31" t="s">
        <v>4</v>
      </c>
      <c r="C10" s="24">
        <v>-32.97</v>
      </c>
    </row>
    <row r="11" spans="1:9" hidden="1" x14ac:dyDescent="0.3">
      <c r="A11" s="26">
        <v>45842</v>
      </c>
      <c r="B11" s="27" t="s">
        <v>4</v>
      </c>
      <c r="C11" s="24">
        <v>-45.74</v>
      </c>
    </row>
    <row r="12" spans="1:9" hidden="1" x14ac:dyDescent="0.3">
      <c r="A12" s="26">
        <v>45842</v>
      </c>
      <c r="B12" s="32" t="s">
        <v>21</v>
      </c>
      <c r="C12" s="24">
        <v>56.54</v>
      </c>
    </row>
    <row r="13" spans="1:9" hidden="1" x14ac:dyDescent="0.3">
      <c r="A13" s="26">
        <v>45849</v>
      </c>
      <c r="B13" s="27" t="s">
        <v>4</v>
      </c>
      <c r="C13" s="24">
        <v>-56.21</v>
      </c>
    </row>
    <row r="14" spans="1:9" hidden="1" x14ac:dyDescent="0.3">
      <c r="A14" s="26">
        <v>45849</v>
      </c>
      <c r="B14" s="32" t="s">
        <v>21</v>
      </c>
      <c r="C14" s="24">
        <v>55.05</v>
      </c>
    </row>
    <row r="15" spans="1:9" hidden="1" x14ac:dyDescent="0.3">
      <c r="A15" s="26">
        <v>45849</v>
      </c>
      <c r="B15" s="34" t="s">
        <v>21</v>
      </c>
      <c r="C15" s="24">
        <v>12.9</v>
      </c>
    </row>
    <row r="16" spans="1:9" hidden="1" x14ac:dyDescent="0.3">
      <c r="A16" s="26">
        <v>45863</v>
      </c>
      <c r="B16" s="27" t="s">
        <v>4</v>
      </c>
      <c r="C16" s="24">
        <v>-32.96</v>
      </c>
    </row>
    <row r="17" spans="1:3" hidden="1" x14ac:dyDescent="0.3">
      <c r="A17" s="26">
        <v>45863</v>
      </c>
      <c r="B17" s="32" t="s">
        <v>21</v>
      </c>
      <c r="C17" s="24">
        <v>23.35</v>
      </c>
    </row>
    <row r="18" spans="1:3" hidden="1" x14ac:dyDescent="0.3">
      <c r="A18" s="26">
        <v>45875</v>
      </c>
      <c r="B18" s="27" t="s">
        <v>4</v>
      </c>
      <c r="C18" s="24">
        <v>-33.32</v>
      </c>
    </row>
    <row r="19" spans="1:3" hidden="1" x14ac:dyDescent="0.3">
      <c r="A19" s="26">
        <v>45877</v>
      </c>
      <c r="B19" s="27" t="s">
        <v>4</v>
      </c>
      <c r="C19" s="24">
        <v>-12.3</v>
      </c>
    </row>
    <row r="20" spans="1:3" hidden="1" x14ac:dyDescent="0.3">
      <c r="A20" s="26">
        <v>45877</v>
      </c>
      <c r="B20" s="27" t="s">
        <v>7</v>
      </c>
      <c r="C20" s="24">
        <v>-13.54</v>
      </c>
    </row>
    <row r="21" spans="1:3" hidden="1" x14ac:dyDescent="0.3">
      <c r="A21" s="26">
        <v>45877</v>
      </c>
      <c r="B21" s="32" t="s">
        <v>21</v>
      </c>
      <c r="C21" s="24">
        <v>46.7</v>
      </c>
    </row>
    <row r="22" spans="1:3" hidden="1" x14ac:dyDescent="0.3">
      <c r="A22" s="26">
        <v>45884</v>
      </c>
      <c r="B22" s="27" t="s">
        <v>4</v>
      </c>
      <c r="C22" s="24">
        <v>-22.12</v>
      </c>
    </row>
    <row r="23" spans="1:3" hidden="1" x14ac:dyDescent="0.3">
      <c r="A23" s="26">
        <v>45884</v>
      </c>
      <c r="B23" s="32" t="s">
        <v>21</v>
      </c>
      <c r="C23" s="24">
        <v>41.54</v>
      </c>
    </row>
    <row r="24" spans="1:3" hidden="1" x14ac:dyDescent="0.3">
      <c r="A24" s="26">
        <v>45891</v>
      </c>
      <c r="B24" s="27" t="s">
        <v>4</v>
      </c>
      <c r="C24" s="24">
        <v>-65.64</v>
      </c>
    </row>
    <row r="25" spans="1:3" hidden="1" x14ac:dyDescent="0.3">
      <c r="A25" s="26">
        <v>45891</v>
      </c>
      <c r="B25" s="32" t="s">
        <v>21</v>
      </c>
      <c r="C25" s="24">
        <v>49.04</v>
      </c>
    </row>
    <row r="26" spans="1:3" hidden="1" x14ac:dyDescent="0.3">
      <c r="A26" s="26">
        <v>45891</v>
      </c>
      <c r="B26" s="34" t="s">
        <v>21</v>
      </c>
      <c r="C26" s="24">
        <v>13.18</v>
      </c>
    </row>
    <row r="27" spans="1:3" hidden="1" x14ac:dyDescent="0.3">
      <c r="A27" s="26">
        <v>45899</v>
      </c>
      <c r="B27" s="32" t="s">
        <v>21</v>
      </c>
      <c r="C27" s="24">
        <v>40.69</v>
      </c>
    </row>
    <row r="28" spans="1:3" hidden="1" x14ac:dyDescent="0.3">
      <c r="A28" s="26">
        <v>45900</v>
      </c>
      <c r="B28" s="27" t="s">
        <v>4</v>
      </c>
      <c r="C28" s="24">
        <v>-37.049999999999997</v>
      </c>
    </row>
    <row r="29" spans="1:3" hidden="1" x14ac:dyDescent="0.3">
      <c r="A29" s="26">
        <v>45912</v>
      </c>
      <c r="B29" s="27" t="s">
        <v>7</v>
      </c>
      <c r="C29" s="24">
        <v>-38.700000000000003</v>
      </c>
    </row>
    <row r="30" spans="1:3" hidden="1" x14ac:dyDescent="0.3">
      <c r="A30" s="26">
        <v>45912</v>
      </c>
      <c r="B30" s="32" t="s">
        <v>21</v>
      </c>
      <c r="C30" s="24">
        <v>39.200000000000003</v>
      </c>
    </row>
    <row r="31" spans="1:3" hidden="1" x14ac:dyDescent="0.3">
      <c r="A31" s="26">
        <v>45919</v>
      </c>
      <c r="B31" s="27" t="s">
        <v>4</v>
      </c>
      <c r="C31" s="24">
        <v>-66.349999999999994</v>
      </c>
    </row>
    <row r="32" spans="1:3" hidden="1" x14ac:dyDescent="0.3">
      <c r="A32" s="26">
        <v>45919</v>
      </c>
      <c r="B32" s="32" t="s">
        <v>21</v>
      </c>
      <c r="C32" s="24">
        <v>56.84</v>
      </c>
    </row>
    <row r="33" spans="1:3" hidden="1" x14ac:dyDescent="0.3">
      <c r="A33" s="26">
        <v>45926</v>
      </c>
      <c r="B33" s="27" t="s">
        <v>4</v>
      </c>
      <c r="C33" s="24">
        <v>-56.84</v>
      </c>
    </row>
    <row r="34" spans="1:3" hidden="1" x14ac:dyDescent="0.3">
      <c r="A34" s="26">
        <v>45926</v>
      </c>
      <c r="B34" s="32" t="s">
        <v>21</v>
      </c>
      <c r="C34" s="24">
        <v>31.7</v>
      </c>
    </row>
    <row r="35" spans="1:3" hidden="1" x14ac:dyDescent="0.3">
      <c r="A35" s="26">
        <v>45926</v>
      </c>
      <c r="B35" s="34" t="s">
        <v>21</v>
      </c>
      <c r="C35" s="24">
        <v>17.14</v>
      </c>
    </row>
    <row r="36" spans="1:3" hidden="1" x14ac:dyDescent="0.3">
      <c r="A36" s="26">
        <v>45933</v>
      </c>
      <c r="B36" s="32" t="s">
        <v>21</v>
      </c>
      <c r="C36" s="24">
        <v>23.35</v>
      </c>
    </row>
    <row r="37" spans="1:3" hidden="1" x14ac:dyDescent="0.3">
      <c r="A37" s="26">
        <v>45940</v>
      </c>
      <c r="B37" s="27" t="s">
        <v>4</v>
      </c>
      <c r="C37" s="24">
        <v>-21.73</v>
      </c>
    </row>
    <row r="38" spans="1:3" hidden="1" x14ac:dyDescent="0.3">
      <c r="A38" s="26">
        <v>45947</v>
      </c>
      <c r="B38" s="27" t="s">
        <v>4</v>
      </c>
      <c r="C38" s="24">
        <v>-50.46</v>
      </c>
    </row>
    <row r="39" spans="1:3" hidden="1" x14ac:dyDescent="0.3">
      <c r="A39" s="26">
        <v>45947</v>
      </c>
      <c r="B39" s="32" t="s">
        <v>21</v>
      </c>
      <c r="C39" s="24">
        <v>50.4</v>
      </c>
    </row>
    <row r="40" spans="1:3" hidden="1" x14ac:dyDescent="0.3">
      <c r="A40" s="26">
        <v>45947</v>
      </c>
      <c r="B40" s="34" t="s">
        <v>21</v>
      </c>
      <c r="C40" s="24">
        <v>9.14</v>
      </c>
    </row>
    <row r="41" spans="1:3" hidden="1" x14ac:dyDescent="0.3">
      <c r="A41" s="26">
        <v>45954</v>
      </c>
      <c r="B41" s="27" t="s">
        <v>4</v>
      </c>
      <c r="C41" s="24">
        <v>-27.98</v>
      </c>
    </row>
    <row r="42" spans="1:3" hidden="1" x14ac:dyDescent="0.3">
      <c r="A42" s="26">
        <v>45961</v>
      </c>
      <c r="B42" s="27" t="s">
        <v>4</v>
      </c>
      <c r="C42" s="24">
        <v>-31.56</v>
      </c>
    </row>
    <row r="43" spans="1:3" hidden="1" x14ac:dyDescent="0.3">
      <c r="A43" s="26">
        <v>45961</v>
      </c>
      <c r="B43" s="32" t="s">
        <v>21</v>
      </c>
      <c r="C43" s="24">
        <v>57.6</v>
      </c>
    </row>
    <row r="44" spans="1:3" hidden="1" x14ac:dyDescent="0.3">
      <c r="A44" s="26">
        <v>45961</v>
      </c>
      <c r="B44" s="34" t="s">
        <v>21</v>
      </c>
      <c r="C44" s="24">
        <v>8.11</v>
      </c>
    </row>
    <row r="45" spans="1:3" hidden="1" x14ac:dyDescent="0.3">
      <c r="A45" s="26">
        <v>45975</v>
      </c>
      <c r="B45" s="27" t="s">
        <v>4</v>
      </c>
      <c r="C45" s="24">
        <v>-42.58</v>
      </c>
    </row>
    <row r="46" spans="1:3" hidden="1" x14ac:dyDescent="0.3">
      <c r="A46" s="26">
        <v>45975</v>
      </c>
      <c r="B46" s="27" t="s">
        <v>1</v>
      </c>
      <c r="C46" s="24">
        <v>51.07</v>
      </c>
    </row>
    <row r="47" spans="1:3" hidden="1" x14ac:dyDescent="0.3">
      <c r="A47" s="26">
        <v>45982</v>
      </c>
      <c r="B47" s="27" t="s">
        <v>1</v>
      </c>
      <c r="C47" s="24">
        <v>27.99</v>
      </c>
    </row>
    <row r="48" spans="1:3" hidden="1" x14ac:dyDescent="0.3">
      <c r="A48" s="26">
        <v>45989</v>
      </c>
      <c r="B48" s="27" t="s">
        <v>4</v>
      </c>
      <c r="C48" s="24">
        <v>-102.19</v>
      </c>
    </row>
    <row r="49" spans="1:3" x14ac:dyDescent="0.3">
      <c r="A49" s="26">
        <v>45989</v>
      </c>
      <c r="B49" s="27" t="s">
        <v>1</v>
      </c>
      <c r="C49" s="24">
        <v>39.47</v>
      </c>
    </row>
    <row r="50" spans="1:3" x14ac:dyDescent="0.3">
      <c r="A50" s="26">
        <v>45996</v>
      </c>
      <c r="B50" s="27" t="s">
        <v>1</v>
      </c>
      <c r="C50" s="24">
        <v>64.14</v>
      </c>
    </row>
    <row r="51" spans="1:3" x14ac:dyDescent="0.3">
      <c r="A51" s="26">
        <v>46003</v>
      </c>
      <c r="B51" s="27" t="s">
        <v>4</v>
      </c>
      <c r="C51" s="24">
        <v>-37.35</v>
      </c>
    </row>
    <row r="52" spans="1:3" x14ac:dyDescent="0.3">
      <c r="A52" s="26">
        <v>46003</v>
      </c>
      <c r="B52" s="27" t="s">
        <v>1</v>
      </c>
      <c r="C52" s="24">
        <v>16.38</v>
      </c>
    </row>
    <row r="53" spans="1:3" x14ac:dyDescent="0.3">
      <c r="A53" s="26">
        <v>46015</v>
      </c>
      <c r="B53" s="27" t="s">
        <v>1</v>
      </c>
      <c r="C53" s="24">
        <v>113.93</v>
      </c>
    </row>
    <row r="54" spans="1:3" x14ac:dyDescent="0.3">
      <c r="A54" s="26">
        <v>46017</v>
      </c>
      <c r="B54" s="27" t="s">
        <v>4</v>
      </c>
      <c r="C54" s="24">
        <v>-41.19</v>
      </c>
    </row>
    <row r="55" spans="1:3" x14ac:dyDescent="0.3">
      <c r="A55" s="26">
        <v>46017</v>
      </c>
      <c r="B55" s="27" t="s">
        <v>4</v>
      </c>
      <c r="C55" s="24">
        <v>-41.45</v>
      </c>
    </row>
    <row r="56" spans="1:3" x14ac:dyDescent="0.3">
      <c r="A56" s="26">
        <v>46031</v>
      </c>
      <c r="B56" s="27" t="s">
        <v>4</v>
      </c>
      <c r="C56" s="24">
        <v>-61.46</v>
      </c>
    </row>
    <row r="57" spans="1:3" x14ac:dyDescent="0.3">
      <c r="A57" s="26">
        <v>46031</v>
      </c>
      <c r="B57" s="27" t="s">
        <v>1</v>
      </c>
      <c r="C57" s="24">
        <v>85.8</v>
      </c>
    </row>
    <row r="58" spans="1:3" x14ac:dyDescent="0.3">
      <c r="A58" s="26">
        <v>46045</v>
      </c>
      <c r="B58" s="27" t="s">
        <v>4</v>
      </c>
      <c r="C58" s="24">
        <v>-42.53</v>
      </c>
    </row>
    <row r="59" spans="1:3" x14ac:dyDescent="0.3">
      <c r="A59" s="26">
        <v>46052</v>
      </c>
      <c r="B59" s="27" t="s">
        <v>1</v>
      </c>
      <c r="C59" s="24">
        <v>42.71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734D-32C2-49AB-B441-77FC92E236B6}">
  <sheetPr codeName="Hoja169"/>
  <dimension ref="A1:H12"/>
  <sheetViews>
    <sheetView view="pageBreakPreview" zoomScale="80" zoomScaleNormal="100" zoomScaleSheetLayoutView="8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234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235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45821</v>
      </c>
      <c r="B5" s="34" t="s">
        <v>21</v>
      </c>
      <c r="C5" s="24">
        <v>50</v>
      </c>
      <c r="D5" s="30"/>
      <c r="E5" s="30"/>
      <c r="F5" s="30"/>
      <c r="G5" s="22"/>
    </row>
    <row r="6" spans="1:8" x14ac:dyDescent="0.3">
      <c r="A6" s="21">
        <v>45824</v>
      </c>
      <c r="B6" s="27" t="s">
        <v>4</v>
      </c>
      <c r="C6" s="24">
        <v>-50</v>
      </c>
    </row>
    <row r="7" spans="1:8" x14ac:dyDescent="0.3">
      <c r="A7" s="21">
        <v>45877</v>
      </c>
      <c r="B7" s="34" t="s">
        <v>21</v>
      </c>
      <c r="C7" s="24">
        <v>54.96</v>
      </c>
    </row>
    <row r="8" spans="1:8" x14ac:dyDescent="0.3">
      <c r="A8" s="26">
        <v>45884</v>
      </c>
      <c r="B8" s="27" t="s">
        <v>4</v>
      </c>
      <c r="C8" s="24">
        <v>-54.96</v>
      </c>
    </row>
    <row r="9" spans="1:8" x14ac:dyDescent="0.3">
      <c r="A9" s="26">
        <v>45893</v>
      </c>
      <c r="B9" s="27" t="s">
        <v>4</v>
      </c>
      <c r="C9" s="24">
        <v>-57.96</v>
      </c>
    </row>
    <row r="10" spans="1:8" x14ac:dyDescent="0.3">
      <c r="A10" s="26">
        <v>45891</v>
      </c>
      <c r="B10" s="34" t="s">
        <v>21</v>
      </c>
      <c r="C10" s="24">
        <v>57.96</v>
      </c>
    </row>
    <row r="12" spans="1:8" x14ac:dyDescent="0.3">
      <c r="B12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78C2-B86E-476B-985F-11B6B8827A8A}">
  <sheetPr codeName="Hoja90"/>
  <dimension ref="A1:I56"/>
  <sheetViews>
    <sheetView view="pageBreakPreview" zoomScale="85" zoomScaleNormal="100" zoomScaleSheetLayoutView="85" workbookViewId="0">
      <selection activeCell="C57" sqref="C5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31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155.63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45812</v>
      </c>
      <c r="B5" s="34" t="s">
        <v>21</v>
      </c>
      <c r="C5" s="24">
        <v>59.68</v>
      </c>
      <c r="D5" s="30"/>
      <c r="E5" s="30"/>
      <c r="F5" s="30"/>
      <c r="G5" s="22"/>
    </row>
    <row r="6" spans="1:9" hidden="1" x14ac:dyDescent="0.3">
      <c r="A6" s="21">
        <v>45834</v>
      </c>
      <c r="B6" s="31" t="s">
        <v>307</v>
      </c>
      <c r="C6" s="24">
        <v>-59.68</v>
      </c>
    </row>
    <row r="7" spans="1:9" hidden="1" x14ac:dyDescent="0.3">
      <c r="A7" s="21">
        <v>45834</v>
      </c>
      <c r="B7" s="32" t="s">
        <v>21</v>
      </c>
      <c r="C7" s="24">
        <v>25.69</v>
      </c>
    </row>
    <row r="8" spans="1:9" hidden="1" x14ac:dyDescent="0.3">
      <c r="A8" s="21">
        <v>45834</v>
      </c>
      <c r="B8" s="34" t="s">
        <v>21</v>
      </c>
      <c r="C8" s="24">
        <v>112.85</v>
      </c>
    </row>
    <row r="9" spans="1:9" hidden="1" x14ac:dyDescent="0.3">
      <c r="A9" s="26">
        <v>45870</v>
      </c>
      <c r="B9" s="27" t="s">
        <v>4</v>
      </c>
      <c r="C9" s="24">
        <v>-138.54</v>
      </c>
      <c r="I9" s="25"/>
    </row>
    <row r="10" spans="1:9" hidden="1" x14ac:dyDescent="0.3">
      <c r="A10" s="26">
        <v>45870</v>
      </c>
      <c r="B10" s="32" t="s">
        <v>21</v>
      </c>
      <c r="C10" s="24">
        <v>15.85</v>
      </c>
    </row>
    <row r="11" spans="1:9" hidden="1" x14ac:dyDescent="0.3">
      <c r="A11" s="26">
        <v>45870</v>
      </c>
      <c r="B11" s="34" t="s">
        <v>21</v>
      </c>
      <c r="C11" s="24">
        <v>54.96</v>
      </c>
    </row>
    <row r="12" spans="1:9" hidden="1" x14ac:dyDescent="0.3">
      <c r="A12" s="26">
        <v>45884</v>
      </c>
      <c r="B12" s="31" t="s">
        <v>4</v>
      </c>
      <c r="C12" s="24">
        <v>-33.909999999999997</v>
      </c>
    </row>
    <row r="13" spans="1:9" hidden="1" x14ac:dyDescent="0.3">
      <c r="A13" s="26">
        <v>45884</v>
      </c>
      <c r="B13" s="27" t="s">
        <v>7</v>
      </c>
      <c r="C13" s="24">
        <v>-70.83</v>
      </c>
    </row>
    <row r="14" spans="1:9" hidden="1" x14ac:dyDescent="0.3">
      <c r="A14" s="26">
        <v>45884</v>
      </c>
      <c r="B14" s="32" t="s">
        <v>21</v>
      </c>
      <c r="C14" s="24">
        <v>15.85</v>
      </c>
    </row>
    <row r="15" spans="1:9" hidden="1" x14ac:dyDescent="0.3">
      <c r="A15" s="26">
        <v>45884</v>
      </c>
      <c r="B15" s="34" t="s">
        <v>21</v>
      </c>
      <c r="C15" s="24">
        <v>54.96</v>
      </c>
    </row>
    <row r="16" spans="1:9" hidden="1" x14ac:dyDescent="0.3">
      <c r="A16" s="26">
        <v>45891</v>
      </c>
      <c r="B16" s="27" t="s">
        <v>4</v>
      </c>
      <c r="C16" s="24">
        <v>-36.880000000000003</v>
      </c>
    </row>
    <row r="17" spans="1:3" hidden="1" x14ac:dyDescent="0.3">
      <c r="A17" s="26">
        <v>45891</v>
      </c>
      <c r="B17" s="32" t="s">
        <v>21</v>
      </c>
      <c r="C17" s="24">
        <v>15.85</v>
      </c>
    </row>
    <row r="18" spans="1:3" hidden="1" x14ac:dyDescent="0.3">
      <c r="A18" s="26">
        <v>45891</v>
      </c>
      <c r="B18" s="34" t="s">
        <v>21</v>
      </c>
      <c r="C18" s="24">
        <v>33.78</v>
      </c>
    </row>
    <row r="19" spans="1:3" hidden="1" x14ac:dyDescent="0.3">
      <c r="A19" s="26">
        <v>45899</v>
      </c>
      <c r="B19" s="32" t="s">
        <v>21</v>
      </c>
      <c r="C19" s="24">
        <v>25.69</v>
      </c>
    </row>
    <row r="20" spans="1:3" hidden="1" x14ac:dyDescent="0.3">
      <c r="A20" s="26">
        <v>45900</v>
      </c>
      <c r="B20" s="27" t="s">
        <v>4</v>
      </c>
      <c r="C20" s="24">
        <v>-49.63</v>
      </c>
    </row>
    <row r="21" spans="1:3" hidden="1" x14ac:dyDescent="0.3">
      <c r="A21" s="26">
        <v>45905</v>
      </c>
      <c r="B21" s="27" t="s">
        <v>4</v>
      </c>
      <c r="C21" s="24">
        <v>-25.69</v>
      </c>
    </row>
    <row r="22" spans="1:3" hidden="1" x14ac:dyDescent="0.3">
      <c r="A22" s="26">
        <v>45905</v>
      </c>
      <c r="B22" s="34" t="s">
        <v>21</v>
      </c>
      <c r="C22" s="24">
        <v>49.2</v>
      </c>
    </row>
    <row r="23" spans="1:3" hidden="1" x14ac:dyDescent="0.3">
      <c r="A23" s="26">
        <v>45919</v>
      </c>
      <c r="B23" s="27" t="s">
        <v>7</v>
      </c>
      <c r="C23" s="24">
        <v>-49.22</v>
      </c>
    </row>
    <row r="24" spans="1:3" hidden="1" x14ac:dyDescent="0.3">
      <c r="A24" s="26">
        <v>45919</v>
      </c>
      <c r="B24" s="32" t="s">
        <v>21</v>
      </c>
      <c r="C24" s="24">
        <v>15.85</v>
      </c>
    </row>
    <row r="25" spans="1:3" hidden="1" x14ac:dyDescent="0.3">
      <c r="A25" s="26">
        <v>45919</v>
      </c>
      <c r="B25" s="34" t="s">
        <v>21</v>
      </c>
      <c r="C25" s="24">
        <v>63.56</v>
      </c>
    </row>
    <row r="26" spans="1:3" hidden="1" x14ac:dyDescent="0.3">
      <c r="A26" s="26">
        <v>45933</v>
      </c>
      <c r="B26" s="27" t="s">
        <v>4</v>
      </c>
      <c r="C26" s="24">
        <v>-28.39</v>
      </c>
    </row>
    <row r="27" spans="1:3" hidden="1" x14ac:dyDescent="0.3">
      <c r="A27" s="26">
        <v>45933</v>
      </c>
      <c r="B27" s="32" t="s">
        <v>21</v>
      </c>
      <c r="C27" s="24">
        <v>33.19</v>
      </c>
    </row>
    <row r="28" spans="1:3" hidden="1" x14ac:dyDescent="0.3">
      <c r="A28" s="26">
        <v>45933</v>
      </c>
      <c r="B28" s="34" t="s">
        <v>21</v>
      </c>
      <c r="C28" s="24">
        <v>57.76</v>
      </c>
    </row>
    <row r="29" spans="1:3" hidden="1" x14ac:dyDescent="0.3">
      <c r="A29" s="26">
        <v>45936</v>
      </c>
      <c r="B29" s="27" t="s">
        <v>4</v>
      </c>
      <c r="C29" s="24">
        <v>-60.81</v>
      </c>
    </row>
    <row r="30" spans="1:3" hidden="1" x14ac:dyDescent="0.3">
      <c r="A30" s="26">
        <v>45940</v>
      </c>
      <c r="B30" s="27" t="s">
        <v>4</v>
      </c>
      <c r="C30" s="24">
        <v>-27.42</v>
      </c>
    </row>
    <row r="31" spans="1:3" hidden="1" x14ac:dyDescent="0.3">
      <c r="A31" s="26">
        <v>45940</v>
      </c>
      <c r="B31" s="27" t="s">
        <v>7</v>
      </c>
      <c r="C31" s="24">
        <v>-53.84</v>
      </c>
    </row>
    <row r="32" spans="1:3" hidden="1" x14ac:dyDescent="0.3">
      <c r="A32" s="26">
        <v>45940</v>
      </c>
      <c r="B32" s="32" t="s">
        <v>21</v>
      </c>
      <c r="C32" s="24">
        <v>16.38</v>
      </c>
    </row>
    <row r="33" spans="1:3" hidden="1" x14ac:dyDescent="0.3">
      <c r="A33" s="26">
        <v>45940</v>
      </c>
      <c r="B33" s="34" t="s">
        <v>21</v>
      </c>
      <c r="C33" s="24">
        <v>23.4</v>
      </c>
    </row>
    <row r="34" spans="1:3" hidden="1" x14ac:dyDescent="0.3">
      <c r="A34" s="26">
        <v>45947</v>
      </c>
      <c r="B34" s="27" t="s">
        <v>4</v>
      </c>
      <c r="C34" s="24">
        <v>-39.78</v>
      </c>
    </row>
    <row r="35" spans="1:3" hidden="1" x14ac:dyDescent="0.3">
      <c r="A35" s="26">
        <v>45947</v>
      </c>
      <c r="B35" s="32" t="s">
        <v>21</v>
      </c>
      <c r="C35" s="24">
        <v>16.38</v>
      </c>
    </row>
    <row r="36" spans="1:3" hidden="1" x14ac:dyDescent="0.3">
      <c r="A36" s="26">
        <v>45947</v>
      </c>
      <c r="B36" s="34" t="s">
        <v>21</v>
      </c>
      <c r="C36" s="24">
        <v>31.32</v>
      </c>
    </row>
    <row r="37" spans="1:3" hidden="1" x14ac:dyDescent="0.3">
      <c r="A37" s="26">
        <v>45954</v>
      </c>
      <c r="B37" s="27" t="s">
        <v>4</v>
      </c>
      <c r="C37" s="24">
        <v>-47.58</v>
      </c>
    </row>
    <row r="38" spans="1:3" hidden="1" x14ac:dyDescent="0.3">
      <c r="A38" s="26">
        <v>45961</v>
      </c>
      <c r="B38" s="32" t="s">
        <v>21</v>
      </c>
      <c r="C38" s="24">
        <v>26.22</v>
      </c>
    </row>
    <row r="39" spans="1:3" hidden="1" x14ac:dyDescent="0.3">
      <c r="A39" s="26">
        <v>45961</v>
      </c>
      <c r="B39" s="34" t="s">
        <v>21</v>
      </c>
      <c r="C39" s="24">
        <v>33.659999999999997</v>
      </c>
    </row>
    <row r="40" spans="1:3" hidden="1" x14ac:dyDescent="0.3">
      <c r="A40" s="26">
        <v>45968</v>
      </c>
      <c r="B40" s="27" t="s">
        <v>4</v>
      </c>
      <c r="C40" s="24">
        <v>-48.14</v>
      </c>
    </row>
    <row r="41" spans="1:3" hidden="1" x14ac:dyDescent="0.3">
      <c r="A41" s="26">
        <v>45968</v>
      </c>
      <c r="B41" s="27" t="s">
        <v>7</v>
      </c>
      <c r="C41" s="24">
        <v>-11.79</v>
      </c>
    </row>
    <row r="42" spans="1:3" hidden="1" x14ac:dyDescent="0.3">
      <c r="A42" s="26">
        <v>45968</v>
      </c>
      <c r="B42" s="32" t="s">
        <v>21</v>
      </c>
      <c r="C42" s="24">
        <v>16.38</v>
      </c>
    </row>
    <row r="43" spans="1:3" hidden="1" x14ac:dyDescent="0.3">
      <c r="A43" s="26">
        <v>45968</v>
      </c>
      <c r="B43" s="34" t="s">
        <v>21</v>
      </c>
      <c r="C43" s="24">
        <v>33.78</v>
      </c>
    </row>
    <row r="44" spans="1:3" hidden="1" x14ac:dyDescent="0.3">
      <c r="A44" s="26">
        <v>45982</v>
      </c>
      <c r="B44" s="27" t="s">
        <v>4</v>
      </c>
      <c r="C44" s="24">
        <v>-51</v>
      </c>
    </row>
    <row r="45" spans="1:3" x14ac:dyDescent="0.3">
      <c r="A45" s="26">
        <v>45982</v>
      </c>
      <c r="B45" s="27" t="s">
        <v>1</v>
      </c>
      <c r="C45" s="24">
        <v>100.68</v>
      </c>
    </row>
    <row r="46" spans="1:3" x14ac:dyDescent="0.3">
      <c r="A46" s="26">
        <v>45996</v>
      </c>
      <c r="B46" s="27" t="s">
        <v>4</v>
      </c>
      <c r="C46" s="24">
        <v>-96.91</v>
      </c>
    </row>
    <row r="47" spans="1:3" x14ac:dyDescent="0.3">
      <c r="A47" s="26">
        <v>45996</v>
      </c>
      <c r="B47" s="27" t="s">
        <v>7</v>
      </c>
      <c r="C47" s="24">
        <v>-2.92</v>
      </c>
    </row>
    <row r="48" spans="1:3" x14ac:dyDescent="0.3">
      <c r="A48" s="26">
        <v>45996</v>
      </c>
      <c r="B48" s="27" t="s">
        <v>1</v>
      </c>
      <c r="C48" s="24">
        <v>69.7</v>
      </c>
    </row>
    <row r="49" spans="1:3" x14ac:dyDescent="0.3">
      <c r="A49" s="26">
        <v>46003</v>
      </c>
      <c r="B49" s="27" t="s">
        <v>4</v>
      </c>
      <c r="C49" s="24">
        <v>-69.66</v>
      </c>
    </row>
    <row r="50" spans="1:3" x14ac:dyDescent="0.3">
      <c r="A50" s="26">
        <v>46003</v>
      </c>
      <c r="B50" s="27" t="s">
        <v>1</v>
      </c>
      <c r="C50" s="24">
        <v>93.4</v>
      </c>
    </row>
    <row r="51" spans="1:3" x14ac:dyDescent="0.3">
      <c r="A51" s="26">
        <v>46017</v>
      </c>
      <c r="B51" s="27" t="s">
        <v>4</v>
      </c>
      <c r="C51" s="24">
        <v>-93.4</v>
      </c>
    </row>
    <row r="52" spans="1:3" x14ac:dyDescent="0.3">
      <c r="A52" s="26">
        <v>46017</v>
      </c>
      <c r="B52" s="27" t="s">
        <v>1</v>
      </c>
      <c r="C52" s="24">
        <v>145.22999999999999</v>
      </c>
    </row>
    <row r="53" spans="1:3" x14ac:dyDescent="0.3">
      <c r="A53" s="26">
        <v>46031</v>
      </c>
      <c r="B53" s="27" t="s">
        <v>4</v>
      </c>
      <c r="C53" s="24">
        <v>-145.22999999999999</v>
      </c>
    </row>
    <row r="54" spans="1:3" x14ac:dyDescent="0.3">
      <c r="A54" s="26">
        <v>46031</v>
      </c>
      <c r="B54" s="27" t="s">
        <v>1</v>
      </c>
      <c r="C54" s="24">
        <v>68.900000000000006</v>
      </c>
    </row>
    <row r="55" spans="1:3" x14ac:dyDescent="0.3">
      <c r="A55" s="26">
        <v>46052</v>
      </c>
      <c r="B55" s="27" t="s">
        <v>4</v>
      </c>
      <c r="C55" s="24">
        <v>-68.900000000000006</v>
      </c>
    </row>
    <row r="56" spans="1:3" x14ac:dyDescent="0.3">
      <c r="A56" s="26">
        <v>46052</v>
      </c>
      <c r="B56" s="27" t="s">
        <v>1</v>
      </c>
      <c r="C56" s="24">
        <v>155.63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86FCE-991A-4387-974F-6C224E69415F}">
  <sheetPr codeName="Hoja91"/>
  <dimension ref="A1:H55"/>
  <sheetViews>
    <sheetView view="pageBreakPreview" zoomScale="85" zoomScaleNormal="100" zoomScaleSheetLayoutView="85" workbookViewId="0">
      <selection activeCell="C56" sqref="C5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211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1518.5099999999998</v>
      </c>
      <c r="D3" s="20">
        <f>SUM(D$4:D$1048576)</f>
        <v>32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45820</v>
      </c>
      <c r="B5" s="27" t="s">
        <v>21</v>
      </c>
      <c r="C5" s="24">
        <v>405.7</v>
      </c>
      <c r="D5" s="30"/>
      <c r="E5" s="30"/>
      <c r="F5" s="30"/>
      <c r="G5" s="22"/>
    </row>
    <row r="6" spans="1:8" hidden="1" x14ac:dyDescent="0.3">
      <c r="A6" s="21">
        <v>45832</v>
      </c>
      <c r="B6" s="27" t="s">
        <v>4</v>
      </c>
      <c r="C6" s="24">
        <v>-441.3</v>
      </c>
    </row>
    <row r="7" spans="1:8" hidden="1" x14ac:dyDescent="0.3">
      <c r="A7" s="21">
        <v>45833</v>
      </c>
      <c r="B7" s="27" t="s">
        <v>1</v>
      </c>
      <c r="C7" s="24">
        <v>536.70000000000005</v>
      </c>
    </row>
    <row r="8" spans="1:8" hidden="1" x14ac:dyDescent="0.3">
      <c r="A8" s="21">
        <v>45833</v>
      </c>
      <c r="B8" s="32" t="s">
        <v>1</v>
      </c>
      <c r="C8" s="24">
        <v>74.23</v>
      </c>
    </row>
    <row r="9" spans="1:8" hidden="1" x14ac:dyDescent="0.3">
      <c r="A9" s="26">
        <v>45847</v>
      </c>
      <c r="B9" s="27" t="s">
        <v>1</v>
      </c>
      <c r="C9" s="24">
        <v>379.2</v>
      </c>
    </row>
    <row r="10" spans="1:8" hidden="1" x14ac:dyDescent="0.3">
      <c r="A10" s="26">
        <v>45847</v>
      </c>
      <c r="B10" s="32" t="s">
        <v>1</v>
      </c>
      <c r="C10" s="24">
        <v>56.63</v>
      </c>
      <c r="E10" s="25">
        <v>1</v>
      </c>
    </row>
    <row r="11" spans="1:8" hidden="1" x14ac:dyDescent="0.3">
      <c r="A11" s="26">
        <v>45853</v>
      </c>
      <c r="B11" s="27" t="s">
        <v>4</v>
      </c>
      <c r="C11" s="24">
        <v>-576.03</v>
      </c>
    </row>
    <row r="12" spans="1:8" hidden="1" x14ac:dyDescent="0.3">
      <c r="A12" s="26">
        <v>45868</v>
      </c>
      <c r="B12" s="31" t="s">
        <v>4</v>
      </c>
      <c r="C12" s="24">
        <v>-435.81</v>
      </c>
    </row>
    <row r="13" spans="1:8" hidden="1" x14ac:dyDescent="0.3">
      <c r="A13" s="26">
        <v>45869</v>
      </c>
      <c r="B13" s="27" t="s">
        <v>1</v>
      </c>
      <c r="C13" s="24">
        <v>1024.7</v>
      </c>
    </row>
    <row r="14" spans="1:8" hidden="1" x14ac:dyDescent="0.3">
      <c r="A14" s="26">
        <v>45869</v>
      </c>
      <c r="B14" s="32" t="s">
        <v>1</v>
      </c>
      <c r="C14" s="24">
        <v>73.45</v>
      </c>
      <c r="E14" s="25">
        <v>-1</v>
      </c>
    </row>
    <row r="15" spans="1:8" hidden="1" x14ac:dyDescent="0.3">
      <c r="A15" s="26">
        <v>45889</v>
      </c>
      <c r="B15" s="27" t="s">
        <v>4</v>
      </c>
      <c r="C15" s="24">
        <v>-1098.1500000000001</v>
      </c>
    </row>
    <row r="16" spans="1:8" hidden="1" x14ac:dyDescent="0.3">
      <c r="A16" s="26">
        <v>45889</v>
      </c>
      <c r="B16" s="27" t="s">
        <v>1</v>
      </c>
      <c r="C16" s="24">
        <v>1496.7</v>
      </c>
      <c r="D16" s="25">
        <v>17</v>
      </c>
    </row>
    <row r="17" spans="1:4" hidden="1" x14ac:dyDescent="0.3">
      <c r="A17" s="26">
        <v>45889</v>
      </c>
      <c r="B17" s="32" t="s">
        <v>1</v>
      </c>
      <c r="C17" s="24">
        <v>126.7</v>
      </c>
    </row>
    <row r="18" spans="1:4" hidden="1" x14ac:dyDescent="0.3">
      <c r="A18" s="26">
        <v>45901</v>
      </c>
      <c r="B18" s="27" t="s">
        <v>4</v>
      </c>
      <c r="C18" s="24">
        <v>-500</v>
      </c>
    </row>
    <row r="19" spans="1:4" hidden="1" x14ac:dyDescent="0.3">
      <c r="A19" s="26">
        <v>45908</v>
      </c>
      <c r="B19" s="27" t="s">
        <v>4</v>
      </c>
      <c r="C19" s="24">
        <v>-200</v>
      </c>
    </row>
    <row r="20" spans="1:4" hidden="1" x14ac:dyDescent="0.3">
      <c r="A20" s="26">
        <v>45908</v>
      </c>
      <c r="B20" s="27" t="s">
        <v>4</v>
      </c>
      <c r="C20" s="24">
        <v>-923.4</v>
      </c>
    </row>
    <row r="21" spans="1:4" hidden="1" x14ac:dyDescent="0.3">
      <c r="A21" s="26">
        <v>45909</v>
      </c>
      <c r="B21" s="27" t="s">
        <v>1</v>
      </c>
      <c r="C21" s="24">
        <v>1450.8</v>
      </c>
      <c r="D21" s="25">
        <v>4</v>
      </c>
    </row>
    <row r="22" spans="1:4" hidden="1" x14ac:dyDescent="0.3">
      <c r="A22" s="26">
        <v>45909</v>
      </c>
      <c r="B22" s="32" t="s">
        <v>1</v>
      </c>
      <c r="C22" s="24">
        <v>121.83</v>
      </c>
    </row>
    <row r="23" spans="1:4" hidden="1" x14ac:dyDescent="0.3">
      <c r="A23" s="26">
        <v>45936</v>
      </c>
      <c r="B23" s="27" t="s">
        <v>4</v>
      </c>
      <c r="C23" s="24">
        <v>-37.76</v>
      </c>
    </row>
    <row r="24" spans="1:4" hidden="1" x14ac:dyDescent="0.3">
      <c r="A24" s="26">
        <v>45939</v>
      </c>
      <c r="B24" s="27" t="s">
        <v>1</v>
      </c>
      <c r="C24" s="24">
        <v>871.5</v>
      </c>
    </row>
    <row r="25" spans="1:4" hidden="1" x14ac:dyDescent="0.3">
      <c r="A25" s="26">
        <v>45940</v>
      </c>
      <c r="B25" s="27" t="s">
        <v>1</v>
      </c>
      <c r="C25" s="24">
        <v>150.36000000000001</v>
      </c>
    </row>
    <row r="26" spans="1:4" hidden="1" x14ac:dyDescent="0.3">
      <c r="A26" s="26">
        <v>45952</v>
      </c>
      <c r="B26" s="27" t="s">
        <v>4</v>
      </c>
      <c r="C26" s="24">
        <v>-500</v>
      </c>
    </row>
    <row r="27" spans="1:4" hidden="1" x14ac:dyDescent="0.3">
      <c r="A27" s="26">
        <v>45952</v>
      </c>
      <c r="B27" s="27" t="s">
        <v>4</v>
      </c>
      <c r="C27" s="24">
        <v>-1572.63</v>
      </c>
    </row>
    <row r="28" spans="1:4" hidden="1" x14ac:dyDescent="0.3">
      <c r="A28" s="26">
        <v>45952</v>
      </c>
      <c r="B28" s="27" t="s">
        <v>1</v>
      </c>
      <c r="C28" s="24">
        <v>644.03</v>
      </c>
    </row>
    <row r="29" spans="1:4" hidden="1" x14ac:dyDescent="0.3">
      <c r="A29" s="26">
        <v>45952</v>
      </c>
      <c r="B29" s="32" t="s">
        <v>1</v>
      </c>
      <c r="C29" s="24">
        <v>75.92</v>
      </c>
    </row>
    <row r="30" spans="1:4" hidden="1" x14ac:dyDescent="0.3">
      <c r="A30" s="26">
        <v>45967</v>
      </c>
      <c r="B30" s="27" t="s">
        <v>4</v>
      </c>
      <c r="C30" s="24">
        <v>-1203.42</v>
      </c>
    </row>
    <row r="31" spans="1:4" x14ac:dyDescent="0.3">
      <c r="A31" s="26">
        <v>45972</v>
      </c>
      <c r="B31" s="27" t="s">
        <v>1</v>
      </c>
      <c r="C31" s="24">
        <v>1368.58</v>
      </c>
    </row>
    <row r="32" spans="1:4" x14ac:dyDescent="0.3">
      <c r="A32" s="26">
        <v>45973</v>
      </c>
      <c r="B32" s="27" t="s">
        <v>1</v>
      </c>
      <c r="C32" s="24">
        <v>235.41</v>
      </c>
    </row>
    <row r="33" spans="1:4" x14ac:dyDescent="0.3">
      <c r="A33" s="26">
        <v>45992</v>
      </c>
      <c r="B33" s="27" t="s">
        <v>4</v>
      </c>
      <c r="C33" s="24">
        <v>-566.24</v>
      </c>
    </row>
    <row r="34" spans="1:4" x14ac:dyDescent="0.3">
      <c r="A34" s="26">
        <v>45992</v>
      </c>
      <c r="B34" s="27" t="s">
        <v>4</v>
      </c>
      <c r="C34" s="24">
        <v>-198.68</v>
      </c>
    </row>
    <row r="35" spans="1:4" x14ac:dyDescent="0.3">
      <c r="A35" s="26">
        <v>45995</v>
      </c>
      <c r="B35" s="27" t="s">
        <v>4</v>
      </c>
      <c r="C35" s="24">
        <v>-200</v>
      </c>
    </row>
    <row r="36" spans="1:4" x14ac:dyDescent="0.3">
      <c r="A36" s="26">
        <v>45995</v>
      </c>
      <c r="B36" s="27" t="s">
        <v>4</v>
      </c>
      <c r="C36" s="24">
        <v>-200</v>
      </c>
    </row>
    <row r="37" spans="1:4" x14ac:dyDescent="0.3">
      <c r="A37" s="26">
        <v>45996</v>
      </c>
      <c r="B37" s="27" t="s">
        <v>1</v>
      </c>
      <c r="C37" s="24">
        <v>831.89</v>
      </c>
    </row>
    <row r="38" spans="1:4" x14ac:dyDescent="0.3">
      <c r="A38" s="26">
        <v>46003</v>
      </c>
      <c r="B38" s="27" t="s">
        <v>4</v>
      </c>
      <c r="C38" s="24">
        <v>-400</v>
      </c>
    </row>
    <row r="39" spans="1:4" x14ac:dyDescent="0.3">
      <c r="A39" s="26">
        <v>46003</v>
      </c>
      <c r="B39" s="27" t="s">
        <v>1</v>
      </c>
      <c r="C39" s="24">
        <v>948.7</v>
      </c>
    </row>
    <row r="40" spans="1:4" x14ac:dyDescent="0.3">
      <c r="A40" s="26">
        <v>46004</v>
      </c>
      <c r="B40" s="27" t="s">
        <v>4</v>
      </c>
      <c r="C40" s="24">
        <v>-198.68</v>
      </c>
    </row>
    <row r="41" spans="1:4" x14ac:dyDescent="0.3">
      <c r="A41" s="26">
        <v>46007</v>
      </c>
      <c r="B41" s="27" t="s">
        <v>4</v>
      </c>
      <c r="C41" s="24">
        <v>-431.89</v>
      </c>
    </row>
    <row r="42" spans="1:4" x14ac:dyDescent="0.3">
      <c r="A42" s="26">
        <v>46009</v>
      </c>
      <c r="B42" s="27" t="s">
        <v>4</v>
      </c>
      <c r="C42" s="24">
        <v>-235.41</v>
      </c>
    </row>
    <row r="43" spans="1:4" x14ac:dyDescent="0.3">
      <c r="A43" s="26">
        <v>46013</v>
      </c>
      <c r="B43" s="27" t="s">
        <v>4</v>
      </c>
      <c r="C43" s="24">
        <v>-500</v>
      </c>
    </row>
    <row r="44" spans="1:4" x14ac:dyDescent="0.3">
      <c r="A44" s="26">
        <v>46014</v>
      </c>
      <c r="B44" s="27" t="s">
        <v>1</v>
      </c>
      <c r="C44" s="24">
        <v>1846</v>
      </c>
      <c r="D44" s="25">
        <v>11</v>
      </c>
    </row>
    <row r="45" spans="1:4" x14ac:dyDescent="0.3">
      <c r="A45" s="26">
        <v>46015</v>
      </c>
      <c r="B45" s="27" t="s">
        <v>4</v>
      </c>
      <c r="C45" s="24">
        <v>-400</v>
      </c>
    </row>
    <row r="46" spans="1:4" x14ac:dyDescent="0.3">
      <c r="A46" s="26">
        <v>46017</v>
      </c>
      <c r="B46" s="27" t="s">
        <v>4</v>
      </c>
      <c r="C46" s="24">
        <v>-44</v>
      </c>
    </row>
    <row r="47" spans="1:4" x14ac:dyDescent="0.3">
      <c r="A47" s="26">
        <v>46020</v>
      </c>
      <c r="B47" s="27" t="s">
        <v>4</v>
      </c>
      <c r="C47" s="24">
        <v>-600</v>
      </c>
    </row>
    <row r="48" spans="1:4" x14ac:dyDescent="0.3">
      <c r="A48" s="26">
        <v>46027</v>
      </c>
      <c r="B48" s="27" t="s">
        <v>4</v>
      </c>
      <c r="C48" s="24">
        <v>-450</v>
      </c>
    </row>
    <row r="49" spans="1:3" x14ac:dyDescent="0.3">
      <c r="A49" s="26">
        <v>46035</v>
      </c>
      <c r="B49" s="27" t="s">
        <v>4</v>
      </c>
      <c r="C49" s="24">
        <v>-796</v>
      </c>
    </row>
    <row r="50" spans="1:3" x14ac:dyDescent="0.3">
      <c r="A50" s="26">
        <v>46035</v>
      </c>
      <c r="B50" s="27" t="s">
        <v>1</v>
      </c>
      <c r="C50" s="24">
        <v>50.47</v>
      </c>
    </row>
    <row r="51" spans="1:3" x14ac:dyDescent="0.3">
      <c r="A51" s="26">
        <v>46036</v>
      </c>
      <c r="B51" s="27" t="s">
        <v>1</v>
      </c>
      <c r="C51" s="24">
        <v>665</v>
      </c>
    </row>
    <row r="52" spans="1:3" x14ac:dyDescent="0.3">
      <c r="A52" s="26">
        <v>46036</v>
      </c>
      <c r="B52" s="27" t="s">
        <v>503</v>
      </c>
      <c r="C52" s="24">
        <v>-7.2</v>
      </c>
    </row>
    <row r="53" spans="1:3" x14ac:dyDescent="0.3">
      <c r="A53" s="26">
        <v>46043</v>
      </c>
      <c r="B53" s="27" t="s">
        <v>1</v>
      </c>
      <c r="C53" s="24">
        <v>412.46</v>
      </c>
    </row>
    <row r="54" spans="1:3" x14ac:dyDescent="0.3">
      <c r="A54" s="26">
        <v>46050</v>
      </c>
      <c r="B54" s="27" t="s">
        <v>1</v>
      </c>
      <c r="C54" s="24">
        <v>53.04</v>
      </c>
    </row>
    <row r="55" spans="1:3" x14ac:dyDescent="0.3">
      <c r="A55" s="26">
        <v>46050</v>
      </c>
      <c r="B55" s="27" t="s">
        <v>1</v>
      </c>
      <c r="C55" s="24">
        <v>335.11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DE6C1-AB84-47D2-910D-6409428DEE4E}">
  <dimension ref="A1:H19"/>
  <sheetViews>
    <sheetView view="pageBreakPreview" zoomScale="85" zoomScaleNormal="100" zoomScaleSheetLayoutView="85" workbookViewId="0">
      <selection activeCell="C20" sqref="C2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407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408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185.31</v>
      </c>
      <c r="D3" s="20">
        <f>SUM(D$4:D$1048576)</f>
        <v>4</v>
      </c>
      <c r="E3" s="20">
        <f>SUM(E$5:E$1048576)</f>
        <v>3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45877</v>
      </c>
      <c r="B5" s="32" t="s">
        <v>21</v>
      </c>
      <c r="C5" s="24">
        <v>15.85</v>
      </c>
      <c r="D5" s="30">
        <v>1</v>
      </c>
      <c r="E5" s="30"/>
      <c r="F5" s="30"/>
      <c r="G5" s="22"/>
    </row>
    <row r="6" spans="1:8" x14ac:dyDescent="0.3">
      <c r="A6" s="21">
        <v>45887</v>
      </c>
      <c r="B6" s="27" t="s">
        <v>4</v>
      </c>
      <c r="C6" s="24">
        <v>-15.85</v>
      </c>
    </row>
    <row r="7" spans="1:8" x14ac:dyDescent="0.3">
      <c r="A7" s="21">
        <v>45891</v>
      </c>
      <c r="B7" s="32" t="s">
        <v>1</v>
      </c>
      <c r="C7" s="24">
        <v>54.2</v>
      </c>
    </row>
    <row r="8" spans="1:8" x14ac:dyDescent="0.3">
      <c r="A8" s="21">
        <v>45891</v>
      </c>
      <c r="B8" s="50" t="s">
        <v>1</v>
      </c>
      <c r="C8" s="24">
        <v>20.81</v>
      </c>
    </row>
    <row r="9" spans="1:8" x14ac:dyDescent="0.3">
      <c r="A9" s="26">
        <v>45910</v>
      </c>
      <c r="B9" s="27" t="s">
        <v>4</v>
      </c>
      <c r="C9" s="24">
        <v>-75.010000000000005</v>
      </c>
    </row>
    <row r="10" spans="1:8" x14ac:dyDescent="0.3">
      <c r="A10" s="26">
        <v>45912</v>
      </c>
      <c r="B10" s="32" t="s">
        <v>1</v>
      </c>
      <c r="C10" s="24">
        <v>109.8</v>
      </c>
      <c r="E10" s="25">
        <v>1</v>
      </c>
    </row>
    <row r="11" spans="1:8" x14ac:dyDescent="0.3">
      <c r="A11" s="26">
        <v>45929</v>
      </c>
      <c r="B11" s="27" t="s">
        <v>4</v>
      </c>
      <c r="C11" s="24">
        <v>-109.79</v>
      </c>
    </row>
    <row r="12" spans="1:8" x14ac:dyDescent="0.3">
      <c r="A12" s="26">
        <v>45933</v>
      </c>
      <c r="B12" s="32" t="s">
        <v>1</v>
      </c>
      <c r="C12" s="24">
        <v>91.11</v>
      </c>
      <c r="D12" s="25">
        <v>1</v>
      </c>
      <c r="E12" s="25">
        <v>1</v>
      </c>
    </row>
    <row r="13" spans="1:8" x14ac:dyDescent="0.3">
      <c r="A13" s="26">
        <v>45933</v>
      </c>
      <c r="B13" s="50" t="s">
        <v>1</v>
      </c>
      <c r="C13" s="24">
        <v>20.260000000000002</v>
      </c>
    </row>
    <row r="14" spans="1:8" x14ac:dyDescent="0.3">
      <c r="A14" s="26">
        <v>45951</v>
      </c>
      <c r="B14" s="27" t="s">
        <v>4</v>
      </c>
      <c r="C14" s="24">
        <v>-65.42</v>
      </c>
    </row>
    <row r="15" spans="1:8" x14ac:dyDescent="0.3">
      <c r="A15" s="26">
        <v>45968</v>
      </c>
      <c r="B15" s="32" t="s">
        <v>1</v>
      </c>
      <c r="C15" s="24">
        <v>124.3</v>
      </c>
      <c r="D15" s="25">
        <v>1</v>
      </c>
      <c r="E15" s="25">
        <v>1</v>
      </c>
    </row>
    <row r="16" spans="1:8" x14ac:dyDescent="0.3">
      <c r="A16" s="26">
        <v>45978</v>
      </c>
      <c r="B16" s="27" t="s">
        <v>4</v>
      </c>
      <c r="C16" s="24">
        <v>-150</v>
      </c>
    </row>
    <row r="17" spans="1:4" x14ac:dyDescent="0.3">
      <c r="A17" s="26">
        <v>45996</v>
      </c>
      <c r="B17" s="27" t="s">
        <v>4</v>
      </c>
      <c r="C17" s="24">
        <v>-20.010000000000002</v>
      </c>
    </row>
    <row r="18" spans="1:4" x14ac:dyDescent="0.3">
      <c r="A18" s="26">
        <v>46042</v>
      </c>
      <c r="B18" s="27" t="s">
        <v>1</v>
      </c>
      <c r="C18" s="24">
        <v>69.14</v>
      </c>
      <c r="D18" s="25">
        <v>1</v>
      </c>
    </row>
    <row r="19" spans="1:4" x14ac:dyDescent="0.3">
      <c r="A19" s="26">
        <v>46044</v>
      </c>
      <c r="B19" s="27" t="s">
        <v>1</v>
      </c>
      <c r="C19" s="24">
        <v>115.92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29405-33F1-4496-9B9D-2A0C3171505F}">
  <sheetPr codeName="Hoja92"/>
  <dimension ref="A1:H65"/>
  <sheetViews>
    <sheetView view="pageBreakPreview" zoomScale="80" zoomScaleNormal="100" zoomScaleSheetLayoutView="80" workbookViewId="0">
      <selection activeCell="C66" sqref="C6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194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122.08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45820</v>
      </c>
      <c r="B5" s="32" t="s">
        <v>21</v>
      </c>
      <c r="C5" s="24">
        <v>15.4</v>
      </c>
      <c r="D5" s="30"/>
      <c r="E5" s="30"/>
      <c r="F5" s="30"/>
      <c r="G5" s="22"/>
    </row>
    <row r="6" spans="1:8" hidden="1" x14ac:dyDescent="0.3">
      <c r="A6" s="21">
        <v>45820</v>
      </c>
      <c r="B6" s="34" t="s">
        <v>21</v>
      </c>
      <c r="C6" s="24">
        <v>20</v>
      </c>
    </row>
    <row r="7" spans="1:8" hidden="1" x14ac:dyDescent="0.3">
      <c r="A7" s="21">
        <v>45826</v>
      </c>
      <c r="B7" s="27" t="s">
        <v>4</v>
      </c>
      <c r="C7" s="24">
        <v>-35.4</v>
      </c>
    </row>
    <row r="8" spans="1:8" hidden="1" x14ac:dyDescent="0.3">
      <c r="A8" s="26">
        <v>45833</v>
      </c>
      <c r="B8" s="32" t="s">
        <v>21</v>
      </c>
      <c r="C8" s="24">
        <v>7.5</v>
      </c>
    </row>
    <row r="9" spans="1:8" hidden="1" x14ac:dyDescent="0.3">
      <c r="A9" s="26">
        <v>45833</v>
      </c>
      <c r="B9" s="34" t="s">
        <v>21</v>
      </c>
      <c r="C9" s="24">
        <v>20</v>
      </c>
    </row>
    <row r="10" spans="1:8" hidden="1" x14ac:dyDescent="0.3">
      <c r="A10" s="26">
        <v>45840</v>
      </c>
      <c r="B10" s="31" t="s">
        <v>4</v>
      </c>
      <c r="C10" s="24">
        <v>-27.5</v>
      </c>
    </row>
    <row r="11" spans="1:8" hidden="1" x14ac:dyDescent="0.3">
      <c r="A11" s="26">
        <v>45840</v>
      </c>
      <c r="B11" s="34" t="s">
        <v>21</v>
      </c>
      <c r="C11" s="24">
        <v>20</v>
      </c>
    </row>
    <row r="12" spans="1:8" hidden="1" x14ac:dyDescent="0.3">
      <c r="A12" s="26">
        <v>45854</v>
      </c>
      <c r="B12" s="31" t="s">
        <v>4</v>
      </c>
      <c r="C12" s="24">
        <v>-20</v>
      </c>
    </row>
    <row r="13" spans="1:8" hidden="1" x14ac:dyDescent="0.3">
      <c r="A13" s="26">
        <v>45854</v>
      </c>
      <c r="B13" s="32" t="s">
        <v>21</v>
      </c>
      <c r="C13" s="24">
        <v>15</v>
      </c>
    </row>
    <row r="14" spans="1:8" hidden="1" x14ac:dyDescent="0.3">
      <c r="A14" s="26">
        <v>45854</v>
      </c>
      <c r="B14" s="34" t="s">
        <v>21</v>
      </c>
      <c r="C14" s="24">
        <v>20</v>
      </c>
    </row>
    <row r="15" spans="1:8" hidden="1" x14ac:dyDescent="0.3">
      <c r="A15" s="26">
        <v>45861</v>
      </c>
      <c r="B15" s="27" t="s">
        <v>4</v>
      </c>
      <c r="C15" s="24">
        <v>-24</v>
      </c>
    </row>
    <row r="16" spans="1:8" hidden="1" x14ac:dyDescent="0.3">
      <c r="A16" s="26">
        <v>45861</v>
      </c>
      <c r="B16" s="27" t="s">
        <v>4</v>
      </c>
      <c r="C16" s="24">
        <v>-13</v>
      </c>
    </row>
    <row r="17" spans="1:3" hidden="1" x14ac:dyDescent="0.3">
      <c r="A17" s="26">
        <v>45868</v>
      </c>
      <c r="B17" s="32" t="s">
        <v>21</v>
      </c>
      <c r="C17" s="24">
        <v>7.5</v>
      </c>
    </row>
    <row r="18" spans="1:3" hidden="1" x14ac:dyDescent="0.3">
      <c r="A18" s="26">
        <v>45868</v>
      </c>
      <c r="B18" s="34" t="s">
        <v>21</v>
      </c>
      <c r="C18" s="24">
        <v>19.8</v>
      </c>
    </row>
    <row r="19" spans="1:3" hidden="1" x14ac:dyDescent="0.3">
      <c r="A19" s="26">
        <v>45875</v>
      </c>
      <c r="B19" s="27" t="s">
        <v>4</v>
      </c>
      <c r="C19" s="24">
        <v>-27.3</v>
      </c>
    </row>
    <row r="20" spans="1:3" hidden="1" x14ac:dyDescent="0.3">
      <c r="A20" s="26">
        <v>45875</v>
      </c>
      <c r="B20" s="32" t="s">
        <v>21</v>
      </c>
      <c r="C20" s="24">
        <v>23.35</v>
      </c>
    </row>
    <row r="21" spans="1:3" hidden="1" x14ac:dyDescent="0.3">
      <c r="A21" s="26">
        <v>45875</v>
      </c>
      <c r="B21" s="34" t="s">
        <v>21</v>
      </c>
      <c r="C21" s="24">
        <v>19.8</v>
      </c>
    </row>
    <row r="22" spans="1:3" hidden="1" x14ac:dyDescent="0.3">
      <c r="A22" s="26">
        <v>45882</v>
      </c>
      <c r="B22" s="27" t="s">
        <v>4</v>
      </c>
      <c r="C22" s="24">
        <v>-43.15</v>
      </c>
    </row>
    <row r="23" spans="1:3" hidden="1" x14ac:dyDescent="0.3">
      <c r="A23" s="26">
        <v>45882</v>
      </c>
      <c r="B23" s="32" t="s">
        <v>21</v>
      </c>
      <c r="C23" s="24">
        <v>23.35</v>
      </c>
    </row>
    <row r="24" spans="1:3" hidden="1" x14ac:dyDescent="0.3">
      <c r="A24" s="26">
        <v>45889</v>
      </c>
      <c r="B24" s="32" t="s">
        <v>21</v>
      </c>
      <c r="C24" s="24">
        <v>23.35</v>
      </c>
    </row>
    <row r="25" spans="1:3" hidden="1" x14ac:dyDescent="0.3">
      <c r="A25" s="26">
        <v>45889</v>
      </c>
      <c r="B25" s="34" t="s">
        <v>21</v>
      </c>
      <c r="C25" s="24">
        <v>19.8</v>
      </c>
    </row>
    <row r="26" spans="1:3" hidden="1" x14ac:dyDescent="0.3">
      <c r="A26" s="26">
        <v>45900</v>
      </c>
      <c r="B26" s="27" t="s">
        <v>4</v>
      </c>
      <c r="C26" s="24">
        <v>-23.35</v>
      </c>
    </row>
    <row r="27" spans="1:3" hidden="1" x14ac:dyDescent="0.3">
      <c r="A27" s="26">
        <v>45896</v>
      </c>
      <c r="B27" s="27" t="s">
        <v>4</v>
      </c>
      <c r="C27" s="24">
        <v>-43.15</v>
      </c>
    </row>
    <row r="28" spans="1:3" hidden="1" x14ac:dyDescent="0.3">
      <c r="A28" s="26">
        <v>45896</v>
      </c>
      <c r="B28" s="32" t="s">
        <v>21</v>
      </c>
      <c r="C28" s="24">
        <v>15.85</v>
      </c>
    </row>
    <row r="29" spans="1:3" hidden="1" x14ac:dyDescent="0.3">
      <c r="A29" s="26">
        <v>45903</v>
      </c>
      <c r="B29" s="32" t="s">
        <v>21</v>
      </c>
      <c r="C29" s="24">
        <v>23.35</v>
      </c>
    </row>
    <row r="30" spans="1:3" hidden="1" x14ac:dyDescent="0.3">
      <c r="A30" s="26">
        <v>45903</v>
      </c>
      <c r="B30" s="34" t="s">
        <v>21</v>
      </c>
      <c r="C30" s="24">
        <v>19.8</v>
      </c>
    </row>
    <row r="31" spans="1:3" hidden="1" x14ac:dyDescent="0.3">
      <c r="A31" s="26">
        <v>45915</v>
      </c>
      <c r="B31" s="27" t="s">
        <v>4</v>
      </c>
      <c r="C31" s="24">
        <v>-19.850000000000001</v>
      </c>
    </row>
    <row r="32" spans="1:3" hidden="1" x14ac:dyDescent="0.3">
      <c r="A32" s="26">
        <v>45917</v>
      </c>
      <c r="B32" s="27" t="s">
        <v>4</v>
      </c>
      <c r="C32" s="24">
        <v>-43.15</v>
      </c>
    </row>
    <row r="33" spans="1:3" hidden="1" x14ac:dyDescent="0.3">
      <c r="A33" s="26">
        <v>45917</v>
      </c>
      <c r="B33" s="32" t="s">
        <v>21</v>
      </c>
      <c r="C33" s="24">
        <v>15</v>
      </c>
    </row>
    <row r="34" spans="1:3" hidden="1" x14ac:dyDescent="0.3">
      <c r="A34" s="26">
        <v>45917</v>
      </c>
      <c r="B34" s="34" t="s">
        <v>21</v>
      </c>
      <c r="C34" s="24">
        <v>19.8</v>
      </c>
    </row>
    <row r="35" spans="1:3" hidden="1" x14ac:dyDescent="0.3">
      <c r="A35" s="26">
        <v>45924</v>
      </c>
      <c r="B35" s="32" t="s">
        <v>21</v>
      </c>
      <c r="C35" s="24">
        <v>15.85</v>
      </c>
    </row>
    <row r="36" spans="1:3" hidden="1" x14ac:dyDescent="0.3">
      <c r="A36" s="26">
        <v>45931</v>
      </c>
      <c r="B36" s="27" t="s">
        <v>4</v>
      </c>
      <c r="C36" s="24">
        <v>-50.65</v>
      </c>
    </row>
    <row r="37" spans="1:3" hidden="1" x14ac:dyDescent="0.3">
      <c r="A37" s="26">
        <v>45931</v>
      </c>
      <c r="B37" s="32" t="s">
        <v>21</v>
      </c>
      <c r="C37" s="24">
        <v>27.85</v>
      </c>
    </row>
    <row r="38" spans="1:3" hidden="1" x14ac:dyDescent="0.3">
      <c r="A38" s="26">
        <v>45931</v>
      </c>
      <c r="B38" s="34" t="s">
        <v>21</v>
      </c>
      <c r="C38" s="24">
        <v>21.4</v>
      </c>
    </row>
    <row r="39" spans="1:3" hidden="1" x14ac:dyDescent="0.3">
      <c r="A39" s="26">
        <v>45938</v>
      </c>
      <c r="B39" s="32" t="s">
        <v>21</v>
      </c>
      <c r="C39" s="24">
        <v>16.38</v>
      </c>
    </row>
    <row r="40" spans="1:3" hidden="1" x14ac:dyDescent="0.3">
      <c r="A40" s="26">
        <v>45945</v>
      </c>
      <c r="B40" s="27" t="s">
        <v>4</v>
      </c>
      <c r="C40" s="24">
        <v>-40.630000000000003</v>
      </c>
    </row>
    <row r="41" spans="1:3" hidden="1" x14ac:dyDescent="0.3">
      <c r="A41" s="26">
        <v>45945</v>
      </c>
      <c r="B41" s="32" t="s">
        <v>21</v>
      </c>
      <c r="C41" s="24">
        <v>23.88</v>
      </c>
    </row>
    <row r="42" spans="1:3" hidden="1" x14ac:dyDescent="0.3">
      <c r="A42" s="26">
        <v>45945</v>
      </c>
      <c r="B42" s="34" t="s">
        <v>21</v>
      </c>
      <c r="C42" s="24">
        <v>23.4</v>
      </c>
    </row>
    <row r="43" spans="1:3" hidden="1" x14ac:dyDescent="0.3">
      <c r="A43" s="26">
        <v>45953</v>
      </c>
      <c r="B43" s="27" t="s">
        <v>4</v>
      </c>
      <c r="C43" s="24">
        <v>-47.28</v>
      </c>
    </row>
    <row r="44" spans="1:3" hidden="1" x14ac:dyDescent="0.3">
      <c r="A44" s="26">
        <v>45952</v>
      </c>
      <c r="B44" s="32" t="s">
        <v>21</v>
      </c>
      <c r="C44" s="24">
        <v>7.5</v>
      </c>
    </row>
    <row r="45" spans="1:3" hidden="1" x14ac:dyDescent="0.3">
      <c r="A45" s="26">
        <v>45959</v>
      </c>
      <c r="B45" s="32" t="s">
        <v>21</v>
      </c>
      <c r="C45" s="24">
        <v>16.38</v>
      </c>
    </row>
    <row r="46" spans="1:3" hidden="1" x14ac:dyDescent="0.3">
      <c r="A46" s="26">
        <v>45973</v>
      </c>
      <c r="B46" s="27" t="s">
        <v>4</v>
      </c>
      <c r="C46" s="24">
        <v>-42.88</v>
      </c>
    </row>
    <row r="47" spans="1:3" hidden="1" x14ac:dyDescent="0.3">
      <c r="A47" s="26">
        <v>45973</v>
      </c>
      <c r="B47" s="27" t="s">
        <v>1</v>
      </c>
      <c r="C47" s="24">
        <v>49.28</v>
      </c>
    </row>
    <row r="48" spans="1:3" hidden="1" x14ac:dyDescent="0.3">
      <c r="A48" s="26">
        <v>45980</v>
      </c>
      <c r="B48" s="27" t="s">
        <v>4</v>
      </c>
      <c r="C48" s="24">
        <v>-49.28</v>
      </c>
    </row>
    <row r="49" spans="1:3" hidden="1" x14ac:dyDescent="0.3">
      <c r="A49" s="26">
        <v>45980</v>
      </c>
      <c r="B49" s="27" t="s">
        <v>1</v>
      </c>
      <c r="C49" s="24">
        <v>41.78</v>
      </c>
    </row>
    <row r="50" spans="1:3" hidden="1" x14ac:dyDescent="0.3">
      <c r="A50" s="26">
        <v>45987</v>
      </c>
      <c r="B50" s="27" t="s">
        <v>4</v>
      </c>
      <c r="C50" s="24">
        <v>-41.78</v>
      </c>
    </row>
    <row r="51" spans="1:3" x14ac:dyDescent="0.3">
      <c r="A51" s="26">
        <v>45987</v>
      </c>
      <c r="B51" s="27" t="s">
        <v>1</v>
      </c>
      <c r="C51" s="24">
        <v>32.9</v>
      </c>
    </row>
    <row r="52" spans="1:3" x14ac:dyDescent="0.3">
      <c r="A52" s="26">
        <v>46001</v>
      </c>
      <c r="B52" s="27" t="s">
        <v>1</v>
      </c>
      <c r="C52" s="24">
        <v>56.78</v>
      </c>
    </row>
    <row r="53" spans="1:3" x14ac:dyDescent="0.3">
      <c r="A53" s="26">
        <v>46008</v>
      </c>
      <c r="B53" s="27" t="s">
        <v>4</v>
      </c>
      <c r="C53" s="24">
        <v>-43.39</v>
      </c>
    </row>
    <row r="54" spans="1:3" x14ac:dyDescent="0.3">
      <c r="A54" s="26">
        <v>46008</v>
      </c>
      <c r="B54" s="27" t="s">
        <v>1</v>
      </c>
      <c r="C54" s="24">
        <v>41.78</v>
      </c>
    </row>
    <row r="55" spans="1:3" x14ac:dyDescent="0.3">
      <c r="A55" s="26">
        <v>46013</v>
      </c>
      <c r="B55" s="27" t="s">
        <v>1</v>
      </c>
      <c r="C55" s="24">
        <v>82.18</v>
      </c>
    </row>
    <row r="56" spans="1:3" x14ac:dyDescent="0.3">
      <c r="A56" s="26">
        <v>46013</v>
      </c>
      <c r="B56" s="27" t="s">
        <v>4</v>
      </c>
      <c r="C56" s="24">
        <v>-46.4</v>
      </c>
    </row>
    <row r="57" spans="1:3" x14ac:dyDescent="0.3">
      <c r="A57" s="26">
        <v>46013</v>
      </c>
      <c r="B57" s="27" t="s">
        <v>4</v>
      </c>
      <c r="C57" s="24">
        <v>-41.81</v>
      </c>
    </row>
    <row r="58" spans="1:3" x14ac:dyDescent="0.3">
      <c r="A58" s="26">
        <v>46021</v>
      </c>
      <c r="B58" s="27" t="s">
        <v>1</v>
      </c>
      <c r="C58" s="24">
        <v>16.38</v>
      </c>
    </row>
    <row r="59" spans="1:3" x14ac:dyDescent="0.3">
      <c r="A59" s="26">
        <v>46029</v>
      </c>
      <c r="B59" s="27" t="s">
        <v>1</v>
      </c>
      <c r="C59" s="24">
        <v>41.78</v>
      </c>
    </row>
    <row r="60" spans="1:3" x14ac:dyDescent="0.3">
      <c r="A60" s="26">
        <v>46036</v>
      </c>
      <c r="B60" s="27" t="s">
        <v>1</v>
      </c>
      <c r="C60" s="24">
        <v>17.28</v>
      </c>
    </row>
    <row r="61" spans="1:3" x14ac:dyDescent="0.3">
      <c r="A61" s="26">
        <v>46043</v>
      </c>
      <c r="B61" s="27" t="s">
        <v>4</v>
      </c>
      <c r="C61" s="24">
        <v>-89.16</v>
      </c>
    </row>
    <row r="62" spans="1:3" x14ac:dyDescent="0.3">
      <c r="A62" s="26">
        <v>46043</v>
      </c>
      <c r="B62" s="27" t="s">
        <v>4</v>
      </c>
      <c r="C62" s="24">
        <v>-17.3</v>
      </c>
    </row>
    <row r="63" spans="1:3" x14ac:dyDescent="0.3">
      <c r="A63" s="26">
        <v>46043</v>
      </c>
      <c r="B63" s="27" t="s">
        <v>1</v>
      </c>
      <c r="C63" s="24">
        <v>24.78</v>
      </c>
    </row>
    <row r="64" spans="1:3" x14ac:dyDescent="0.3">
      <c r="A64" s="26">
        <v>46050</v>
      </c>
      <c r="B64" s="27" t="s">
        <v>1</v>
      </c>
      <c r="C64" s="24">
        <v>17.28</v>
      </c>
    </row>
    <row r="65" spans="1:3" x14ac:dyDescent="0.3">
      <c r="A65" s="26">
        <v>46052</v>
      </c>
      <c r="B65" s="27" t="s">
        <v>1</v>
      </c>
      <c r="C65" s="24">
        <v>29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3B95E-9C7B-4027-8104-AB122498E4EB}">
  <sheetPr codeName="Hoja170"/>
  <dimension ref="A1:H86"/>
  <sheetViews>
    <sheetView view="pageBreakPreview" zoomScale="80" zoomScaleNormal="100" zoomScaleSheetLayoutView="80" workbookViewId="0">
      <selection activeCell="C68" sqref="C6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297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-9.9999999999997868E-3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45833</v>
      </c>
      <c r="B5" s="27" t="s">
        <v>4</v>
      </c>
      <c r="C5" s="24">
        <v>-7.5</v>
      </c>
      <c r="D5" s="30"/>
      <c r="E5" s="30"/>
      <c r="F5" s="30"/>
      <c r="G5" s="22"/>
    </row>
    <row r="6" spans="1:8" hidden="1" x14ac:dyDescent="0.3">
      <c r="A6" s="21">
        <v>45833</v>
      </c>
      <c r="B6" s="35" t="s">
        <v>21</v>
      </c>
      <c r="C6" s="24">
        <v>7.5</v>
      </c>
    </row>
    <row r="7" spans="1:8" hidden="1" x14ac:dyDescent="0.3">
      <c r="A7" s="21">
        <v>45840</v>
      </c>
      <c r="B7" s="35" t="s">
        <v>21</v>
      </c>
      <c r="C7" s="24">
        <v>7.5</v>
      </c>
    </row>
    <row r="8" spans="1:8" hidden="1" x14ac:dyDescent="0.3">
      <c r="A8" s="26">
        <v>45854</v>
      </c>
      <c r="B8" s="27" t="s">
        <v>7</v>
      </c>
      <c r="C8" s="24">
        <v>-7.5</v>
      </c>
    </row>
    <row r="9" spans="1:8" hidden="1" x14ac:dyDescent="0.3">
      <c r="A9" s="26">
        <v>45854</v>
      </c>
      <c r="B9" s="35" t="s">
        <v>21</v>
      </c>
      <c r="C9" s="24">
        <v>23.35</v>
      </c>
    </row>
    <row r="10" spans="1:8" hidden="1" x14ac:dyDescent="0.3">
      <c r="A10" s="26">
        <v>45862</v>
      </c>
      <c r="B10" s="27" t="s">
        <v>4</v>
      </c>
      <c r="C10" s="24">
        <v>-23.35</v>
      </c>
    </row>
    <row r="11" spans="1:8" hidden="1" x14ac:dyDescent="0.3">
      <c r="A11" s="26">
        <v>45868</v>
      </c>
      <c r="B11" s="35" t="s">
        <v>21</v>
      </c>
      <c r="C11" s="24">
        <v>15</v>
      </c>
    </row>
    <row r="12" spans="1:8" hidden="1" x14ac:dyDescent="0.3">
      <c r="A12" s="26">
        <v>45875</v>
      </c>
      <c r="B12" s="27" t="s">
        <v>7</v>
      </c>
      <c r="C12" s="24">
        <v>-15.16</v>
      </c>
    </row>
    <row r="13" spans="1:8" hidden="1" x14ac:dyDescent="0.3">
      <c r="A13" s="26">
        <v>45875</v>
      </c>
      <c r="B13" s="35" t="s">
        <v>21</v>
      </c>
      <c r="C13" s="24">
        <v>16.5</v>
      </c>
    </row>
    <row r="14" spans="1:8" hidden="1" x14ac:dyDescent="0.3">
      <c r="A14" s="26">
        <v>45882</v>
      </c>
      <c r="B14" s="27" t="s">
        <v>7</v>
      </c>
      <c r="C14" s="24">
        <v>-16.510000000000002</v>
      </c>
    </row>
    <row r="15" spans="1:8" hidden="1" x14ac:dyDescent="0.3">
      <c r="A15" s="26">
        <v>45882</v>
      </c>
      <c r="B15" s="50" t="s">
        <v>21</v>
      </c>
      <c r="C15" s="24">
        <v>16.5</v>
      </c>
    </row>
    <row r="16" spans="1:8" hidden="1" x14ac:dyDescent="0.3">
      <c r="A16" s="26">
        <v>45889</v>
      </c>
      <c r="B16" s="27" t="s">
        <v>7</v>
      </c>
      <c r="C16" s="24">
        <v>-16.350000000000001</v>
      </c>
    </row>
    <row r="17" spans="1:3" hidden="1" x14ac:dyDescent="0.3">
      <c r="A17" s="26">
        <v>45889</v>
      </c>
      <c r="B17" s="35" t="s">
        <v>21</v>
      </c>
      <c r="C17" s="24">
        <v>9</v>
      </c>
    </row>
    <row r="18" spans="1:3" hidden="1" x14ac:dyDescent="0.3">
      <c r="A18" s="26">
        <v>45897</v>
      </c>
      <c r="B18" s="27" t="s">
        <v>7</v>
      </c>
      <c r="C18" s="24">
        <v>-9</v>
      </c>
    </row>
    <row r="19" spans="1:3" hidden="1" x14ac:dyDescent="0.3">
      <c r="A19" s="26">
        <v>45897</v>
      </c>
      <c r="B19" s="50" t="s">
        <v>21</v>
      </c>
      <c r="C19" s="24">
        <v>15.78</v>
      </c>
    </row>
    <row r="20" spans="1:3" hidden="1" x14ac:dyDescent="0.3">
      <c r="A20" s="26">
        <v>45903</v>
      </c>
      <c r="B20" s="27" t="s">
        <v>4</v>
      </c>
      <c r="C20" s="24">
        <v>-16</v>
      </c>
    </row>
    <row r="21" spans="1:3" hidden="1" x14ac:dyDescent="0.3">
      <c r="A21" s="26">
        <v>45903</v>
      </c>
      <c r="B21" s="35" t="s">
        <v>21</v>
      </c>
      <c r="C21" s="24">
        <v>7.5</v>
      </c>
    </row>
    <row r="22" spans="1:3" hidden="1" x14ac:dyDescent="0.3">
      <c r="A22" s="26">
        <v>45903</v>
      </c>
      <c r="B22" s="50" t="s">
        <v>21</v>
      </c>
      <c r="C22" s="24">
        <v>15.78</v>
      </c>
    </row>
    <row r="23" spans="1:3" hidden="1" x14ac:dyDescent="0.3">
      <c r="A23" s="26">
        <v>45910</v>
      </c>
      <c r="B23" s="27" t="s">
        <v>4</v>
      </c>
      <c r="C23" s="24">
        <v>-15</v>
      </c>
    </row>
    <row r="24" spans="1:3" hidden="1" x14ac:dyDescent="0.3">
      <c r="A24" s="26">
        <v>45910</v>
      </c>
      <c r="B24" s="27" t="s">
        <v>7</v>
      </c>
      <c r="C24" s="24">
        <v>-8.2899999999999991</v>
      </c>
    </row>
    <row r="25" spans="1:3" hidden="1" x14ac:dyDescent="0.3">
      <c r="A25" s="26">
        <v>45910</v>
      </c>
      <c r="B25" s="35" t="s">
        <v>21</v>
      </c>
      <c r="C25" s="24">
        <v>9</v>
      </c>
    </row>
    <row r="26" spans="1:3" hidden="1" x14ac:dyDescent="0.3">
      <c r="A26" s="26">
        <v>45910</v>
      </c>
      <c r="B26" s="50" t="s">
        <v>21</v>
      </c>
      <c r="C26" s="24">
        <v>11.72</v>
      </c>
    </row>
    <row r="27" spans="1:3" hidden="1" x14ac:dyDescent="0.3">
      <c r="A27" s="26">
        <v>45929</v>
      </c>
      <c r="B27" s="27" t="s">
        <v>4</v>
      </c>
      <c r="C27" s="24">
        <v>-10.72</v>
      </c>
    </row>
    <row r="28" spans="1:3" hidden="1" x14ac:dyDescent="0.3">
      <c r="A28" s="26">
        <v>45926</v>
      </c>
      <c r="B28" s="27" t="s">
        <v>7</v>
      </c>
      <c r="C28" s="24">
        <v>-9.77</v>
      </c>
    </row>
    <row r="29" spans="1:3" hidden="1" x14ac:dyDescent="0.3">
      <c r="A29" s="26">
        <v>45926</v>
      </c>
      <c r="B29" s="35" t="s">
        <v>21</v>
      </c>
      <c r="C29" s="24">
        <v>9</v>
      </c>
    </row>
    <row r="30" spans="1:3" hidden="1" x14ac:dyDescent="0.3">
      <c r="A30" s="26">
        <v>45926</v>
      </c>
      <c r="B30" s="50" t="s">
        <v>21</v>
      </c>
      <c r="C30" s="24">
        <v>9.09</v>
      </c>
    </row>
    <row r="31" spans="1:3" hidden="1" x14ac:dyDescent="0.3">
      <c r="A31" s="26">
        <v>45931</v>
      </c>
      <c r="B31" s="27" t="s">
        <v>7</v>
      </c>
      <c r="C31" s="24">
        <v>-18.07</v>
      </c>
    </row>
    <row r="32" spans="1:3" hidden="1" x14ac:dyDescent="0.3">
      <c r="A32" s="26">
        <v>45931</v>
      </c>
      <c r="B32" s="50" t="s">
        <v>21</v>
      </c>
      <c r="C32" s="24">
        <v>16.079999999999998</v>
      </c>
    </row>
    <row r="33" spans="1:3" hidden="1" x14ac:dyDescent="0.3">
      <c r="A33" s="26">
        <v>45938</v>
      </c>
      <c r="B33" s="27" t="s">
        <v>4</v>
      </c>
      <c r="C33" s="24">
        <v>-10</v>
      </c>
    </row>
    <row r="34" spans="1:3" hidden="1" x14ac:dyDescent="0.3">
      <c r="A34" s="26">
        <v>45938</v>
      </c>
      <c r="B34" s="27" t="s">
        <v>7</v>
      </c>
      <c r="C34" s="24">
        <v>-6.11</v>
      </c>
    </row>
    <row r="35" spans="1:3" hidden="1" x14ac:dyDescent="0.3">
      <c r="A35" s="26">
        <v>45938</v>
      </c>
      <c r="B35" s="35" t="s">
        <v>21</v>
      </c>
      <c r="C35" s="24">
        <v>13.6</v>
      </c>
    </row>
    <row r="36" spans="1:3" hidden="1" x14ac:dyDescent="0.3">
      <c r="A36" s="26">
        <v>45938</v>
      </c>
      <c r="B36" s="50" t="s">
        <v>21</v>
      </c>
      <c r="C36" s="24">
        <v>12.76</v>
      </c>
    </row>
    <row r="37" spans="1:3" hidden="1" x14ac:dyDescent="0.3">
      <c r="A37" s="26">
        <v>45945</v>
      </c>
      <c r="B37" s="35" t="s">
        <v>21</v>
      </c>
      <c r="C37" s="24">
        <v>4.5</v>
      </c>
    </row>
    <row r="38" spans="1:3" hidden="1" x14ac:dyDescent="0.3">
      <c r="A38" s="26">
        <v>45945</v>
      </c>
      <c r="B38" s="50" t="s">
        <v>21</v>
      </c>
      <c r="C38" s="24">
        <v>17.64</v>
      </c>
    </row>
    <row r="39" spans="1:3" hidden="1" x14ac:dyDescent="0.3">
      <c r="A39" s="26">
        <v>45946</v>
      </c>
      <c r="B39" s="27" t="s">
        <v>7</v>
      </c>
      <c r="C39" s="24">
        <v>-26.34</v>
      </c>
    </row>
    <row r="40" spans="1:3" hidden="1" x14ac:dyDescent="0.3">
      <c r="A40" s="26">
        <v>45951</v>
      </c>
      <c r="B40" s="27" t="s">
        <v>4</v>
      </c>
      <c r="C40" s="24">
        <v>-22.04</v>
      </c>
    </row>
    <row r="41" spans="1:3" x14ac:dyDescent="0.3">
      <c r="A41" s="26">
        <v>45952</v>
      </c>
      <c r="B41" s="35" t="s">
        <v>21</v>
      </c>
      <c r="C41" s="24">
        <v>12</v>
      </c>
    </row>
    <row r="42" spans="1:3" x14ac:dyDescent="0.3">
      <c r="A42" s="26">
        <v>45952</v>
      </c>
      <c r="B42" s="50" t="s">
        <v>21</v>
      </c>
      <c r="C42" s="24">
        <v>19.14</v>
      </c>
    </row>
    <row r="43" spans="1:3" x14ac:dyDescent="0.3">
      <c r="A43" s="26">
        <v>45959</v>
      </c>
      <c r="B43" s="27" t="s">
        <v>7</v>
      </c>
      <c r="C43" s="24">
        <v>-11.29</v>
      </c>
    </row>
    <row r="44" spans="1:3" x14ac:dyDescent="0.3">
      <c r="A44" s="26">
        <v>45959</v>
      </c>
      <c r="B44" s="35" t="s">
        <v>21</v>
      </c>
      <c r="C44" s="24">
        <v>9</v>
      </c>
    </row>
    <row r="45" spans="1:3" x14ac:dyDescent="0.3">
      <c r="A45" s="26">
        <v>45959</v>
      </c>
      <c r="B45" s="50" t="s">
        <v>21</v>
      </c>
      <c r="C45" s="24">
        <v>20.079999999999998</v>
      </c>
    </row>
    <row r="46" spans="1:3" x14ac:dyDescent="0.3">
      <c r="A46" s="26">
        <v>45967</v>
      </c>
      <c r="B46" s="27" t="s">
        <v>4</v>
      </c>
      <c r="C46" s="24">
        <v>-2</v>
      </c>
    </row>
    <row r="47" spans="1:3" x14ac:dyDescent="0.3">
      <c r="A47" s="26">
        <v>45967</v>
      </c>
      <c r="B47" s="27" t="s">
        <v>4</v>
      </c>
      <c r="C47" s="24">
        <v>-18</v>
      </c>
    </row>
    <row r="48" spans="1:3" x14ac:dyDescent="0.3">
      <c r="A48" s="26">
        <v>45966</v>
      </c>
      <c r="B48" s="35" t="s">
        <v>21</v>
      </c>
      <c r="C48" s="24">
        <v>12</v>
      </c>
    </row>
    <row r="49" spans="1:3" x14ac:dyDescent="0.3">
      <c r="A49" s="26">
        <v>45966</v>
      </c>
      <c r="B49" s="50" t="s">
        <v>21</v>
      </c>
      <c r="C49" s="24">
        <v>9.57</v>
      </c>
    </row>
    <row r="50" spans="1:3" x14ac:dyDescent="0.3">
      <c r="A50" s="26">
        <v>45966</v>
      </c>
      <c r="B50" s="27" t="s">
        <v>7</v>
      </c>
      <c r="C50" s="24">
        <v>-9</v>
      </c>
    </row>
    <row r="51" spans="1:3" x14ac:dyDescent="0.3">
      <c r="A51" s="26">
        <v>45973</v>
      </c>
      <c r="B51" s="27" t="s">
        <v>7</v>
      </c>
      <c r="C51" s="24">
        <v>-21.57</v>
      </c>
    </row>
    <row r="52" spans="1:3" x14ac:dyDescent="0.3">
      <c r="A52" s="26">
        <v>45973</v>
      </c>
      <c r="B52" s="27" t="s">
        <v>1</v>
      </c>
      <c r="C52" s="24">
        <v>36.93</v>
      </c>
    </row>
    <row r="53" spans="1:3" x14ac:dyDescent="0.3">
      <c r="A53" s="26">
        <v>45974</v>
      </c>
      <c r="B53" s="27" t="s">
        <v>4</v>
      </c>
      <c r="C53" s="24">
        <v>-15</v>
      </c>
    </row>
    <row r="54" spans="1:3" x14ac:dyDescent="0.3">
      <c r="A54" s="26">
        <v>45979</v>
      </c>
      <c r="B54" s="27" t="s">
        <v>4</v>
      </c>
      <c r="C54" s="24">
        <v>-21.93</v>
      </c>
    </row>
    <row r="55" spans="1:3" x14ac:dyDescent="0.3">
      <c r="A55" s="26">
        <v>45987</v>
      </c>
      <c r="B55" s="27" t="s">
        <v>1</v>
      </c>
      <c r="C55" s="24">
        <v>44.22</v>
      </c>
    </row>
    <row r="56" spans="1:3" x14ac:dyDescent="0.3">
      <c r="A56" s="26">
        <v>45993</v>
      </c>
      <c r="B56" s="27" t="s">
        <v>4</v>
      </c>
      <c r="C56" s="24">
        <v>-20.22</v>
      </c>
    </row>
    <row r="57" spans="1:3" x14ac:dyDescent="0.3">
      <c r="A57" s="26">
        <v>46001</v>
      </c>
      <c r="B57" s="27" t="s">
        <v>7</v>
      </c>
      <c r="C57" s="24">
        <v>-44.03</v>
      </c>
    </row>
    <row r="58" spans="1:3" x14ac:dyDescent="0.3">
      <c r="A58" s="26">
        <v>46001</v>
      </c>
      <c r="B58" s="27" t="s">
        <v>1</v>
      </c>
      <c r="C58" s="24">
        <v>38.14</v>
      </c>
    </row>
    <row r="59" spans="1:3" x14ac:dyDescent="0.3">
      <c r="A59" s="26">
        <v>46008</v>
      </c>
      <c r="B59" s="27" t="s">
        <v>7</v>
      </c>
      <c r="C59" s="24">
        <v>-38.14</v>
      </c>
    </row>
    <row r="60" spans="1:3" x14ac:dyDescent="0.3">
      <c r="A60" s="26">
        <v>46008</v>
      </c>
      <c r="B60" s="27" t="s">
        <v>1</v>
      </c>
      <c r="C60" s="24">
        <v>38.659999999999997</v>
      </c>
    </row>
    <row r="61" spans="1:3" x14ac:dyDescent="0.3">
      <c r="A61" s="26">
        <v>46017</v>
      </c>
      <c r="B61" s="27" t="s">
        <v>4</v>
      </c>
      <c r="C61" s="24">
        <v>-38.659999999999997</v>
      </c>
    </row>
    <row r="62" spans="1:3" x14ac:dyDescent="0.3">
      <c r="A62" s="26">
        <v>46020</v>
      </c>
      <c r="B62" s="27" t="s">
        <v>1</v>
      </c>
      <c r="C62" s="24">
        <v>28.62</v>
      </c>
    </row>
    <row r="63" spans="1:3" x14ac:dyDescent="0.3">
      <c r="A63" s="26">
        <v>46029</v>
      </c>
      <c r="B63" s="27" t="s">
        <v>7</v>
      </c>
      <c r="C63" s="24">
        <v>-28.63</v>
      </c>
    </row>
    <row r="64" spans="1:3" x14ac:dyDescent="0.3">
      <c r="A64" s="26">
        <v>46029</v>
      </c>
      <c r="B64" s="27" t="s">
        <v>1</v>
      </c>
      <c r="C64" s="24">
        <v>31.38</v>
      </c>
    </row>
    <row r="65" spans="1:3" x14ac:dyDescent="0.3">
      <c r="A65" s="26">
        <v>46036</v>
      </c>
      <c r="B65" s="27" t="s">
        <v>1</v>
      </c>
      <c r="C65" s="24">
        <v>12</v>
      </c>
    </row>
    <row r="66" spans="1:3" x14ac:dyDescent="0.3">
      <c r="A66" s="26">
        <v>46036</v>
      </c>
      <c r="B66" s="27" t="s">
        <v>7</v>
      </c>
      <c r="C66" s="24">
        <v>-31.4</v>
      </c>
    </row>
    <row r="67" spans="1:3" x14ac:dyDescent="0.3">
      <c r="A67" s="26">
        <v>46043</v>
      </c>
      <c r="B67" s="27" t="s">
        <v>7</v>
      </c>
      <c r="C67" s="24">
        <v>-11.97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EE98A-5E43-4CE5-AF44-C86F58E17A07}">
  <sheetPr codeName="Hoja93"/>
  <dimension ref="A1:I90"/>
  <sheetViews>
    <sheetView view="pageBreakPreview" zoomScale="70" zoomScaleNormal="100" zoomScaleSheetLayoutView="70" workbookViewId="0">
      <selection activeCell="C91" sqref="C91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66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8.9899999999999949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45815</v>
      </c>
      <c r="B5" s="27" t="s">
        <v>4</v>
      </c>
      <c r="C5" s="24">
        <v>-9.5399999999999991</v>
      </c>
      <c r="D5" s="30"/>
      <c r="E5" s="30"/>
      <c r="F5" s="30"/>
      <c r="G5" s="22"/>
    </row>
    <row r="6" spans="1:9" hidden="1" x14ac:dyDescent="0.3">
      <c r="A6" s="26">
        <v>45814</v>
      </c>
      <c r="B6" s="35" t="s">
        <v>21</v>
      </c>
      <c r="C6" s="24">
        <v>33.549999999999997</v>
      </c>
    </row>
    <row r="7" spans="1:9" hidden="1" x14ac:dyDescent="0.3">
      <c r="A7" s="26">
        <v>45814</v>
      </c>
      <c r="B7" s="50" t="s">
        <v>21</v>
      </c>
      <c r="C7" s="24">
        <v>42.83</v>
      </c>
    </row>
    <row r="8" spans="1:9" hidden="1" x14ac:dyDescent="0.3">
      <c r="A8" s="26">
        <v>45820</v>
      </c>
      <c r="B8" s="27" t="s">
        <v>1</v>
      </c>
      <c r="C8" s="24">
        <v>104</v>
      </c>
    </row>
    <row r="9" spans="1:9" hidden="1" x14ac:dyDescent="0.3">
      <c r="A9" s="26">
        <v>45821</v>
      </c>
      <c r="B9" s="27" t="s">
        <v>4</v>
      </c>
      <c r="C9" s="24">
        <v>-103.23</v>
      </c>
      <c r="I9" s="25"/>
    </row>
    <row r="10" spans="1:9" hidden="1" x14ac:dyDescent="0.3">
      <c r="A10" s="26">
        <v>45821</v>
      </c>
      <c r="B10" s="27" t="s">
        <v>4</v>
      </c>
      <c r="C10" s="24">
        <v>-65.34</v>
      </c>
    </row>
    <row r="11" spans="1:9" hidden="1" x14ac:dyDescent="0.3">
      <c r="A11" s="26">
        <v>45826</v>
      </c>
      <c r="B11" s="27" t="s">
        <v>4</v>
      </c>
      <c r="C11" s="24">
        <v>-48.8</v>
      </c>
    </row>
    <row r="12" spans="1:9" hidden="1" x14ac:dyDescent="0.3">
      <c r="A12" s="26">
        <v>45826</v>
      </c>
      <c r="B12" s="35" t="s">
        <v>21</v>
      </c>
      <c r="C12" s="24">
        <v>32.299999999999997</v>
      </c>
    </row>
    <row r="13" spans="1:9" hidden="1" x14ac:dyDescent="0.3">
      <c r="A13" s="26">
        <v>45826</v>
      </c>
      <c r="B13" s="50" t="s">
        <v>21</v>
      </c>
      <c r="C13" s="24">
        <v>16.940000000000001</v>
      </c>
    </row>
    <row r="14" spans="1:9" hidden="1" x14ac:dyDescent="0.3">
      <c r="A14" s="26">
        <v>45834</v>
      </c>
      <c r="B14" s="27" t="s">
        <v>4</v>
      </c>
      <c r="C14" s="24">
        <v>-39.47</v>
      </c>
    </row>
    <row r="15" spans="1:9" hidden="1" x14ac:dyDescent="0.3">
      <c r="A15" s="26">
        <v>45833</v>
      </c>
      <c r="B15" s="35" t="s">
        <v>21</v>
      </c>
      <c r="C15" s="24">
        <v>15</v>
      </c>
    </row>
    <row r="16" spans="1:9" hidden="1" x14ac:dyDescent="0.3">
      <c r="A16" s="26">
        <v>45833</v>
      </c>
      <c r="B16" s="50" t="s">
        <v>21</v>
      </c>
      <c r="C16" s="24">
        <v>24.47</v>
      </c>
    </row>
    <row r="17" spans="1:3" hidden="1" x14ac:dyDescent="0.3">
      <c r="A17" s="26">
        <v>45834</v>
      </c>
      <c r="B17" s="27" t="s">
        <v>4</v>
      </c>
      <c r="C17" s="24">
        <v>-3.21</v>
      </c>
    </row>
    <row r="18" spans="1:3" hidden="1" x14ac:dyDescent="0.3">
      <c r="A18" s="26">
        <v>45838</v>
      </c>
      <c r="B18" s="27" t="s">
        <v>4</v>
      </c>
      <c r="C18" s="24">
        <v>-11.04</v>
      </c>
    </row>
    <row r="19" spans="1:3" hidden="1" x14ac:dyDescent="0.3">
      <c r="A19" s="26">
        <v>45840</v>
      </c>
      <c r="B19" s="35" t="s">
        <v>21</v>
      </c>
      <c r="C19" s="24">
        <v>9.6</v>
      </c>
    </row>
    <row r="20" spans="1:3" hidden="1" x14ac:dyDescent="0.3">
      <c r="A20" s="26">
        <v>45840</v>
      </c>
      <c r="B20" s="50" t="s">
        <v>21</v>
      </c>
      <c r="C20" s="24">
        <v>26.04</v>
      </c>
    </row>
    <row r="21" spans="1:3" hidden="1" x14ac:dyDescent="0.3">
      <c r="A21" s="26">
        <v>45841</v>
      </c>
      <c r="B21" s="27" t="s">
        <v>4</v>
      </c>
      <c r="C21" s="24">
        <v>-24.6</v>
      </c>
    </row>
    <row r="22" spans="1:3" hidden="1" x14ac:dyDescent="0.3">
      <c r="A22" s="26">
        <v>45855</v>
      </c>
      <c r="B22" s="27" t="s">
        <v>4</v>
      </c>
      <c r="C22" s="24">
        <v>-31.12</v>
      </c>
    </row>
    <row r="23" spans="1:3" hidden="1" x14ac:dyDescent="0.3">
      <c r="A23" s="26">
        <v>45854</v>
      </c>
      <c r="B23" s="35" t="s">
        <v>21</v>
      </c>
      <c r="C23" s="24">
        <v>7.5</v>
      </c>
    </row>
    <row r="24" spans="1:3" hidden="1" x14ac:dyDescent="0.3">
      <c r="A24" s="26">
        <v>45854</v>
      </c>
      <c r="B24" s="50" t="s">
        <v>21</v>
      </c>
      <c r="C24" s="24">
        <v>23.62</v>
      </c>
    </row>
    <row r="25" spans="1:3" hidden="1" x14ac:dyDescent="0.3">
      <c r="A25" s="26">
        <v>45862</v>
      </c>
      <c r="B25" s="27" t="s">
        <v>4</v>
      </c>
      <c r="C25" s="24">
        <v>-67.180000000000007</v>
      </c>
    </row>
    <row r="26" spans="1:3" hidden="1" x14ac:dyDescent="0.3">
      <c r="A26" s="26">
        <v>45861</v>
      </c>
      <c r="B26" s="35" t="s">
        <v>21</v>
      </c>
      <c r="C26" s="24">
        <v>19.5</v>
      </c>
    </row>
    <row r="27" spans="1:3" hidden="1" x14ac:dyDescent="0.3">
      <c r="A27" s="26">
        <v>45861</v>
      </c>
      <c r="B27" s="50" t="s">
        <v>21</v>
      </c>
      <c r="C27" s="24">
        <v>47.68</v>
      </c>
    </row>
    <row r="28" spans="1:3" hidden="1" x14ac:dyDescent="0.3">
      <c r="A28" s="26">
        <v>45868</v>
      </c>
      <c r="B28" s="35" t="s">
        <v>21</v>
      </c>
      <c r="C28" s="24">
        <v>15</v>
      </c>
    </row>
    <row r="29" spans="1:3" hidden="1" x14ac:dyDescent="0.3">
      <c r="A29" s="26">
        <v>45868</v>
      </c>
      <c r="B29" s="50" t="s">
        <v>21</v>
      </c>
      <c r="C29" s="24">
        <v>5.86</v>
      </c>
    </row>
    <row r="30" spans="1:3" hidden="1" x14ac:dyDescent="0.3">
      <c r="A30" s="26">
        <v>45869</v>
      </c>
      <c r="B30" s="27" t="s">
        <v>4</v>
      </c>
      <c r="C30" s="24">
        <v>-20.86</v>
      </c>
    </row>
    <row r="31" spans="1:3" hidden="1" x14ac:dyDescent="0.3">
      <c r="A31" s="26">
        <v>45875</v>
      </c>
      <c r="B31" s="35" t="s">
        <v>21</v>
      </c>
      <c r="C31" s="24">
        <v>25.45</v>
      </c>
    </row>
    <row r="32" spans="1:3" hidden="1" x14ac:dyDescent="0.3">
      <c r="A32" s="26">
        <v>45881</v>
      </c>
      <c r="B32" s="27" t="s">
        <v>7</v>
      </c>
      <c r="C32" s="24">
        <v>-24.96</v>
      </c>
    </row>
    <row r="33" spans="1:3" hidden="1" x14ac:dyDescent="0.3">
      <c r="A33" s="26">
        <v>45890</v>
      </c>
      <c r="B33" s="27" t="s">
        <v>4</v>
      </c>
      <c r="C33" s="24">
        <v>-36.28</v>
      </c>
    </row>
    <row r="34" spans="1:3" hidden="1" x14ac:dyDescent="0.3">
      <c r="A34" s="26">
        <v>45890</v>
      </c>
      <c r="B34" s="35" t="s">
        <v>21</v>
      </c>
      <c r="C34" s="24">
        <v>13.5</v>
      </c>
    </row>
    <row r="35" spans="1:3" hidden="1" x14ac:dyDescent="0.3">
      <c r="A35" s="26">
        <v>45890</v>
      </c>
      <c r="B35" s="50" t="s">
        <v>21</v>
      </c>
      <c r="C35" s="24">
        <v>22.78</v>
      </c>
    </row>
    <row r="36" spans="1:3" hidden="1" x14ac:dyDescent="0.3">
      <c r="A36" s="26">
        <v>45898</v>
      </c>
      <c r="B36" s="27" t="s">
        <v>4</v>
      </c>
      <c r="C36" s="24">
        <v>-35.71</v>
      </c>
    </row>
    <row r="37" spans="1:3" hidden="1" x14ac:dyDescent="0.3">
      <c r="A37" s="26">
        <v>45897</v>
      </c>
      <c r="B37" s="35" t="s">
        <v>21</v>
      </c>
      <c r="C37" s="24">
        <v>17.34</v>
      </c>
    </row>
    <row r="38" spans="1:3" hidden="1" x14ac:dyDescent="0.3">
      <c r="A38" s="26">
        <v>45897</v>
      </c>
      <c r="B38" s="50" t="s">
        <v>21</v>
      </c>
      <c r="C38" s="24">
        <v>18.37</v>
      </c>
    </row>
    <row r="39" spans="1:3" hidden="1" x14ac:dyDescent="0.3">
      <c r="A39" s="26">
        <v>45910</v>
      </c>
      <c r="B39" s="35" t="s">
        <v>21</v>
      </c>
      <c r="C39" s="24">
        <v>25.45</v>
      </c>
    </row>
    <row r="40" spans="1:3" hidden="1" x14ac:dyDescent="0.3">
      <c r="A40" s="26">
        <v>45910</v>
      </c>
      <c r="B40" s="50" t="s">
        <v>21</v>
      </c>
      <c r="C40" s="24">
        <v>8.26</v>
      </c>
    </row>
    <row r="41" spans="1:3" hidden="1" x14ac:dyDescent="0.3">
      <c r="A41" s="26">
        <v>45912</v>
      </c>
      <c r="B41" s="27" t="s">
        <v>4</v>
      </c>
      <c r="C41" s="24">
        <v>-33.71</v>
      </c>
    </row>
    <row r="42" spans="1:3" hidden="1" x14ac:dyDescent="0.3">
      <c r="A42" s="26">
        <v>45917</v>
      </c>
      <c r="B42" s="35" t="s">
        <v>21</v>
      </c>
      <c r="C42" s="24">
        <v>13.5</v>
      </c>
    </row>
    <row r="43" spans="1:3" hidden="1" x14ac:dyDescent="0.3">
      <c r="A43" s="26">
        <v>45917</v>
      </c>
      <c r="B43" s="50" t="s">
        <v>21</v>
      </c>
      <c r="C43" s="24">
        <v>26.6</v>
      </c>
    </row>
    <row r="44" spans="1:3" hidden="1" x14ac:dyDescent="0.3">
      <c r="A44" s="26">
        <v>45918</v>
      </c>
      <c r="B44" s="27" t="s">
        <v>4</v>
      </c>
      <c r="C44" s="24">
        <v>-40.1</v>
      </c>
    </row>
    <row r="45" spans="1:3" hidden="1" x14ac:dyDescent="0.3">
      <c r="A45" s="26">
        <v>45924</v>
      </c>
      <c r="B45" s="35" t="s">
        <v>21</v>
      </c>
      <c r="C45" s="24">
        <v>23.35</v>
      </c>
    </row>
    <row r="46" spans="1:3" hidden="1" x14ac:dyDescent="0.3">
      <c r="A46" s="26">
        <v>45924</v>
      </c>
      <c r="B46" s="50" t="s">
        <v>21</v>
      </c>
      <c r="C46" s="24">
        <v>33.11</v>
      </c>
    </row>
    <row r="47" spans="1:3" hidden="1" x14ac:dyDescent="0.3">
      <c r="A47" s="26">
        <v>45925</v>
      </c>
      <c r="B47" s="27" t="s">
        <v>4</v>
      </c>
      <c r="C47" s="24">
        <v>-56.46</v>
      </c>
    </row>
    <row r="48" spans="1:3" hidden="1" x14ac:dyDescent="0.3">
      <c r="A48" s="26">
        <v>45931</v>
      </c>
      <c r="B48" s="35" t="s">
        <v>21</v>
      </c>
      <c r="C48" s="24">
        <v>9.6</v>
      </c>
    </row>
    <row r="49" spans="1:3" hidden="1" x14ac:dyDescent="0.3">
      <c r="A49" s="26">
        <v>45938</v>
      </c>
      <c r="B49" s="35" t="s">
        <v>21</v>
      </c>
      <c r="C49" s="24">
        <v>31.38</v>
      </c>
    </row>
    <row r="50" spans="1:3" hidden="1" x14ac:dyDescent="0.3">
      <c r="A50" s="26">
        <v>45938</v>
      </c>
      <c r="B50" s="50" t="s">
        <v>21</v>
      </c>
      <c r="C50" s="24">
        <v>4.18</v>
      </c>
    </row>
    <row r="51" spans="1:3" hidden="1" x14ac:dyDescent="0.3">
      <c r="A51" s="26">
        <v>45939</v>
      </c>
      <c r="B51" s="27" t="s">
        <v>4</v>
      </c>
      <c r="C51" s="24">
        <v>-35.590000000000003</v>
      </c>
    </row>
    <row r="52" spans="1:3" hidden="1" x14ac:dyDescent="0.3">
      <c r="A52" s="26">
        <v>45939</v>
      </c>
      <c r="B52" s="27" t="s">
        <v>7</v>
      </c>
      <c r="C52" s="24">
        <v>-9.61</v>
      </c>
    </row>
    <row r="53" spans="1:3" hidden="1" x14ac:dyDescent="0.3">
      <c r="A53" s="26">
        <v>45945</v>
      </c>
      <c r="B53" s="35" t="s">
        <v>21</v>
      </c>
      <c r="C53" s="24">
        <v>7.5</v>
      </c>
    </row>
    <row r="54" spans="1:3" hidden="1" x14ac:dyDescent="0.3">
      <c r="A54" s="26">
        <v>45945</v>
      </c>
      <c r="B54" s="50" t="s">
        <v>21</v>
      </c>
      <c r="C54" s="24">
        <v>12.57</v>
      </c>
    </row>
    <row r="55" spans="1:3" hidden="1" x14ac:dyDescent="0.3">
      <c r="A55" s="26">
        <v>45946</v>
      </c>
      <c r="B55" s="27" t="s">
        <v>4</v>
      </c>
      <c r="C55" s="24">
        <v>-20.07</v>
      </c>
    </row>
    <row r="56" spans="1:3" hidden="1" x14ac:dyDescent="0.3">
      <c r="A56" s="26">
        <v>45952</v>
      </c>
      <c r="B56" s="35" t="s">
        <v>21</v>
      </c>
      <c r="C56" s="24">
        <v>43.32</v>
      </c>
    </row>
    <row r="57" spans="1:3" hidden="1" x14ac:dyDescent="0.3">
      <c r="A57" s="26">
        <v>45952</v>
      </c>
      <c r="B57" s="50" t="s">
        <v>21</v>
      </c>
      <c r="C57" s="24">
        <v>6.1</v>
      </c>
    </row>
    <row r="58" spans="1:3" hidden="1" x14ac:dyDescent="0.3">
      <c r="A58" s="26">
        <v>45953</v>
      </c>
      <c r="B58" s="27" t="s">
        <v>4</v>
      </c>
      <c r="C58" s="24">
        <v>-49.42</v>
      </c>
    </row>
    <row r="59" spans="1:3" hidden="1" x14ac:dyDescent="0.3">
      <c r="A59" s="26">
        <v>45954</v>
      </c>
      <c r="B59" s="27" t="s">
        <v>4</v>
      </c>
      <c r="C59" s="24">
        <v>-20.420000000000002</v>
      </c>
    </row>
    <row r="60" spans="1:3" hidden="1" x14ac:dyDescent="0.3">
      <c r="A60" s="26">
        <v>45954</v>
      </c>
      <c r="B60" s="50" t="s">
        <v>21</v>
      </c>
      <c r="C60" s="24">
        <v>6.18</v>
      </c>
    </row>
    <row r="61" spans="1:3" hidden="1" x14ac:dyDescent="0.3">
      <c r="A61" s="26">
        <v>45959</v>
      </c>
      <c r="B61" s="35" t="s">
        <v>21</v>
      </c>
      <c r="C61" s="24">
        <v>29.88</v>
      </c>
    </row>
    <row r="62" spans="1:3" hidden="1" x14ac:dyDescent="0.3">
      <c r="A62" s="26">
        <v>45959</v>
      </c>
      <c r="B62" s="50" t="s">
        <v>21</v>
      </c>
      <c r="C62" s="24">
        <v>33.25</v>
      </c>
    </row>
    <row r="63" spans="1:3" hidden="1" x14ac:dyDescent="0.3">
      <c r="A63" s="26">
        <v>45960</v>
      </c>
      <c r="B63" s="27" t="s">
        <v>4</v>
      </c>
      <c r="C63" s="24">
        <v>-47.81</v>
      </c>
    </row>
    <row r="64" spans="1:3" hidden="1" x14ac:dyDescent="0.3">
      <c r="A64" s="26">
        <v>45973</v>
      </c>
      <c r="B64" s="27" t="s">
        <v>1</v>
      </c>
      <c r="C64" s="24">
        <v>31.83</v>
      </c>
    </row>
    <row r="65" spans="1:3" hidden="1" x14ac:dyDescent="0.3">
      <c r="A65" s="26">
        <v>45978</v>
      </c>
      <c r="B65" s="27" t="s">
        <v>4</v>
      </c>
      <c r="C65" s="24">
        <v>-32</v>
      </c>
    </row>
    <row r="66" spans="1:3" hidden="1" x14ac:dyDescent="0.3">
      <c r="A66" s="26">
        <v>45980</v>
      </c>
      <c r="B66" s="27" t="s">
        <v>1</v>
      </c>
      <c r="C66" s="24">
        <v>45.3</v>
      </c>
    </row>
    <row r="67" spans="1:3" hidden="1" x14ac:dyDescent="0.3">
      <c r="A67" s="26">
        <v>45985</v>
      </c>
      <c r="B67" s="27" t="s">
        <v>4</v>
      </c>
      <c r="C67" s="24">
        <v>-40</v>
      </c>
    </row>
    <row r="68" spans="1:3" hidden="1" x14ac:dyDescent="0.3">
      <c r="A68" s="26">
        <v>45985</v>
      </c>
      <c r="B68" s="27" t="s">
        <v>4</v>
      </c>
      <c r="C68" s="24">
        <v>-8.82</v>
      </c>
    </row>
    <row r="69" spans="1:3" hidden="1" x14ac:dyDescent="0.3">
      <c r="A69" s="26">
        <v>45987</v>
      </c>
      <c r="B69" s="27" t="s">
        <v>1</v>
      </c>
      <c r="C69" s="24">
        <v>70.67</v>
      </c>
    </row>
    <row r="70" spans="1:3" hidden="1" x14ac:dyDescent="0.3">
      <c r="A70" s="26">
        <v>45988</v>
      </c>
      <c r="B70" s="27" t="s">
        <v>4</v>
      </c>
      <c r="C70" s="24">
        <v>-68</v>
      </c>
    </row>
    <row r="71" spans="1:3" x14ac:dyDescent="0.3">
      <c r="A71" s="26">
        <v>45994</v>
      </c>
      <c r="B71" s="27" t="s">
        <v>1</v>
      </c>
      <c r="C71" s="24">
        <v>48.22</v>
      </c>
    </row>
    <row r="72" spans="1:3" x14ac:dyDescent="0.3">
      <c r="A72" s="26">
        <v>46001</v>
      </c>
      <c r="B72" s="27" t="s">
        <v>4</v>
      </c>
      <c r="C72" s="24">
        <v>-40</v>
      </c>
    </row>
    <row r="73" spans="1:3" x14ac:dyDescent="0.3">
      <c r="A73" s="26">
        <v>46001</v>
      </c>
      <c r="B73" s="27" t="s">
        <v>1</v>
      </c>
      <c r="C73" s="24">
        <v>27.04</v>
      </c>
    </row>
    <row r="74" spans="1:3" x14ac:dyDescent="0.3">
      <c r="A74" s="26">
        <v>46002</v>
      </c>
      <c r="B74" s="27" t="s">
        <v>4</v>
      </c>
      <c r="C74" s="24">
        <v>-27.04</v>
      </c>
    </row>
    <row r="75" spans="1:3" x14ac:dyDescent="0.3">
      <c r="A75" s="26">
        <v>46008</v>
      </c>
      <c r="B75" s="27" t="s">
        <v>1</v>
      </c>
      <c r="C75" s="24">
        <v>16.38</v>
      </c>
    </row>
    <row r="76" spans="1:3" x14ac:dyDescent="0.3">
      <c r="A76" s="26">
        <v>46010</v>
      </c>
      <c r="B76" s="27" t="s">
        <v>4</v>
      </c>
      <c r="C76" s="24">
        <v>-8.84</v>
      </c>
    </row>
    <row r="77" spans="1:3" x14ac:dyDescent="0.3">
      <c r="A77" s="26">
        <v>46012</v>
      </c>
      <c r="B77" s="27" t="s">
        <v>4</v>
      </c>
      <c r="C77" s="24">
        <v>-16.38</v>
      </c>
    </row>
    <row r="78" spans="1:3" x14ac:dyDescent="0.3">
      <c r="A78" s="26">
        <v>46014</v>
      </c>
      <c r="B78" s="27" t="s">
        <v>1</v>
      </c>
      <c r="C78" s="24">
        <v>21</v>
      </c>
    </row>
    <row r="79" spans="1:3" x14ac:dyDescent="0.3">
      <c r="A79" s="26">
        <v>46017</v>
      </c>
      <c r="B79" s="27" t="s">
        <v>1</v>
      </c>
      <c r="C79" s="24">
        <v>13.08</v>
      </c>
    </row>
    <row r="80" spans="1:3" x14ac:dyDescent="0.3">
      <c r="A80" s="26">
        <v>46020</v>
      </c>
      <c r="B80" s="27" t="s">
        <v>1</v>
      </c>
      <c r="C80" s="24">
        <v>25.62</v>
      </c>
    </row>
    <row r="81" spans="1:3" x14ac:dyDescent="0.3">
      <c r="A81" s="26">
        <v>46021</v>
      </c>
      <c r="B81" s="27" t="s">
        <v>4</v>
      </c>
      <c r="C81" s="24">
        <v>-46.62</v>
      </c>
    </row>
    <row r="82" spans="1:3" x14ac:dyDescent="0.3">
      <c r="A82" s="26">
        <v>46029</v>
      </c>
      <c r="B82" s="27" t="s">
        <v>4</v>
      </c>
      <c r="C82" s="24">
        <v>-45.35</v>
      </c>
    </row>
    <row r="83" spans="1:3" x14ac:dyDescent="0.3">
      <c r="A83" s="26">
        <v>46029</v>
      </c>
      <c r="B83" s="27" t="s">
        <v>1</v>
      </c>
      <c r="C83" s="24">
        <v>45.35</v>
      </c>
    </row>
    <row r="84" spans="1:3" x14ac:dyDescent="0.3">
      <c r="A84" s="26">
        <v>46036</v>
      </c>
      <c r="B84" s="27" t="s">
        <v>1</v>
      </c>
      <c r="C84" s="24">
        <v>27.28</v>
      </c>
    </row>
    <row r="85" spans="1:3" x14ac:dyDescent="0.3">
      <c r="A85" s="26">
        <v>46038</v>
      </c>
      <c r="B85" s="27" t="s">
        <v>4</v>
      </c>
      <c r="C85" s="24">
        <v>-13.08</v>
      </c>
    </row>
    <row r="86" spans="1:3" x14ac:dyDescent="0.3">
      <c r="A86" s="26">
        <v>46042</v>
      </c>
      <c r="B86" s="27" t="s">
        <v>4</v>
      </c>
      <c r="C86" s="24">
        <v>-27</v>
      </c>
    </row>
    <row r="87" spans="1:3" x14ac:dyDescent="0.3">
      <c r="A87" s="26">
        <v>46043</v>
      </c>
      <c r="B87" s="27" t="s">
        <v>4</v>
      </c>
      <c r="C87" s="24">
        <v>-46.8</v>
      </c>
    </row>
    <row r="88" spans="1:3" x14ac:dyDescent="0.3">
      <c r="A88" s="26">
        <v>46043</v>
      </c>
      <c r="B88" s="27" t="s">
        <v>1</v>
      </c>
      <c r="C88" s="24">
        <v>56.12</v>
      </c>
    </row>
    <row r="89" spans="1:3" x14ac:dyDescent="0.3">
      <c r="A89" s="26">
        <v>46050</v>
      </c>
      <c r="B89" s="27" t="s">
        <v>1</v>
      </c>
      <c r="C89" s="24">
        <v>39.909999999999997</v>
      </c>
    </row>
    <row r="90" spans="1:3" x14ac:dyDescent="0.3">
      <c r="A90" s="26">
        <v>46051</v>
      </c>
      <c r="B90" s="27" t="s">
        <v>4</v>
      </c>
      <c r="C90" s="24">
        <v>-39.909999999999997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FF51-A2CC-45B7-AC33-F777955467C5}">
  <dimension ref="A1:I15"/>
  <sheetViews>
    <sheetView view="pageBreakPreview" zoomScale="80" zoomScaleNormal="100" zoomScaleSheetLayoutView="80" workbookViewId="0">
      <selection activeCell="C16" sqref="C1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504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112.93000000000006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45986</v>
      </c>
      <c r="B5" s="27" t="s">
        <v>21</v>
      </c>
      <c r="C5" s="24">
        <v>179.36</v>
      </c>
      <c r="D5" s="30"/>
      <c r="E5" s="30"/>
      <c r="F5" s="30"/>
      <c r="G5" s="22"/>
    </row>
    <row r="6" spans="1:9" x14ac:dyDescent="0.3">
      <c r="A6" s="21">
        <v>45987</v>
      </c>
      <c r="B6" s="31" t="s">
        <v>4</v>
      </c>
      <c r="C6" s="24">
        <v>-179.36</v>
      </c>
    </row>
    <row r="7" spans="1:9" x14ac:dyDescent="0.3">
      <c r="A7" s="26">
        <v>45994</v>
      </c>
      <c r="B7" s="27" t="s">
        <v>1</v>
      </c>
      <c r="C7" s="24">
        <v>360.36</v>
      </c>
    </row>
    <row r="8" spans="1:9" x14ac:dyDescent="0.3">
      <c r="A8" s="26">
        <v>45998</v>
      </c>
      <c r="B8" s="27" t="s">
        <v>4</v>
      </c>
      <c r="C8" s="24">
        <v>-49.41</v>
      </c>
    </row>
    <row r="9" spans="1:9" x14ac:dyDescent="0.3">
      <c r="A9" s="26">
        <v>45999</v>
      </c>
      <c r="B9" s="27" t="s">
        <v>4</v>
      </c>
      <c r="C9" s="24">
        <v>-116.31</v>
      </c>
      <c r="I9" s="25"/>
    </row>
    <row r="10" spans="1:9" x14ac:dyDescent="0.3">
      <c r="A10" s="26">
        <v>46001</v>
      </c>
      <c r="B10" s="31" t="s">
        <v>4</v>
      </c>
      <c r="C10" s="24">
        <v>-36.25</v>
      </c>
    </row>
    <row r="11" spans="1:9" x14ac:dyDescent="0.3">
      <c r="A11" s="26">
        <v>46003</v>
      </c>
      <c r="B11" s="27" t="s">
        <v>4</v>
      </c>
      <c r="C11" s="24">
        <v>-108.31</v>
      </c>
    </row>
    <row r="12" spans="1:9" x14ac:dyDescent="0.3">
      <c r="A12" s="26">
        <v>46003</v>
      </c>
      <c r="B12" s="31" t="s">
        <v>1</v>
      </c>
      <c r="C12" s="24">
        <v>312.24</v>
      </c>
    </row>
    <row r="13" spans="1:9" x14ac:dyDescent="0.3">
      <c r="A13" s="26">
        <v>46017</v>
      </c>
      <c r="B13" s="27" t="s">
        <v>4</v>
      </c>
      <c r="C13" s="24">
        <v>-100</v>
      </c>
    </row>
    <row r="14" spans="1:9" x14ac:dyDescent="0.3">
      <c r="A14" s="26">
        <v>46020</v>
      </c>
      <c r="B14" s="27" t="s">
        <v>4</v>
      </c>
      <c r="C14" s="24">
        <v>-49.39</v>
      </c>
    </row>
    <row r="15" spans="1:9" x14ac:dyDescent="0.3">
      <c r="A15" s="26">
        <v>46047</v>
      </c>
      <c r="B15" s="27" t="s">
        <v>4</v>
      </c>
      <c r="C15" s="24">
        <v>-100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CE72-04AA-402C-99AF-68B91E28530F}">
  <sheetPr codeName="Hoja94"/>
  <dimension ref="A1:I12"/>
  <sheetViews>
    <sheetView view="pageBreakPreview" zoomScale="80" zoomScaleNormal="100" zoomScaleSheetLayoutView="80" workbookViewId="0">
      <selection sqref="A1:H3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65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45815</v>
      </c>
      <c r="B5" s="27" t="s">
        <v>4</v>
      </c>
      <c r="C5" s="24">
        <v>-20.8</v>
      </c>
      <c r="D5" s="30"/>
      <c r="E5" s="30"/>
      <c r="F5" s="30"/>
      <c r="G5" s="22"/>
    </row>
    <row r="6" spans="1:9" x14ac:dyDescent="0.3">
      <c r="A6" s="21">
        <v>45815</v>
      </c>
      <c r="B6" s="31" t="s">
        <v>21</v>
      </c>
      <c r="C6" s="24">
        <v>20.8</v>
      </c>
    </row>
    <row r="9" spans="1:9" x14ac:dyDescent="0.3">
      <c r="I9" s="25"/>
    </row>
    <row r="10" spans="1:9" x14ac:dyDescent="0.3">
      <c r="B10" s="31"/>
    </row>
    <row r="12" spans="1:9" x14ac:dyDescent="0.3">
      <c r="B12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F973-2A44-4F66-B459-135F170BA5E8}">
  <dimension ref="A1:I12"/>
  <sheetViews>
    <sheetView view="pageBreakPreview" zoomScale="80" zoomScaleNormal="100" zoomScaleSheetLayoutView="80" workbookViewId="0">
      <selection activeCell="C7" sqref="C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537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113.69999999999999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46036</v>
      </c>
      <c r="B5" s="27" t="s">
        <v>21</v>
      </c>
      <c r="C5" s="24">
        <v>60.48</v>
      </c>
      <c r="D5" s="30"/>
      <c r="E5" s="30"/>
      <c r="F5" s="30"/>
      <c r="G5" s="22"/>
    </row>
    <row r="6" spans="1:9" x14ac:dyDescent="0.3">
      <c r="A6" s="21">
        <v>46038</v>
      </c>
      <c r="B6" s="31" t="s">
        <v>1</v>
      </c>
      <c r="C6" s="24">
        <v>53.22</v>
      </c>
    </row>
    <row r="9" spans="1:9" x14ac:dyDescent="0.3">
      <c r="I9" s="25"/>
    </row>
    <row r="10" spans="1:9" x14ac:dyDescent="0.3">
      <c r="B10" s="31"/>
    </row>
    <row r="12" spans="1:9" x14ac:dyDescent="0.3">
      <c r="B12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DE1F-FBB3-4E6D-A188-4AA8393EF60C}">
  <sheetPr codeName="Hoja95"/>
  <dimension ref="A1:M72"/>
  <sheetViews>
    <sheetView view="pageBreakPreview" topLeftCell="A4" zoomScaleNormal="100" zoomScaleSheetLayoutView="100" workbookViewId="0">
      <selection activeCell="G72" sqref="G7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105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0.68000000000004945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45817</v>
      </c>
      <c r="B5" s="71" t="s">
        <v>4</v>
      </c>
      <c r="C5" s="24">
        <v>-141.83000000000001</v>
      </c>
      <c r="D5" s="30"/>
      <c r="E5" s="30"/>
      <c r="F5" s="30"/>
      <c r="G5" s="22"/>
    </row>
    <row r="6" spans="1:8" hidden="1" x14ac:dyDescent="0.3">
      <c r="A6" s="21">
        <v>45815</v>
      </c>
      <c r="B6" s="72" t="s">
        <v>21</v>
      </c>
      <c r="C6" s="24">
        <v>55.69</v>
      </c>
    </row>
    <row r="7" spans="1:8" hidden="1" x14ac:dyDescent="0.3">
      <c r="A7" s="21">
        <v>45815</v>
      </c>
      <c r="B7" s="73" t="s">
        <v>21</v>
      </c>
      <c r="C7" s="24">
        <v>66.180000000000007</v>
      </c>
    </row>
    <row r="8" spans="1:8" hidden="1" x14ac:dyDescent="0.3">
      <c r="A8" s="21">
        <v>45815</v>
      </c>
      <c r="B8" s="74" t="s">
        <v>21</v>
      </c>
      <c r="C8" s="24">
        <v>20.8</v>
      </c>
    </row>
    <row r="9" spans="1:8" hidden="1" x14ac:dyDescent="0.3">
      <c r="A9" s="26">
        <v>45821</v>
      </c>
      <c r="B9" s="72" t="s">
        <v>21</v>
      </c>
      <c r="C9" s="24">
        <v>41.9</v>
      </c>
    </row>
    <row r="10" spans="1:8" hidden="1" x14ac:dyDescent="0.3">
      <c r="A10" s="26">
        <v>45821</v>
      </c>
      <c r="B10" s="73" t="s">
        <v>21</v>
      </c>
      <c r="C10" s="24">
        <v>142.32</v>
      </c>
    </row>
    <row r="11" spans="1:8" hidden="1" x14ac:dyDescent="0.3">
      <c r="A11" s="26">
        <v>45825</v>
      </c>
      <c r="B11" s="27" t="s">
        <v>4</v>
      </c>
      <c r="C11" s="24">
        <v>-183.12</v>
      </c>
    </row>
    <row r="12" spans="1:8" hidden="1" x14ac:dyDescent="0.3">
      <c r="A12" s="26">
        <v>45828</v>
      </c>
      <c r="B12" s="72" t="s">
        <v>21</v>
      </c>
      <c r="C12" s="24">
        <v>45.69</v>
      </c>
    </row>
    <row r="13" spans="1:8" hidden="1" x14ac:dyDescent="0.3">
      <c r="A13" s="26">
        <v>45828</v>
      </c>
      <c r="B13" s="73" t="s">
        <v>21</v>
      </c>
      <c r="C13" s="24">
        <v>112.26</v>
      </c>
    </row>
    <row r="14" spans="1:8" hidden="1" x14ac:dyDescent="0.3">
      <c r="A14" s="26">
        <v>45828</v>
      </c>
      <c r="B14" s="27" t="s">
        <v>1</v>
      </c>
      <c r="C14" s="24">
        <v>20.8</v>
      </c>
    </row>
    <row r="15" spans="1:8" hidden="1" x14ac:dyDescent="0.3">
      <c r="A15" s="26">
        <v>45834</v>
      </c>
      <c r="B15" s="27" t="s">
        <v>4</v>
      </c>
      <c r="C15" s="24">
        <v>-120.76</v>
      </c>
    </row>
    <row r="16" spans="1:8" hidden="1" x14ac:dyDescent="0.3">
      <c r="A16" s="26">
        <v>45834</v>
      </c>
      <c r="B16" s="27" t="s">
        <v>4</v>
      </c>
      <c r="C16" s="24">
        <v>-63.46</v>
      </c>
    </row>
    <row r="17" spans="1:3" hidden="1" x14ac:dyDescent="0.3">
      <c r="A17" s="26">
        <v>45835</v>
      </c>
      <c r="B17" s="27" t="s">
        <v>1</v>
      </c>
      <c r="C17" s="24">
        <v>41.6</v>
      </c>
    </row>
    <row r="18" spans="1:3" hidden="1" x14ac:dyDescent="0.3">
      <c r="A18" s="26">
        <v>45835</v>
      </c>
      <c r="B18" s="72" t="s">
        <v>21</v>
      </c>
      <c r="C18" s="24">
        <v>100.29</v>
      </c>
    </row>
    <row r="19" spans="1:3" hidden="1" x14ac:dyDescent="0.3">
      <c r="A19" s="26">
        <v>45835</v>
      </c>
      <c r="B19" s="73" t="s">
        <v>21</v>
      </c>
      <c r="C19" s="24">
        <v>26.28</v>
      </c>
    </row>
    <row r="20" spans="1:3" hidden="1" x14ac:dyDescent="0.3">
      <c r="A20" s="26">
        <v>45838</v>
      </c>
      <c r="B20" s="27" t="s">
        <v>4</v>
      </c>
      <c r="C20" s="24">
        <v>-166.98</v>
      </c>
    </row>
    <row r="21" spans="1:3" hidden="1" x14ac:dyDescent="0.3">
      <c r="A21" s="26">
        <v>45842</v>
      </c>
      <c r="B21" s="72" t="s">
        <v>21</v>
      </c>
      <c r="C21" s="24">
        <v>33.24</v>
      </c>
    </row>
    <row r="22" spans="1:3" hidden="1" x14ac:dyDescent="0.3">
      <c r="A22" s="26">
        <v>45842</v>
      </c>
      <c r="B22" s="73" t="s">
        <v>21</v>
      </c>
      <c r="C22" s="24">
        <v>85.77</v>
      </c>
    </row>
    <row r="23" spans="1:3" hidden="1" x14ac:dyDescent="0.3">
      <c r="A23" s="26">
        <v>45842</v>
      </c>
      <c r="B23" s="27" t="s">
        <v>1</v>
      </c>
      <c r="C23" s="24">
        <v>41.6</v>
      </c>
    </row>
    <row r="24" spans="1:3" hidden="1" x14ac:dyDescent="0.3">
      <c r="A24" s="26">
        <v>45846</v>
      </c>
      <c r="B24" s="27" t="s">
        <v>4</v>
      </c>
      <c r="C24" s="24">
        <v>-157.72</v>
      </c>
    </row>
    <row r="25" spans="1:3" hidden="1" x14ac:dyDescent="0.3">
      <c r="A25" s="26">
        <v>45849</v>
      </c>
      <c r="B25" s="72" t="s">
        <v>21</v>
      </c>
      <c r="C25" s="24">
        <v>75.400000000000006</v>
      </c>
    </row>
    <row r="26" spans="1:3" hidden="1" x14ac:dyDescent="0.3">
      <c r="A26" s="26">
        <v>45849</v>
      </c>
      <c r="B26" s="73" t="s">
        <v>21</v>
      </c>
      <c r="C26" s="24">
        <v>95.13</v>
      </c>
    </row>
    <row r="27" spans="1:3" hidden="1" x14ac:dyDescent="0.3">
      <c r="A27" s="26">
        <v>45849</v>
      </c>
      <c r="B27" s="27" t="s">
        <v>1</v>
      </c>
      <c r="C27" s="24">
        <v>41.6</v>
      </c>
    </row>
    <row r="28" spans="1:3" hidden="1" x14ac:dyDescent="0.3">
      <c r="A28" s="26">
        <v>45859</v>
      </c>
      <c r="B28" s="27" t="s">
        <v>4</v>
      </c>
      <c r="C28" s="24">
        <v>-13</v>
      </c>
    </row>
    <row r="29" spans="1:3" hidden="1" x14ac:dyDescent="0.3">
      <c r="A29" s="26">
        <v>45856</v>
      </c>
      <c r="B29" s="72" t="s">
        <v>21</v>
      </c>
      <c r="C29" s="24">
        <v>84.14</v>
      </c>
    </row>
    <row r="30" spans="1:3" hidden="1" x14ac:dyDescent="0.3">
      <c r="A30" s="26">
        <v>45856</v>
      </c>
      <c r="B30" s="73" t="s">
        <v>21</v>
      </c>
      <c r="C30" s="24">
        <v>101.4</v>
      </c>
    </row>
    <row r="31" spans="1:3" hidden="1" x14ac:dyDescent="0.3">
      <c r="A31" s="26">
        <v>45859</v>
      </c>
      <c r="B31" s="27" t="s">
        <v>4</v>
      </c>
      <c r="C31" s="24">
        <v>-151.08000000000001</v>
      </c>
    </row>
    <row r="32" spans="1:3" hidden="1" x14ac:dyDescent="0.3">
      <c r="A32" s="26">
        <v>45860</v>
      </c>
      <c r="B32" s="27" t="s">
        <v>4</v>
      </c>
      <c r="C32" s="24">
        <v>-234.14</v>
      </c>
    </row>
    <row r="33" spans="1:7" hidden="1" x14ac:dyDescent="0.3">
      <c r="A33" s="26">
        <v>45870</v>
      </c>
      <c r="B33" s="72" t="s">
        <v>21</v>
      </c>
      <c r="C33" s="24">
        <v>104.85</v>
      </c>
    </row>
    <row r="34" spans="1:7" hidden="1" x14ac:dyDescent="0.3">
      <c r="A34" s="26">
        <v>45870</v>
      </c>
      <c r="B34" s="73" t="s">
        <v>21</v>
      </c>
      <c r="C34" s="24">
        <v>130.49</v>
      </c>
    </row>
    <row r="35" spans="1:7" hidden="1" x14ac:dyDescent="0.3">
      <c r="A35" s="26">
        <v>45870</v>
      </c>
      <c r="B35" s="27" t="s">
        <v>1</v>
      </c>
      <c r="C35" s="24">
        <v>41.6</v>
      </c>
    </row>
    <row r="36" spans="1:7" hidden="1" x14ac:dyDescent="0.3">
      <c r="A36" s="26">
        <v>45874</v>
      </c>
      <c r="B36" s="27" t="s">
        <v>4</v>
      </c>
      <c r="C36" s="24">
        <v>-274.93</v>
      </c>
    </row>
    <row r="37" spans="1:7" hidden="1" x14ac:dyDescent="0.3">
      <c r="A37" s="26">
        <v>45877</v>
      </c>
      <c r="B37" s="73" t="s">
        <v>21</v>
      </c>
      <c r="C37" s="24">
        <f>78.45-G37</f>
        <v>70.34</v>
      </c>
      <c r="G37" s="24">
        <v>8.11</v>
      </c>
    </row>
    <row r="38" spans="1:7" hidden="1" x14ac:dyDescent="0.3">
      <c r="A38" s="26">
        <v>45877</v>
      </c>
      <c r="B38" s="27" t="s">
        <v>1</v>
      </c>
      <c r="C38" s="24">
        <v>41.6</v>
      </c>
      <c r="G38" s="24">
        <v>-8.11</v>
      </c>
    </row>
    <row r="39" spans="1:7" hidden="1" x14ac:dyDescent="0.3">
      <c r="A39" s="26">
        <v>45884</v>
      </c>
      <c r="B39" s="27" t="s">
        <v>4</v>
      </c>
      <c r="C39" s="24">
        <v>-113.95</v>
      </c>
    </row>
    <row r="40" spans="1:7" x14ac:dyDescent="0.3">
      <c r="A40" s="26">
        <v>45884</v>
      </c>
      <c r="B40" s="72" t="s">
        <v>21</v>
      </c>
      <c r="C40" s="24">
        <f>137.23-G40</f>
        <v>123.03999999999999</v>
      </c>
      <c r="G40" s="24">
        <v>14.19</v>
      </c>
    </row>
    <row r="41" spans="1:7" x14ac:dyDescent="0.3">
      <c r="A41" s="26">
        <v>45884</v>
      </c>
      <c r="B41" s="73" t="s">
        <v>21</v>
      </c>
      <c r="C41" s="24">
        <f>107.92-G41</f>
        <v>100.83</v>
      </c>
      <c r="G41" s="24">
        <v>7.09</v>
      </c>
    </row>
    <row r="42" spans="1:7" x14ac:dyDescent="0.3">
      <c r="A42" s="26">
        <v>45889</v>
      </c>
      <c r="B42" s="27" t="s">
        <v>23</v>
      </c>
      <c r="G42" s="24">
        <v>-21.28</v>
      </c>
    </row>
    <row r="43" spans="1:7" x14ac:dyDescent="0.3">
      <c r="A43" s="26">
        <v>45894</v>
      </c>
      <c r="B43" s="27" t="s">
        <v>4</v>
      </c>
      <c r="C43" s="24">
        <v>-243.03</v>
      </c>
    </row>
    <row r="44" spans="1:7" x14ac:dyDescent="0.3">
      <c r="A44" s="26">
        <v>45898</v>
      </c>
      <c r="B44" s="72" t="s">
        <v>21</v>
      </c>
      <c r="C44" s="24">
        <v>53.4</v>
      </c>
    </row>
    <row r="45" spans="1:7" x14ac:dyDescent="0.3">
      <c r="A45" s="26">
        <v>45898</v>
      </c>
      <c r="B45" s="73" t="s">
        <v>21</v>
      </c>
      <c r="C45" s="24">
        <f>103.76-G45</f>
        <v>92.03</v>
      </c>
      <c r="G45" s="24">
        <v>11.73</v>
      </c>
    </row>
    <row r="46" spans="1:7" x14ac:dyDescent="0.3">
      <c r="A46" s="26">
        <v>45898</v>
      </c>
      <c r="B46" s="27" t="s">
        <v>1</v>
      </c>
      <c r="C46" s="24">
        <v>20.8</v>
      </c>
    </row>
    <row r="47" spans="1:7" x14ac:dyDescent="0.3">
      <c r="A47" s="26">
        <v>45902</v>
      </c>
      <c r="B47" s="27" t="s">
        <v>4</v>
      </c>
      <c r="C47" s="24">
        <v>-169.2</v>
      </c>
      <c r="G47" s="24">
        <v>-11.73</v>
      </c>
    </row>
    <row r="48" spans="1:7" x14ac:dyDescent="0.3">
      <c r="A48" s="26">
        <v>45912</v>
      </c>
      <c r="B48" s="72" t="s">
        <v>21</v>
      </c>
      <c r="C48" s="24">
        <f>37-G48</f>
        <v>33.18</v>
      </c>
      <c r="G48" s="24">
        <v>3.82</v>
      </c>
    </row>
    <row r="49" spans="1:10" x14ac:dyDescent="0.3">
      <c r="A49" s="26">
        <v>45912</v>
      </c>
      <c r="B49" s="73" t="s">
        <v>21</v>
      </c>
      <c r="C49" s="24">
        <f>65.7-G49</f>
        <v>64.350000000000009</v>
      </c>
      <c r="G49" s="24">
        <v>1.35</v>
      </c>
    </row>
    <row r="50" spans="1:10" x14ac:dyDescent="0.3">
      <c r="A50" s="26">
        <v>45916</v>
      </c>
      <c r="B50" s="27" t="s">
        <v>23</v>
      </c>
      <c r="G50" s="24">
        <v>-5.17</v>
      </c>
    </row>
    <row r="51" spans="1:10" x14ac:dyDescent="0.3">
      <c r="A51" s="26">
        <v>45922</v>
      </c>
      <c r="B51" s="27" t="s">
        <v>4</v>
      </c>
      <c r="C51" s="24">
        <v>-93.03</v>
      </c>
    </row>
    <row r="52" spans="1:10" x14ac:dyDescent="0.3">
      <c r="A52" s="26">
        <v>45926</v>
      </c>
      <c r="B52" s="72" t="s">
        <v>21</v>
      </c>
      <c r="C52" s="24">
        <v>13.5</v>
      </c>
    </row>
    <row r="53" spans="1:10" x14ac:dyDescent="0.3">
      <c r="A53" s="26">
        <v>45926</v>
      </c>
      <c r="B53" s="72" t="s">
        <v>21</v>
      </c>
      <c r="C53" s="24">
        <f>64.65-G53</f>
        <v>51.300000000000004</v>
      </c>
      <c r="G53" s="24">
        <v>13.35</v>
      </c>
    </row>
    <row r="54" spans="1:10" x14ac:dyDescent="0.3">
      <c r="A54" s="26">
        <v>45926</v>
      </c>
      <c r="B54" s="73" t="s">
        <v>21</v>
      </c>
      <c r="C54" s="24">
        <v>84.67</v>
      </c>
    </row>
    <row r="55" spans="1:10" x14ac:dyDescent="0.3">
      <c r="A55" s="26">
        <v>45926</v>
      </c>
      <c r="B55" s="74" t="s">
        <v>21</v>
      </c>
      <c r="C55" s="24">
        <v>28.92</v>
      </c>
    </row>
    <row r="56" spans="1:10" x14ac:dyDescent="0.3">
      <c r="A56" s="26">
        <v>45926</v>
      </c>
      <c r="B56" s="27" t="s">
        <v>1</v>
      </c>
      <c r="C56" s="24">
        <v>20.8</v>
      </c>
    </row>
    <row r="57" spans="1:10" x14ac:dyDescent="0.3">
      <c r="A57" s="26">
        <v>45930</v>
      </c>
      <c r="B57" s="27" t="s">
        <v>4</v>
      </c>
      <c r="G57" s="24">
        <v>-13.35</v>
      </c>
    </row>
    <row r="58" spans="1:10" x14ac:dyDescent="0.3">
      <c r="A58" s="26">
        <v>45934</v>
      </c>
      <c r="B58" s="27" t="s">
        <v>4</v>
      </c>
      <c r="C58" s="24">
        <v>-151.5</v>
      </c>
    </row>
    <row r="59" spans="1:10" x14ac:dyDescent="0.3">
      <c r="A59" s="26">
        <v>45940</v>
      </c>
      <c r="B59" s="73" t="s">
        <v>21</v>
      </c>
      <c r="C59" s="24">
        <v>55.2</v>
      </c>
    </row>
    <row r="60" spans="1:10" x14ac:dyDescent="0.3">
      <c r="A60" s="26">
        <v>45954</v>
      </c>
      <c r="B60" s="27" t="s">
        <v>4</v>
      </c>
      <c r="C60" s="24">
        <v>-49.76</v>
      </c>
      <c r="J60" s="18">
        <v>1.69</v>
      </c>
    </row>
    <row r="61" spans="1:10" x14ac:dyDescent="0.3">
      <c r="A61" s="26">
        <v>45954</v>
      </c>
      <c r="B61" s="72" t="s">
        <v>21</v>
      </c>
      <c r="C61" s="24">
        <f>19.2-G61</f>
        <v>17.22</v>
      </c>
      <c r="G61" s="24">
        <v>1.98</v>
      </c>
    </row>
    <row r="62" spans="1:10" x14ac:dyDescent="0.3">
      <c r="A62" s="26">
        <v>45954</v>
      </c>
      <c r="B62" s="73" t="s">
        <v>21</v>
      </c>
      <c r="C62" s="24">
        <v>29.28</v>
      </c>
    </row>
    <row r="63" spans="1:10" x14ac:dyDescent="0.3">
      <c r="A63" s="26">
        <v>45962</v>
      </c>
      <c r="B63" s="27" t="s">
        <v>4</v>
      </c>
      <c r="C63" s="24">
        <v>-49.21</v>
      </c>
      <c r="G63" s="24">
        <v>-1.98</v>
      </c>
    </row>
    <row r="64" spans="1:10" x14ac:dyDescent="0.3">
      <c r="A64" s="26">
        <v>46003</v>
      </c>
      <c r="B64" s="27" t="s">
        <v>1</v>
      </c>
      <c r="C64" s="24">
        <f>91.9-G64</f>
        <v>90.210000000000008</v>
      </c>
      <c r="G64" s="24">
        <v>1.69</v>
      </c>
      <c r="I64" s="18">
        <f>91.9/1.16</f>
        <v>79.224137931034491</v>
      </c>
    </row>
    <row r="65" spans="1:13" x14ac:dyDescent="0.3">
      <c r="A65" s="26">
        <v>46004</v>
      </c>
      <c r="B65" s="27" t="s">
        <v>4</v>
      </c>
      <c r="C65" s="24">
        <v>-48.62</v>
      </c>
      <c r="G65" s="24">
        <v>-1.69</v>
      </c>
      <c r="I65" s="18">
        <f>+I64*0.16</f>
        <v>12.675862068965518</v>
      </c>
    </row>
    <row r="66" spans="1:13" x14ac:dyDescent="0.3">
      <c r="A66" s="26">
        <v>46010</v>
      </c>
      <c r="B66" s="27" t="s">
        <v>4</v>
      </c>
      <c r="C66" s="24">
        <v>-63.71</v>
      </c>
      <c r="I66" s="18">
        <f>+I65*0.75</f>
        <v>9.5068965517241395</v>
      </c>
      <c r="J66" s="18">
        <f>462.71/223.6459</f>
        <v>2.0689402309633218</v>
      </c>
      <c r="M66" s="18">
        <f>2138.84/341.7425</f>
        <v>6.2586304015450231</v>
      </c>
    </row>
    <row r="67" spans="1:13" x14ac:dyDescent="0.3">
      <c r="A67" s="26">
        <v>46010</v>
      </c>
      <c r="B67" s="27" t="s">
        <v>1</v>
      </c>
      <c r="C67" s="24">
        <v>104.53</v>
      </c>
      <c r="I67" s="18">
        <f>453.78/267.7499</f>
        <v>1.6947905489413813</v>
      </c>
    </row>
    <row r="68" spans="1:13" x14ac:dyDescent="0.3">
      <c r="A68" s="26">
        <v>46014</v>
      </c>
      <c r="B68" s="27" t="s">
        <v>4</v>
      </c>
      <c r="C68" s="24">
        <v>-115.2</v>
      </c>
    </row>
    <row r="69" spans="1:13" x14ac:dyDescent="0.3">
      <c r="A69" s="26">
        <v>46038</v>
      </c>
      <c r="B69" s="27" t="s">
        <v>1</v>
      </c>
      <c r="C69" s="24">
        <f>89.5-G69</f>
        <v>83.25</v>
      </c>
      <c r="G69" s="24">
        <v>6.25</v>
      </c>
      <c r="L69" s="18">
        <f>89.5/1.16</f>
        <v>77.15517241379311</v>
      </c>
    </row>
    <row r="70" spans="1:13" x14ac:dyDescent="0.3">
      <c r="A70" s="26">
        <v>46042</v>
      </c>
      <c r="B70" s="27" t="s">
        <v>4</v>
      </c>
      <c r="C70" s="24">
        <v>-82.57</v>
      </c>
      <c r="G70" s="24">
        <v>-6.25</v>
      </c>
      <c r="L70" s="18">
        <f>+L69*0.16</f>
        <v>12.344827586206899</v>
      </c>
    </row>
    <row r="71" spans="1:13" x14ac:dyDescent="0.3">
      <c r="A71" s="26">
        <v>46045</v>
      </c>
      <c r="B71" s="27" t="s">
        <v>4</v>
      </c>
      <c r="C71" s="24">
        <v>-13.45</v>
      </c>
      <c r="G71" s="24">
        <v>-1.55</v>
      </c>
      <c r="I71" s="18">
        <f>4743.27/352.7063</f>
        <v>13.448214562654538</v>
      </c>
      <c r="L71" s="18">
        <f>+L70*0.75</f>
        <v>9.2586206896551744</v>
      </c>
    </row>
    <row r="72" spans="1:13" x14ac:dyDescent="0.3">
      <c r="A72" s="26">
        <v>46045</v>
      </c>
      <c r="B72" s="27" t="s">
        <v>1</v>
      </c>
      <c r="C72" s="24">
        <f>15-G72</f>
        <v>13.45</v>
      </c>
      <c r="G72" s="24">
        <v>1.55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DBEF9-B233-40F2-A160-E1BEAB20C42A}">
  <sheetPr codeName="Hoja194"/>
  <dimension ref="A1:I86"/>
  <sheetViews>
    <sheetView view="pageBreakPreview" zoomScale="80" zoomScaleNormal="100" zoomScaleSheetLayoutView="80" workbookViewId="0">
      <selection activeCell="C43" sqref="C4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304</v>
      </c>
      <c r="C1" s="17"/>
      <c r="D1" s="17"/>
      <c r="E1" s="17"/>
      <c r="F1" s="17"/>
      <c r="G1" s="18"/>
      <c r="H1" s="16"/>
      <c r="I1" s="18" t="s">
        <v>500</v>
      </c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45833</v>
      </c>
      <c r="B5" s="34" t="s">
        <v>21</v>
      </c>
      <c r="C5" s="24">
        <v>30.74</v>
      </c>
      <c r="D5" s="30"/>
      <c r="E5" s="30"/>
      <c r="F5" s="30"/>
      <c r="G5" s="22"/>
    </row>
    <row r="6" spans="1:9" hidden="1" x14ac:dyDescent="0.3">
      <c r="A6" s="21">
        <v>45854</v>
      </c>
      <c r="B6" s="27" t="s">
        <v>4</v>
      </c>
      <c r="C6" s="24">
        <v>-30.74</v>
      </c>
    </row>
    <row r="7" spans="1:9" hidden="1" x14ac:dyDescent="0.3">
      <c r="A7" s="21">
        <v>45854</v>
      </c>
      <c r="B7" s="34" t="s">
        <v>21</v>
      </c>
      <c r="C7" s="24">
        <v>54.8</v>
      </c>
    </row>
    <row r="8" spans="1:9" hidden="1" x14ac:dyDescent="0.3">
      <c r="A8" s="26">
        <v>45861</v>
      </c>
      <c r="B8" s="27" t="s">
        <v>4</v>
      </c>
      <c r="C8" s="24">
        <v>-54.8</v>
      </c>
    </row>
    <row r="9" spans="1:9" hidden="1" x14ac:dyDescent="0.3">
      <c r="A9" s="26">
        <v>45869</v>
      </c>
      <c r="B9" s="32" t="s">
        <v>1</v>
      </c>
      <c r="C9" s="24">
        <v>15.85</v>
      </c>
    </row>
    <row r="10" spans="1:9" hidden="1" x14ac:dyDescent="0.3">
      <c r="A10" s="26">
        <v>45869</v>
      </c>
      <c r="B10" s="34" t="s">
        <v>1</v>
      </c>
      <c r="C10" s="24">
        <v>25.02</v>
      </c>
    </row>
    <row r="11" spans="1:9" hidden="1" x14ac:dyDescent="0.3">
      <c r="A11" s="26">
        <v>45882</v>
      </c>
      <c r="B11" s="27" t="s">
        <v>4</v>
      </c>
      <c r="C11" s="24">
        <v>-40.5</v>
      </c>
    </row>
    <row r="12" spans="1:9" hidden="1" x14ac:dyDescent="0.3">
      <c r="A12" s="26">
        <v>45882</v>
      </c>
      <c r="B12" s="27" t="s">
        <v>4</v>
      </c>
      <c r="C12" s="24">
        <v>-1</v>
      </c>
    </row>
    <row r="13" spans="1:9" hidden="1" x14ac:dyDescent="0.3">
      <c r="A13" s="26">
        <v>45883</v>
      </c>
      <c r="B13" s="34" t="s">
        <v>1</v>
      </c>
      <c r="C13" s="24">
        <v>52.3</v>
      </c>
    </row>
    <row r="14" spans="1:9" hidden="1" x14ac:dyDescent="0.3">
      <c r="A14" s="26">
        <v>45894</v>
      </c>
      <c r="B14" s="27" t="s">
        <v>4</v>
      </c>
      <c r="C14" s="24">
        <v>-52.39</v>
      </c>
    </row>
    <row r="15" spans="1:9" hidden="1" x14ac:dyDescent="0.3">
      <c r="A15" s="26">
        <v>45897</v>
      </c>
      <c r="B15" s="34" t="s">
        <v>1</v>
      </c>
      <c r="C15" s="24">
        <v>21.36</v>
      </c>
    </row>
    <row r="16" spans="1:9" hidden="1" x14ac:dyDescent="0.3">
      <c r="A16" s="26">
        <v>45911</v>
      </c>
      <c r="B16" s="27" t="s">
        <v>4</v>
      </c>
      <c r="C16" s="24">
        <v>-20.74</v>
      </c>
    </row>
    <row r="17" spans="1:3" hidden="1" x14ac:dyDescent="0.3">
      <c r="A17" s="26">
        <v>45911</v>
      </c>
      <c r="B17" s="34" t="s">
        <v>1</v>
      </c>
      <c r="C17" s="24">
        <v>30.54</v>
      </c>
    </row>
    <row r="18" spans="1:3" hidden="1" x14ac:dyDescent="0.3">
      <c r="A18" s="26">
        <v>45925</v>
      </c>
      <c r="B18" s="27" t="s">
        <v>4</v>
      </c>
      <c r="C18" s="24">
        <v>-20.64</v>
      </c>
    </row>
    <row r="19" spans="1:3" hidden="1" x14ac:dyDescent="0.3">
      <c r="A19" s="26">
        <v>45925</v>
      </c>
      <c r="B19" s="32" t="s">
        <v>1</v>
      </c>
      <c r="C19" s="24">
        <v>15.85</v>
      </c>
    </row>
    <row r="20" spans="1:3" hidden="1" x14ac:dyDescent="0.3">
      <c r="A20" s="26">
        <v>45925</v>
      </c>
      <c r="B20" s="34" t="s">
        <v>1</v>
      </c>
      <c r="C20" s="24">
        <v>22.35</v>
      </c>
    </row>
    <row r="21" spans="1:3" hidden="1" x14ac:dyDescent="0.3">
      <c r="A21" s="26">
        <v>45939</v>
      </c>
      <c r="B21" s="27" t="s">
        <v>4</v>
      </c>
      <c r="C21" s="24">
        <v>-37.799999999999997</v>
      </c>
    </row>
    <row r="22" spans="1:3" hidden="1" x14ac:dyDescent="0.3">
      <c r="A22" s="26">
        <v>45939</v>
      </c>
      <c r="B22" s="34" t="s">
        <v>1</v>
      </c>
      <c r="C22" s="24">
        <v>14.36</v>
      </c>
    </row>
    <row r="23" spans="1:3" hidden="1" x14ac:dyDescent="0.3">
      <c r="A23" s="26">
        <v>45940</v>
      </c>
      <c r="B23" s="27" t="s">
        <v>4</v>
      </c>
      <c r="C23" s="24">
        <v>-10.3</v>
      </c>
    </row>
    <row r="24" spans="1:3" hidden="1" x14ac:dyDescent="0.3">
      <c r="A24" s="26">
        <v>45951</v>
      </c>
      <c r="B24" s="27" t="s">
        <v>4</v>
      </c>
      <c r="C24" s="24">
        <v>-14.21</v>
      </c>
    </row>
    <row r="25" spans="1:3" hidden="1" x14ac:dyDescent="0.3">
      <c r="A25" s="26">
        <v>45953</v>
      </c>
      <c r="B25" s="34" t="s">
        <v>1</v>
      </c>
      <c r="C25" s="24">
        <v>41.07</v>
      </c>
    </row>
    <row r="26" spans="1:3" hidden="1" x14ac:dyDescent="0.3">
      <c r="A26" s="26">
        <v>45966</v>
      </c>
      <c r="B26" s="27" t="s">
        <v>4</v>
      </c>
      <c r="C26" s="24">
        <v>-41.12</v>
      </c>
    </row>
    <row r="27" spans="1:3" hidden="1" x14ac:dyDescent="0.3">
      <c r="A27" s="26">
        <v>45967</v>
      </c>
      <c r="B27" s="34" t="s">
        <v>1</v>
      </c>
      <c r="C27" s="24">
        <v>31.7</v>
      </c>
    </row>
    <row r="28" spans="1:3" hidden="1" x14ac:dyDescent="0.3">
      <c r="A28" s="26">
        <v>45981</v>
      </c>
      <c r="B28" s="27" t="s">
        <v>4</v>
      </c>
      <c r="C28" s="24">
        <v>-31.7</v>
      </c>
    </row>
    <row r="29" spans="1:3" x14ac:dyDescent="0.3">
      <c r="A29" s="26">
        <v>45981</v>
      </c>
      <c r="B29" s="27" t="s">
        <v>1</v>
      </c>
      <c r="C29" s="24">
        <v>37.6</v>
      </c>
    </row>
    <row r="30" spans="1:3" x14ac:dyDescent="0.3">
      <c r="A30" s="26">
        <v>45995</v>
      </c>
      <c r="B30" s="27" t="s">
        <v>4</v>
      </c>
      <c r="C30" s="24">
        <v>-37.6</v>
      </c>
    </row>
    <row r="31" spans="1:3" x14ac:dyDescent="0.3">
      <c r="A31" s="26">
        <v>45995</v>
      </c>
      <c r="B31" s="27" t="s">
        <v>1</v>
      </c>
      <c r="C31" s="24">
        <v>40.85</v>
      </c>
    </row>
    <row r="32" spans="1:3" x14ac:dyDescent="0.3">
      <c r="A32" s="26">
        <v>46009</v>
      </c>
      <c r="B32" s="27" t="s">
        <v>4</v>
      </c>
      <c r="C32" s="24">
        <v>-14.62</v>
      </c>
    </row>
    <row r="33" spans="1:3" x14ac:dyDescent="0.3">
      <c r="A33" s="26">
        <v>46009</v>
      </c>
      <c r="B33" s="27" t="s">
        <v>4</v>
      </c>
      <c r="C33" s="24">
        <v>-26.23</v>
      </c>
    </row>
    <row r="34" spans="1:3" x14ac:dyDescent="0.3">
      <c r="A34" s="26">
        <v>46009</v>
      </c>
      <c r="B34" s="27" t="s">
        <v>1</v>
      </c>
      <c r="C34" s="24">
        <v>41.63</v>
      </c>
    </row>
    <row r="35" spans="1:3" x14ac:dyDescent="0.3">
      <c r="A35" s="26">
        <v>46027</v>
      </c>
      <c r="B35" s="27" t="s">
        <v>4</v>
      </c>
      <c r="C35" s="24">
        <v>-24.77</v>
      </c>
    </row>
    <row r="36" spans="1:3" x14ac:dyDescent="0.3">
      <c r="A36" s="26">
        <v>46030</v>
      </c>
      <c r="B36" s="27" t="s">
        <v>1</v>
      </c>
      <c r="C36" s="24">
        <v>6.8</v>
      </c>
    </row>
    <row r="37" spans="1:3" x14ac:dyDescent="0.3">
      <c r="A37" s="26">
        <v>46031</v>
      </c>
      <c r="B37" s="27" t="s">
        <v>4</v>
      </c>
      <c r="C37" s="24">
        <v>-0.05</v>
      </c>
    </row>
    <row r="38" spans="1:3" x14ac:dyDescent="0.3">
      <c r="A38" s="26">
        <v>46037</v>
      </c>
      <c r="B38" s="27" t="s">
        <v>4</v>
      </c>
      <c r="C38" s="24">
        <v>-6.8</v>
      </c>
    </row>
    <row r="39" spans="1:3" x14ac:dyDescent="0.3">
      <c r="A39" s="26">
        <v>46037</v>
      </c>
      <c r="B39" s="27" t="s">
        <v>1</v>
      </c>
      <c r="C39" s="24">
        <v>69.89</v>
      </c>
    </row>
    <row r="40" spans="1:3" x14ac:dyDescent="0.3">
      <c r="A40" s="26">
        <v>46044</v>
      </c>
      <c r="B40" s="27" t="s">
        <v>4</v>
      </c>
      <c r="C40" s="24">
        <v>-86.7</v>
      </c>
    </row>
    <row r="41" spans="1:3" x14ac:dyDescent="0.3">
      <c r="A41" s="26">
        <v>46051</v>
      </c>
      <c r="B41" s="27" t="s">
        <v>1</v>
      </c>
      <c r="C41" s="24">
        <v>21.4</v>
      </c>
    </row>
    <row r="42" spans="1:3" x14ac:dyDescent="0.3">
      <c r="A42" s="26">
        <v>46056</v>
      </c>
      <c r="B42" s="27" t="s">
        <v>4</v>
      </c>
      <c r="C42" s="24">
        <v>-21.4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A01C9-F2D7-414B-8632-916F82DA5F0D}">
  <sheetPr codeName="Hoja96"/>
  <dimension ref="A1:H34"/>
  <sheetViews>
    <sheetView view="pageBreakPreview" zoomScale="80" zoomScaleNormal="100" zoomScaleSheetLayoutView="80" workbookViewId="0">
      <selection activeCell="C35" sqref="C3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143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144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45818</v>
      </c>
      <c r="B5" s="31" t="s">
        <v>1</v>
      </c>
      <c r="C5" s="24">
        <v>120.52</v>
      </c>
      <c r="D5" s="30">
        <v>2</v>
      </c>
      <c r="E5" s="30"/>
      <c r="F5" s="30"/>
      <c r="G5" s="22"/>
    </row>
    <row r="6" spans="1:8" hidden="1" x14ac:dyDescent="0.3">
      <c r="A6" s="21">
        <v>45818</v>
      </c>
      <c r="B6" s="72" t="s">
        <v>1</v>
      </c>
      <c r="C6" s="24">
        <v>76.819999999999993</v>
      </c>
      <c r="D6" s="25">
        <v>1</v>
      </c>
    </row>
    <row r="7" spans="1:8" hidden="1" x14ac:dyDescent="0.3">
      <c r="A7" s="21">
        <v>45818</v>
      </c>
      <c r="B7" s="73" t="s">
        <v>1</v>
      </c>
      <c r="C7" s="24">
        <v>380</v>
      </c>
    </row>
    <row r="8" spans="1:8" hidden="1" x14ac:dyDescent="0.3">
      <c r="A8" s="26">
        <v>45832</v>
      </c>
      <c r="B8" s="27" t="s">
        <v>4</v>
      </c>
      <c r="C8" s="24">
        <v>-229.01</v>
      </c>
    </row>
    <row r="9" spans="1:8" hidden="1" x14ac:dyDescent="0.3">
      <c r="A9" s="26">
        <v>45833</v>
      </c>
      <c r="B9" s="27" t="s">
        <v>4</v>
      </c>
      <c r="C9" s="24">
        <v>-348.33</v>
      </c>
    </row>
    <row r="10" spans="1:8" hidden="1" x14ac:dyDescent="0.3">
      <c r="A10" s="26">
        <v>45835</v>
      </c>
      <c r="B10" s="72" t="s">
        <v>1</v>
      </c>
      <c r="C10" s="24">
        <v>83.16</v>
      </c>
      <c r="D10" s="25">
        <v>-2</v>
      </c>
    </row>
    <row r="11" spans="1:8" hidden="1" x14ac:dyDescent="0.3">
      <c r="A11" s="26">
        <v>45835</v>
      </c>
      <c r="B11" s="73" t="s">
        <v>1</v>
      </c>
      <c r="C11" s="24">
        <v>200</v>
      </c>
    </row>
    <row r="12" spans="1:8" hidden="1" x14ac:dyDescent="0.3">
      <c r="A12" s="26">
        <v>45845</v>
      </c>
      <c r="B12" s="31" t="s">
        <v>4</v>
      </c>
      <c r="C12" s="24">
        <v>-237.84</v>
      </c>
    </row>
    <row r="13" spans="1:8" hidden="1" x14ac:dyDescent="0.3">
      <c r="A13" s="26">
        <v>45845</v>
      </c>
      <c r="B13" s="31" t="s">
        <v>4</v>
      </c>
      <c r="C13" s="24">
        <v>-45.32</v>
      </c>
    </row>
    <row r="14" spans="1:8" x14ac:dyDescent="0.3">
      <c r="A14" s="26">
        <v>45846</v>
      </c>
      <c r="B14" s="27" t="s">
        <v>4</v>
      </c>
      <c r="C14" s="24">
        <v>-20</v>
      </c>
    </row>
    <row r="15" spans="1:8" x14ac:dyDescent="0.3">
      <c r="A15" s="26">
        <v>45846</v>
      </c>
      <c r="B15" s="72" t="s">
        <v>1</v>
      </c>
      <c r="C15" s="24">
        <v>55.63</v>
      </c>
    </row>
    <row r="16" spans="1:8" x14ac:dyDescent="0.3">
      <c r="A16" s="26">
        <v>45846</v>
      </c>
      <c r="B16" s="73" t="s">
        <v>1</v>
      </c>
      <c r="C16" s="24">
        <v>220</v>
      </c>
    </row>
    <row r="17" spans="1:4" x14ac:dyDescent="0.3">
      <c r="A17" s="26">
        <v>45853</v>
      </c>
      <c r="B17" s="27" t="s">
        <v>4</v>
      </c>
      <c r="C17" s="24">
        <v>-243.43</v>
      </c>
    </row>
    <row r="18" spans="1:4" x14ac:dyDescent="0.3">
      <c r="A18" s="26">
        <v>45853</v>
      </c>
      <c r="B18" s="27" t="s">
        <v>4</v>
      </c>
      <c r="C18" s="24">
        <v>-7.7</v>
      </c>
    </row>
    <row r="19" spans="1:4" x14ac:dyDescent="0.3">
      <c r="A19" s="26">
        <v>45853</v>
      </c>
      <c r="B19" s="72" t="s">
        <v>1</v>
      </c>
      <c r="C19" s="24">
        <v>194.83</v>
      </c>
    </row>
    <row r="20" spans="1:4" x14ac:dyDescent="0.3">
      <c r="A20" s="26">
        <v>45853</v>
      </c>
      <c r="B20" s="73" t="s">
        <v>1</v>
      </c>
      <c r="C20" s="24">
        <v>701.64</v>
      </c>
    </row>
    <row r="21" spans="1:4" x14ac:dyDescent="0.3">
      <c r="A21" s="26">
        <v>45867</v>
      </c>
      <c r="B21" s="27" t="s">
        <v>4</v>
      </c>
      <c r="C21" s="24">
        <v>-327.25</v>
      </c>
    </row>
    <row r="22" spans="1:4" x14ac:dyDescent="0.3">
      <c r="A22" s="26">
        <v>45873</v>
      </c>
      <c r="B22" s="27" t="s">
        <v>4</v>
      </c>
      <c r="C22" s="24">
        <v>-564.62</v>
      </c>
    </row>
    <row r="23" spans="1:4" x14ac:dyDescent="0.3">
      <c r="A23" s="26">
        <v>45874</v>
      </c>
      <c r="B23" s="27" t="s">
        <v>4</v>
      </c>
      <c r="C23" s="24">
        <v>-7.25</v>
      </c>
    </row>
    <row r="24" spans="1:4" x14ac:dyDescent="0.3">
      <c r="A24" s="26">
        <v>45874</v>
      </c>
      <c r="B24" s="27" t="s">
        <v>1</v>
      </c>
      <c r="C24" s="24">
        <v>29.88</v>
      </c>
    </row>
    <row r="25" spans="1:4" x14ac:dyDescent="0.3">
      <c r="A25" s="26">
        <v>45874</v>
      </c>
      <c r="B25" s="72" t="s">
        <v>1</v>
      </c>
      <c r="C25" s="24">
        <v>35.28</v>
      </c>
    </row>
    <row r="26" spans="1:4" x14ac:dyDescent="0.3">
      <c r="A26" s="26">
        <v>45874</v>
      </c>
      <c r="B26" s="73" t="s">
        <v>1</v>
      </c>
      <c r="C26" s="24">
        <v>198</v>
      </c>
    </row>
    <row r="27" spans="1:4" x14ac:dyDescent="0.3">
      <c r="A27" s="26">
        <v>45888</v>
      </c>
      <c r="B27" s="27" t="s">
        <v>4</v>
      </c>
      <c r="C27" s="24">
        <v>-263.16000000000003</v>
      </c>
    </row>
    <row r="28" spans="1:4" x14ac:dyDescent="0.3">
      <c r="A28" s="26">
        <v>45888</v>
      </c>
      <c r="B28" s="72" t="s">
        <v>1</v>
      </c>
      <c r="C28" s="24">
        <v>50.28</v>
      </c>
    </row>
    <row r="29" spans="1:4" x14ac:dyDescent="0.3">
      <c r="A29" s="26">
        <v>45888</v>
      </c>
      <c r="B29" s="73" t="s">
        <v>1</v>
      </c>
      <c r="C29" s="24">
        <v>513.48</v>
      </c>
    </row>
    <row r="30" spans="1:4" x14ac:dyDescent="0.3">
      <c r="A30" s="26">
        <v>45916</v>
      </c>
      <c r="B30" s="27" t="s">
        <v>4</v>
      </c>
      <c r="C30" s="24">
        <v>-200</v>
      </c>
    </row>
    <row r="31" spans="1:4" x14ac:dyDescent="0.3">
      <c r="A31" s="26">
        <v>45958</v>
      </c>
      <c r="B31" s="27" t="s">
        <v>4</v>
      </c>
      <c r="C31" s="24">
        <v>-362.6</v>
      </c>
    </row>
    <row r="32" spans="1:4" x14ac:dyDescent="0.3">
      <c r="A32" s="26">
        <v>45966</v>
      </c>
      <c r="B32" s="72" t="s">
        <v>1</v>
      </c>
      <c r="C32" s="24">
        <v>72.84</v>
      </c>
      <c r="D32" s="25">
        <v>-1</v>
      </c>
    </row>
    <row r="33" spans="1:3" x14ac:dyDescent="0.3">
      <c r="A33" s="26">
        <v>45966</v>
      </c>
      <c r="B33" s="73" t="s">
        <v>1</v>
      </c>
      <c r="C33" s="24">
        <v>404.04</v>
      </c>
    </row>
    <row r="34" spans="1:3" x14ac:dyDescent="0.3">
      <c r="A34" s="26">
        <v>46020</v>
      </c>
      <c r="B34" s="27" t="s">
        <v>4</v>
      </c>
      <c r="C34" s="24">
        <v>-479.89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6E34-7618-4027-9F85-C01CEB0842D8}">
  <dimension ref="A1:H55"/>
  <sheetViews>
    <sheetView view="pageBreakPreview" topLeftCell="A13" zoomScaleNormal="100" zoomScaleSheetLayoutView="100" workbookViewId="0">
      <selection activeCell="C42" sqref="C4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474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173.42999999999998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45938</v>
      </c>
      <c r="B5" s="72" t="s">
        <v>21</v>
      </c>
      <c r="C5" s="24">
        <v>52.2</v>
      </c>
      <c r="D5" s="30"/>
      <c r="E5" s="30"/>
      <c r="F5" s="30"/>
      <c r="G5" s="22"/>
    </row>
    <row r="6" spans="1:8" x14ac:dyDescent="0.3">
      <c r="A6" s="21">
        <v>45938</v>
      </c>
      <c r="B6" s="73" t="s">
        <v>1</v>
      </c>
      <c r="C6" s="24">
        <v>38.28</v>
      </c>
    </row>
    <row r="7" spans="1:8" x14ac:dyDescent="0.3">
      <c r="A7" s="21">
        <v>45945</v>
      </c>
      <c r="B7" s="27" t="s">
        <v>4</v>
      </c>
      <c r="C7" s="24">
        <v>-90.48</v>
      </c>
    </row>
    <row r="8" spans="1:8" x14ac:dyDescent="0.3">
      <c r="A8" s="21">
        <v>45946</v>
      </c>
      <c r="B8" s="27" t="s">
        <v>4</v>
      </c>
      <c r="C8" s="24">
        <v>-130.34</v>
      </c>
    </row>
    <row r="9" spans="1:8" x14ac:dyDescent="0.3">
      <c r="A9" s="21">
        <v>45945</v>
      </c>
      <c r="B9" s="73" t="s">
        <v>1</v>
      </c>
      <c r="C9" s="24">
        <v>131.88</v>
      </c>
    </row>
    <row r="10" spans="1:8" x14ac:dyDescent="0.3">
      <c r="A10" s="26">
        <v>45952</v>
      </c>
      <c r="B10" s="27" t="s">
        <v>4</v>
      </c>
      <c r="C10" s="24">
        <v>-342.46</v>
      </c>
    </row>
    <row r="11" spans="1:8" x14ac:dyDescent="0.3">
      <c r="A11" s="26">
        <v>45952</v>
      </c>
      <c r="B11" s="72" t="s">
        <v>1</v>
      </c>
      <c r="C11" s="24">
        <v>15.6</v>
      </c>
    </row>
    <row r="12" spans="1:8" x14ac:dyDescent="0.3">
      <c r="A12" s="26">
        <v>45952</v>
      </c>
      <c r="B12" s="73" t="s">
        <v>1</v>
      </c>
      <c r="C12" s="24">
        <v>326.32</v>
      </c>
    </row>
    <row r="13" spans="1:8" x14ac:dyDescent="0.3">
      <c r="A13" s="26">
        <v>45959</v>
      </c>
      <c r="B13" s="27" t="s">
        <v>4</v>
      </c>
      <c r="C13" s="24">
        <v>-102.48</v>
      </c>
    </row>
    <row r="14" spans="1:8" x14ac:dyDescent="0.3">
      <c r="A14" s="26">
        <v>45959</v>
      </c>
      <c r="B14" s="72" t="s">
        <v>1</v>
      </c>
      <c r="C14" s="24">
        <v>15</v>
      </c>
    </row>
    <row r="15" spans="1:8" x14ac:dyDescent="0.3">
      <c r="A15" s="26">
        <v>45959</v>
      </c>
      <c r="B15" s="73" t="s">
        <v>1</v>
      </c>
      <c r="C15" s="24">
        <v>87.48</v>
      </c>
    </row>
    <row r="16" spans="1:8" x14ac:dyDescent="0.3">
      <c r="A16" s="26">
        <v>45967</v>
      </c>
      <c r="B16" s="27" t="s">
        <v>4</v>
      </c>
      <c r="C16" s="24">
        <v>-48.34</v>
      </c>
    </row>
    <row r="17" spans="1:3" x14ac:dyDescent="0.3">
      <c r="A17" s="26">
        <v>45966</v>
      </c>
      <c r="B17" s="73" t="s">
        <v>1</v>
      </c>
      <c r="C17" s="24">
        <v>151.19999999999999</v>
      </c>
    </row>
    <row r="18" spans="1:3" x14ac:dyDescent="0.3">
      <c r="A18" s="26">
        <v>45975</v>
      </c>
      <c r="B18" s="27" t="s">
        <v>1</v>
      </c>
      <c r="C18" s="24">
        <v>-51.09</v>
      </c>
    </row>
    <row r="19" spans="1:3" x14ac:dyDescent="0.3">
      <c r="A19" s="26">
        <v>45980</v>
      </c>
      <c r="B19" s="27" t="s">
        <v>4</v>
      </c>
      <c r="C19" s="24">
        <v>-50.89</v>
      </c>
    </row>
    <row r="20" spans="1:3" x14ac:dyDescent="0.3">
      <c r="A20" s="26">
        <v>45980</v>
      </c>
      <c r="B20" s="27" t="s">
        <v>1</v>
      </c>
      <c r="C20" s="24">
        <v>220.64</v>
      </c>
    </row>
    <row r="21" spans="1:3" x14ac:dyDescent="0.3">
      <c r="A21" s="26">
        <v>45982</v>
      </c>
      <c r="B21" s="27" t="s">
        <v>4</v>
      </c>
      <c r="C21" s="24">
        <v>-65.400000000000006</v>
      </c>
    </row>
    <row r="22" spans="1:3" x14ac:dyDescent="0.3">
      <c r="A22" s="26">
        <v>45993</v>
      </c>
      <c r="B22" s="27" t="s">
        <v>4</v>
      </c>
      <c r="C22" s="24">
        <v>-63.46</v>
      </c>
    </row>
    <row r="23" spans="1:3" x14ac:dyDescent="0.3">
      <c r="A23" s="26">
        <v>46001</v>
      </c>
      <c r="B23" s="27" t="s">
        <v>4</v>
      </c>
      <c r="C23" s="24">
        <v>-91.79</v>
      </c>
    </row>
    <row r="24" spans="1:3" x14ac:dyDescent="0.3">
      <c r="A24" s="26">
        <v>46001</v>
      </c>
      <c r="B24" s="27" t="s">
        <v>1</v>
      </c>
      <c r="C24" s="24">
        <v>200.32</v>
      </c>
    </row>
    <row r="25" spans="1:3" x14ac:dyDescent="0.3">
      <c r="A25" s="26">
        <v>46004</v>
      </c>
      <c r="B25" s="27" t="s">
        <v>4</v>
      </c>
      <c r="C25" s="24">
        <v>-36.93</v>
      </c>
    </row>
    <row r="26" spans="1:3" x14ac:dyDescent="0.3">
      <c r="A26" s="26">
        <v>46007</v>
      </c>
      <c r="B26" s="27" t="s">
        <v>4</v>
      </c>
      <c r="C26" s="24">
        <v>-106.73</v>
      </c>
    </row>
    <row r="27" spans="1:3" x14ac:dyDescent="0.3">
      <c r="A27" s="26">
        <v>46008</v>
      </c>
      <c r="B27" s="27" t="s">
        <v>1</v>
      </c>
      <c r="C27" s="24">
        <v>159.19999999999999</v>
      </c>
    </row>
    <row r="28" spans="1:3" x14ac:dyDescent="0.3">
      <c r="A28" s="26">
        <v>46009</v>
      </c>
      <c r="B28" s="27" t="s">
        <v>4</v>
      </c>
      <c r="C28" s="24">
        <v>-57.91</v>
      </c>
    </row>
    <row r="29" spans="1:3" x14ac:dyDescent="0.3">
      <c r="A29" s="26">
        <v>46014</v>
      </c>
      <c r="B29" s="27" t="s">
        <v>4</v>
      </c>
      <c r="C29" s="24">
        <v>-84.94</v>
      </c>
    </row>
    <row r="30" spans="1:3" x14ac:dyDescent="0.3">
      <c r="A30" s="26">
        <v>46017</v>
      </c>
      <c r="B30" s="27" t="s">
        <v>4</v>
      </c>
      <c r="C30" s="24">
        <v>-74.260000000000005</v>
      </c>
    </row>
    <row r="31" spans="1:3" x14ac:dyDescent="0.3">
      <c r="A31" s="26">
        <v>46017</v>
      </c>
      <c r="B31" s="27" t="s">
        <v>1</v>
      </c>
      <c r="C31" s="24">
        <v>188.6</v>
      </c>
    </row>
    <row r="32" spans="1:3" x14ac:dyDescent="0.3">
      <c r="A32" s="26">
        <v>46027</v>
      </c>
      <c r="B32" s="27" t="s">
        <v>4</v>
      </c>
      <c r="C32" s="24">
        <v>-100.11</v>
      </c>
    </row>
    <row r="33" spans="1:3" x14ac:dyDescent="0.3">
      <c r="A33" s="26">
        <v>46029</v>
      </c>
      <c r="B33" s="27" t="s">
        <v>4</v>
      </c>
      <c r="C33" s="24">
        <v>-88.5</v>
      </c>
    </row>
    <row r="34" spans="1:3" x14ac:dyDescent="0.3">
      <c r="A34" s="26">
        <v>46029</v>
      </c>
      <c r="B34" s="27" t="s">
        <v>1</v>
      </c>
      <c r="C34" s="24">
        <v>441.06</v>
      </c>
    </row>
    <row r="35" spans="1:3" x14ac:dyDescent="0.3">
      <c r="A35" s="26">
        <v>46030</v>
      </c>
      <c r="B35" s="27" t="s">
        <v>4</v>
      </c>
      <c r="C35" s="24">
        <v>-230.51</v>
      </c>
    </row>
    <row r="36" spans="1:3" x14ac:dyDescent="0.3">
      <c r="A36" s="26">
        <v>46035</v>
      </c>
      <c r="B36" s="27" t="s">
        <v>4</v>
      </c>
      <c r="C36" s="24">
        <v>-71.34</v>
      </c>
    </row>
    <row r="37" spans="1:3" x14ac:dyDescent="0.3">
      <c r="A37" s="26">
        <v>46036</v>
      </c>
      <c r="B37" s="27" t="s">
        <v>4</v>
      </c>
      <c r="C37" s="24">
        <v>-141.37</v>
      </c>
    </row>
    <row r="38" spans="1:3" x14ac:dyDescent="0.3">
      <c r="A38" s="26">
        <v>46036</v>
      </c>
      <c r="B38" s="27" t="s">
        <v>1</v>
      </c>
      <c r="C38" s="24">
        <v>132.52000000000001</v>
      </c>
    </row>
    <row r="39" spans="1:3" x14ac:dyDescent="0.3">
      <c r="A39" s="26">
        <v>46044</v>
      </c>
      <c r="B39" s="27" t="s">
        <v>4</v>
      </c>
      <c r="C39" s="24">
        <v>-42.87</v>
      </c>
    </row>
    <row r="40" spans="1:3" x14ac:dyDescent="0.3">
      <c r="A40" s="26">
        <v>46045</v>
      </c>
      <c r="B40" s="27" t="s">
        <v>4</v>
      </c>
      <c r="C40" s="24">
        <v>-89.66</v>
      </c>
    </row>
    <row r="41" spans="1:3" x14ac:dyDescent="0.3">
      <c r="A41" s="26">
        <v>46050</v>
      </c>
      <c r="B41" s="27" t="s">
        <v>1</v>
      </c>
      <c r="C41" s="24">
        <v>174.99</v>
      </c>
    </row>
    <row r="44" spans="1:3" x14ac:dyDescent="0.3">
      <c r="B44" s="72"/>
    </row>
    <row r="45" spans="1:3" x14ac:dyDescent="0.3">
      <c r="B45" s="73"/>
    </row>
    <row r="48" spans="1:3" x14ac:dyDescent="0.3">
      <c r="B48" s="72"/>
    </row>
    <row r="49" spans="2:2" x14ac:dyDescent="0.3">
      <c r="B49" s="73"/>
    </row>
    <row r="52" spans="2:2" x14ac:dyDescent="0.3">
      <c r="B52" s="72"/>
    </row>
    <row r="53" spans="2:2" x14ac:dyDescent="0.3">
      <c r="B53" s="72"/>
    </row>
    <row r="54" spans="2:2" x14ac:dyDescent="0.3">
      <c r="B54" s="73"/>
    </row>
    <row r="55" spans="2:2" x14ac:dyDescent="0.3">
      <c r="B55" s="74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2EE2-91A0-4F95-B807-EDB71A2D1B68}">
  <dimension ref="A1:H86"/>
  <sheetViews>
    <sheetView view="pageBreakPreview" zoomScale="80" zoomScaleNormal="100" zoomScaleSheetLayoutView="80" workbookViewId="0">
      <selection sqref="A1:G1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420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7.230000000000004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45897</v>
      </c>
      <c r="B5" s="27" t="s">
        <v>21</v>
      </c>
      <c r="C5" s="24">
        <v>83.2</v>
      </c>
      <c r="D5" s="30">
        <v>4</v>
      </c>
      <c r="E5" s="30"/>
      <c r="F5" s="30"/>
      <c r="G5" s="22"/>
    </row>
    <row r="6" spans="1:8" x14ac:dyDescent="0.3">
      <c r="A6" s="21">
        <v>45902</v>
      </c>
      <c r="B6" s="27" t="s">
        <v>7</v>
      </c>
      <c r="C6" s="24">
        <v>-83.2</v>
      </c>
    </row>
    <row r="7" spans="1:8" x14ac:dyDescent="0.3">
      <c r="A7" s="21">
        <v>45902</v>
      </c>
      <c r="B7" s="27" t="s">
        <v>1</v>
      </c>
      <c r="C7" s="24">
        <v>104</v>
      </c>
      <c r="D7" s="25">
        <f>-4+5</f>
        <v>1</v>
      </c>
    </row>
    <row r="8" spans="1:8" x14ac:dyDescent="0.3">
      <c r="A8" s="26">
        <v>45916</v>
      </c>
      <c r="B8" s="27" t="s">
        <v>7</v>
      </c>
      <c r="C8" s="24">
        <v>-96.77</v>
      </c>
    </row>
    <row r="9" spans="1:8" x14ac:dyDescent="0.3">
      <c r="A9" s="26">
        <v>45961</v>
      </c>
      <c r="B9" s="27" t="s">
        <v>22</v>
      </c>
      <c r="D9" s="25">
        <v>-5</v>
      </c>
    </row>
    <row r="10" spans="1:8" x14ac:dyDescent="0.3">
      <c r="B10" s="34"/>
    </row>
    <row r="13" spans="1:8" x14ac:dyDescent="0.3">
      <c r="B13" s="34"/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35EE1-6EDB-4910-848C-C4E8495318F5}">
  <sheetPr codeName="Hoja97"/>
  <dimension ref="A1:J85"/>
  <sheetViews>
    <sheetView view="pageBreakPreview" zoomScale="80" zoomScaleNormal="100" zoomScaleSheetLayoutView="80" workbookViewId="0">
      <selection activeCell="C86" sqref="C8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30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0.5999999999999801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45812</v>
      </c>
      <c r="B5" s="32" t="s">
        <v>21</v>
      </c>
      <c r="C5" s="24">
        <v>9.84</v>
      </c>
      <c r="D5" s="30"/>
      <c r="E5" s="30"/>
      <c r="F5" s="30"/>
      <c r="G5" s="22"/>
    </row>
    <row r="6" spans="1:9" hidden="1" x14ac:dyDescent="0.3">
      <c r="A6" s="21">
        <v>45812</v>
      </c>
      <c r="B6" s="34" t="s">
        <v>21</v>
      </c>
      <c r="C6" s="24">
        <v>136.47999999999999</v>
      </c>
    </row>
    <row r="7" spans="1:9" hidden="1" x14ac:dyDescent="0.3">
      <c r="A7" s="26">
        <v>45820</v>
      </c>
      <c r="B7" s="27" t="s">
        <v>4</v>
      </c>
      <c r="C7" s="24">
        <v>-146.32</v>
      </c>
    </row>
    <row r="8" spans="1:9" hidden="1" x14ac:dyDescent="0.3">
      <c r="A8" s="26">
        <v>45820</v>
      </c>
      <c r="B8" s="32" t="s">
        <v>21</v>
      </c>
      <c r="C8" s="24">
        <v>28.98</v>
      </c>
    </row>
    <row r="9" spans="1:9" hidden="1" x14ac:dyDescent="0.3">
      <c r="A9" s="26">
        <v>45827</v>
      </c>
      <c r="B9" s="27" t="s">
        <v>4</v>
      </c>
      <c r="C9" s="24">
        <v>-28.98</v>
      </c>
      <c r="I9" s="25"/>
    </row>
    <row r="10" spans="1:9" hidden="1" x14ac:dyDescent="0.3">
      <c r="A10" s="26">
        <v>45827</v>
      </c>
      <c r="B10" s="32" t="s">
        <v>21</v>
      </c>
      <c r="C10" s="24">
        <v>20.8</v>
      </c>
    </row>
    <row r="11" spans="1:9" hidden="1" x14ac:dyDescent="0.3">
      <c r="A11" s="26">
        <v>45827</v>
      </c>
      <c r="B11" s="32" t="s">
        <v>21</v>
      </c>
      <c r="C11" s="24">
        <v>17.54</v>
      </c>
    </row>
    <row r="12" spans="1:9" hidden="1" x14ac:dyDescent="0.3">
      <c r="A12" s="26">
        <v>45827</v>
      </c>
      <c r="B12" s="34" t="s">
        <v>21</v>
      </c>
      <c r="C12" s="24">
        <v>137.43</v>
      </c>
    </row>
    <row r="13" spans="1:9" hidden="1" x14ac:dyDescent="0.3">
      <c r="A13" s="26">
        <v>45834</v>
      </c>
      <c r="B13" s="27" t="s">
        <v>4</v>
      </c>
      <c r="C13" s="24">
        <v>-175.77</v>
      </c>
    </row>
    <row r="14" spans="1:9" hidden="1" x14ac:dyDescent="0.3">
      <c r="A14" s="26">
        <v>45834</v>
      </c>
      <c r="B14" s="32" t="s">
        <v>21</v>
      </c>
      <c r="C14" s="24">
        <v>23.35</v>
      </c>
    </row>
    <row r="15" spans="1:9" hidden="1" x14ac:dyDescent="0.3">
      <c r="A15" s="26">
        <v>45834</v>
      </c>
      <c r="B15" s="34" t="s">
        <v>21</v>
      </c>
      <c r="C15" s="24">
        <v>113.02</v>
      </c>
    </row>
    <row r="16" spans="1:9" hidden="1" x14ac:dyDescent="0.3">
      <c r="A16" s="26">
        <v>45842</v>
      </c>
      <c r="B16" s="32" t="s">
        <v>21</v>
      </c>
      <c r="C16" s="24">
        <v>7.5</v>
      </c>
    </row>
    <row r="17" spans="1:10" hidden="1" x14ac:dyDescent="0.3">
      <c r="A17" s="26">
        <v>45842</v>
      </c>
      <c r="B17" s="34" t="s">
        <v>21</v>
      </c>
      <c r="C17" s="24">
        <v>40.520000000000003</v>
      </c>
    </row>
    <row r="18" spans="1:10" hidden="1" x14ac:dyDescent="0.3">
      <c r="A18" s="26">
        <v>45845</v>
      </c>
      <c r="B18" s="27" t="s">
        <v>4</v>
      </c>
      <c r="C18" s="24">
        <v>-136.37</v>
      </c>
    </row>
    <row r="19" spans="1:10" hidden="1" x14ac:dyDescent="0.3">
      <c r="A19" s="26">
        <v>45849</v>
      </c>
      <c r="B19" s="27" t="s">
        <v>4</v>
      </c>
      <c r="C19" s="91">
        <v>-48.02</v>
      </c>
      <c r="I19" s="18">
        <v>47.02</v>
      </c>
    </row>
    <row r="20" spans="1:10" hidden="1" x14ac:dyDescent="0.3">
      <c r="A20" s="26">
        <v>45849</v>
      </c>
      <c r="B20" s="27" t="s">
        <v>1</v>
      </c>
      <c r="C20" s="24">
        <v>20.8</v>
      </c>
    </row>
    <row r="21" spans="1:10" hidden="1" x14ac:dyDescent="0.3">
      <c r="A21" s="26">
        <v>45849</v>
      </c>
      <c r="B21" s="32" t="s">
        <v>21</v>
      </c>
      <c r="C21" s="24">
        <v>15.85</v>
      </c>
    </row>
    <row r="22" spans="1:10" hidden="1" x14ac:dyDescent="0.3">
      <c r="A22" s="26">
        <v>45849</v>
      </c>
      <c r="B22" s="34" t="s">
        <v>21</v>
      </c>
      <c r="C22" s="24">
        <v>101.75</v>
      </c>
    </row>
    <row r="23" spans="1:10" hidden="1" x14ac:dyDescent="0.3">
      <c r="A23" s="26">
        <v>45859</v>
      </c>
      <c r="B23" s="27" t="s">
        <v>4</v>
      </c>
      <c r="C23" s="24">
        <v>-137.41</v>
      </c>
      <c r="J23" s="18">
        <v>0.99</v>
      </c>
    </row>
    <row r="24" spans="1:10" hidden="1" x14ac:dyDescent="0.3">
      <c r="A24" s="26">
        <v>45856</v>
      </c>
      <c r="B24" s="32" t="s">
        <v>21</v>
      </c>
      <c r="C24" s="24">
        <v>24.84</v>
      </c>
    </row>
    <row r="25" spans="1:10" hidden="1" x14ac:dyDescent="0.3">
      <c r="A25" s="26">
        <v>45856</v>
      </c>
      <c r="B25" s="34" t="s">
        <v>21</v>
      </c>
      <c r="C25" s="24">
        <v>72.5</v>
      </c>
    </row>
    <row r="26" spans="1:10" hidden="1" x14ac:dyDescent="0.3">
      <c r="A26" s="26">
        <v>45864</v>
      </c>
      <c r="B26" s="27" t="s">
        <v>4</v>
      </c>
      <c r="C26" s="24">
        <v>-96.69</v>
      </c>
      <c r="J26" s="18">
        <v>0.65</v>
      </c>
    </row>
    <row r="27" spans="1:10" hidden="1" x14ac:dyDescent="0.3">
      <c r="A27" s="26">
        <v>45863</v>
      </c>
      <c r="B27" s="34" t="s">
        <v>21</v>
      </c>
      <c r="C27" s="24">
        <v>131.6</v>
      </c>
    </row>
    <row r="28" spans="1:10" hidden="1" x14ac:dyDescent="0.3">
      <c r="A28" s="26">
        <v>45870</v>
      </c>
      <c r="B28" s="27" t="s">
        <v>4</v>
      </c>
      <c r="C28" s="24">
        <v>-131.6</v>
      </c>
    </row>
    <row r="29" spans="1:10" hidden="1" x14ac:dyDescent="0.3">
      <c r="A29" s="26">
        <v>45870</v>
      </c>
      <c r="B29" s="27" t="s">
        <v>1</v>
      </c>
      <c r="C29" s="24">
        <v>20.8</v>
      </c>
    </row>
    <row r="30" spans="1:10" hidden="1" x14ac:dyDescent="0.3">
      <c r="A30" s="26">
        <v>45870</v>
      </c>
      <c r="B30" s="32" t="s">
        <v>21</v>
      </c>
      <c r="C30" s="24">
        <v>15.85</v>
      </c>
    </row>
    <row r="31" spans="1:10" hidden="1" x14ac:dyDescent="0.3">
      <c r="A31" s="26">
        <v>45870</v>
      </c>
      <c r="B31" s="34" t="s">
        <v>21</v>
      </c>
      <c r="C31" s="24">
        <v>98.2</v>
      </c>
    </row>
    <row r="32" spans="1:10" hidden="1" x14ac:dyDescent="0.3">
      <c r="A32" s="26">
        <v>45877</v>
      </c>
      <c r="B32" s="27" t="s">
        <v>1</v>
      </c>
      <c r="C32" s="24">
        <v>20.8</v>
      </c>
    </row>
    <row r="33" spans="1:10" hidden="1" x14ac:dyDescent="0.3">
      <c r="A33" s="26">
        <v>45877</v>
      </c>
      <c r="B33" s="32" t="s">
        <v>21</v>
      </c>
      <c r="C33" s="24">
        <v>15</v>
      </c>
    </row>
    <row r="34" spans="1:10" hidden="1" x14ac:dyDescent="0.3">
      <c r="A34" s="26">
        <v>45877</v>
      </c>
      <c r="B34" s="34" t="s">
        <v>21</v>
      </c>
      <c r="C34" s="24">
        <v>102.21</v>
      </c>
    </row>
    <row r="35" spans="1:10" hidden="1" x14ac:dyDescent="0.3">
      <c r="A35" s="26">
        <v>45884</v>
      </c>
      <c r="B35" s="27" t="s">
        <v>4</v>
      </c>
      <c r="C35" s="24">
        <v>-133.62</v>
      </c>
    </row>
    <row r="36" spans="1:10" hidden="1" x14ac:dyDescent="0.3">
      <c r="A36" s="26">
        <v>45887</v>
      </c>
      <c r="B36" s="27" t="s">
        <v>4</v>
      </c>
      <c r="C36" s="24">
        <v>-136.75</v>
      </c>
      <c r="J36" s="18">
        <v>2.4900000000000002</v>
      </c>
    </row>
    <row r="37" spans="1:10" hidden="1" x14ac:dyDescent="0.3">
      <c r="A37" s="26">
        <v>45891</v>
      </c>
      <c r="B37" s="27" t="s">
        <v>1</v>
      </c>
      <c r="C37" s="24">
        <v>20.8</v>
      </c>
    </row>
    <row r="38" spans="1:10" hidden="1" x14ac:dyDescent="0.3">
      <c r="A38" s="26">
        <v>45891</v>
      </c>
      <c r="B38" s="32" t="s">
        <v>21</v>
      </c>
      <c r="C38" s="24">
        <v>33.19</v>
      </c>
    </row>
    <row r="39" spans="1:10" hidden="1" x14ac:dyDescent="0.3">
      <c r="A39" s="26">
        <v>45891</v>
      </c>
      <c r="B39" s="34" t="s">
        <v>21</v>
      </c>
      <c r="C39" s="24">
        <v>117.15</v>
      </c>
    </row>
    <row r="40" spans="1:10" hidden="1" x14ac:dyDescent="0.3">
      <c r="A40" s="26">
        <v>45900</v>
      </c>
      <c r="B40" s="27" t="s">
        <v>4</v>
      </c>
      <c r="C40" s="24">
        <v>-169.57</v>
      </c>
      <c r="J40" s="18">
        <v>1.57</v>
      </c>
    </row>
    <row r="41" spans="1:10" hidden="1" x14ac:dyDescent="0.3">
      <c r="A41" s="26">
        <v>45899</v>
      </c>
      <c r="B41" s="27" t="s">
        <v>1</v>
      </c>
      <c r="C41" s="24">
        <v>20.8</v>
      </c>
    </row>
    <row r="42" spans="1:10" hidden="1" x14ac:dyDescent="0.3">
      <c r="A42" s="26">
        <v>45899</v>
      </c>
      <c r="B42" s="32" t="s">
        <v>21</v>
      </c>
      <c r="C42" s="24">
        <v>15.85</v>
      </c>
    </row>
    <row r="43" spans="1:10" hidden="1" x14ac:dyDescent="0.3">
      <c r="A43" s="26">
        <v>45899</v>
      </c>
      <c r="B43" s="34" t="s">
        <v>21</v>
      </c>
      <c r="C43" s="24">
        <v>96</v>
      </c>
    </row>
    <row r="44" spans="1:10" hidden="1" x14ac:dyDescent="0.3">
      <c r="A44" s="26">
        <v>45905</v>
      </c>
      <c r="B44" s="27" t="s">
        <v>4</v>
      </c>
      <c r="C44" s="24">
        <v>-131.72999999999999</v>
      </c>
      <c r="J44" s="18">
        <v>0.92</v>
      </c>
    </row>
    <row r="45" spans="1:10" hidden="1" x14ac:dyDescent="0.3">
      <c r="A45" s="26">
        <v>45905</v>
      </c>
      <c r="B45" s="34" t="s">
        <v>21</v>
      </c>
      <c r="C45" s="24">
        <v>53.46</v>
      </c>
    </row>
    <row r="46" spans="1:10" hidden="1" x14ac:dyDescent="0.3">
      <c r="A46" s="26">
        <v>45911</v>
      </c>
      <c r="B46" s="27" t="s">
        <v>4</v>
      </c>
      <c r="C46" s="24">
        <v>-60.08</v>
      </c>
    </row>
    <row r="47" spans="1:10" hidden="1" x14ac:dyDescent="0.3">
      <c r="A47" s="26">
        <v>45911</v>
      </c>
      <c r="B47" s="32" t="s">
        <v>21</v>
      </c>
      <c r="C47" s="24">
        <v>15</v>
      </c>
    </row>
    <row r="48" spans="1:10" hidden="1" x14ac:dyDescent="0.3">
      <c r="A48" s="26">
        <v>45912</v>
      </c>
      <c r="B48" s="34" t="s">
        <v>21</v>
      </c>
      <c r="C48" s="24">
        <v>104.4</v>
      </c>
    </row>
    <row r="49" spans="1:3" hidden="1" x14ac:dyDescent="0.3">
      <c r="A49" s="26">
        <v>45919</v>
      </c>
      <c r="B49" s="27" t="s">
        <v>4</v>
      </c>
      <c r="C49" s="24">
        <v>-119.4</v>
      </c>
    </row>
    <row r="50" spans="1:3" hidden="1" x14ac:dyDescent="0.3">
      <c r="A50" s="26">
        <v>45919</v>
      </c>
      <c r="B50" s="32" t="s">
        <v>21</v>
      </c>
      <c r="C50" s="24">
        <v>25.69</v>
      </c>
    </row>
    <row r="51" spans="1:3" hidden="1" x14ac:dyDescent="0.3">
      <c r="A51" s="26">
        <v>45919</v>
      </c>
      <c r="B51" s="34" t="s">
        <v>21</v>
      </c>
      <c r="C51" s="24">
        <v>34.799999999999997</v>
      </c>
    </row>
    <row r="52" spans="1:3" hidden="1" x14ac:dyDescent="0.3">
      <c r="A52" s="26">
        <v>45919</v>
      </c>
      <c r="B52" s="45" t="s">
        <v>1</v>
      </c>
      <c r="C52" s="24">
        <v>10.38</v>
      </c>
    </row>
    <row r="53" spans="1:3" hidden="1" x14ac:dyDescent="0.3">
      <c r="A53" s="26">
        <v>45926</v>
      </c>
      <c r="B53" s="27" t="s">
        <v>1</v>
      </c>
      <c r="C53" s="24">
        <v>20.8</v>
      </c>
    </row>
    <row r="54" spans="1:3" hidden="1" x14ac:dyDescent="0.3">
      <c r="A54" s="26">
        <v>45926</v>
      </c>
      <c r="B54" s="34" t="s">
        <v>21</v>
      </c>
      <c r="C54" s="24">
        <v>84.32</v>
      </c>
    </row>
    <row r="55" spans="1:3" hidden="1" x14ac:dyDescent="0.3">
      <c r="A55" s="26">
        <v>45926</v>
      </c>
      <c r="B55" s="45" t="s">
        <v>1</v>
      </c>
      <c r="C55" s="24">
        <v>3.54</v>
      </c>
    </row>
    <row r="56" spans="1:3" hidden="1" x14ac:dyDescent="0.3">
      <c r="A56" s="26">
        <v>45929</v>
      </c>
      <c r="B56" s="27" t="s">
        <v>4</v>
      </c>
      <c r="C56" s="24">
        <v>-70.87</v>
      </c>
    </row>
    <row r="57" spans="1:3" hidden="1" x14ac:dyDescent="0.3">
      <c r="A57" s="26">
        <v>45933</v>
      </c>
      <c r="B57" s="27" t="s">
        <v>1</v>
      </c>
      <c r="C57" s="24">
        <v>20.8</v>
      </c>
    </row>
    <row r="58" spans="1:3" hidden="1" x14ac:dyDescent="0.3">
      <c r="A58" s="26">
        <v>45933</v>
      </c>
      <c r="B58" s="32" t="s">
        <v>21</v>
      </c>
      <c r="C58" s="24">
        <v>9.84</v>
      </c>
    </row>
    <row r="59" spans="1:3" hidden="1" x14ac:dyDescent="0.3">
      <c r="A59" s="26">
        <v>45933</v>
      </c>
      <c r="B59" s="34" t="s">
        <v>21</v>
      </c>
      <c r="C59" s="24">
        <v>109.22</v>
      </c>
    </row>
    <row r="60" spans="1:3" hidden="1" x14ac:dyDescent="0.3">
      <c r="A60" s="26">
        <v>45936</v>
      </c>
      <c r="B60" s="27" t="s">
        <v>4</v>
      </c>
      <c r="C60" s="24">
        <v>-119.45</v>
      </c>
    </row>
    <row r="61" spans="1:3" hidden="1" x14ac:dyDescent="0.3">
      <c r="A61" s="26">
        <v>45940</v>
      </c>
      <c r="B61" s="27" t="s">
        <v>1</v>
      </c>
      <c r="C61" s="24">
        <v>23</v>
      </c>
    </row>
    <row r="62" spans="1:3" hidden="1" x14ac:dyDescent="0.3">
      <c r="A62" s="26">
        <v>45940</v>
      </c>
      <c r="B62" s="32" t="s">
        <v>21</v>
      </c>
      <c r="C62" s="24">
        <v>31.38</v>
      </c>
    </row>
    <row r="63" spans="1:3" hidden="1" x14ac:dyDescent="0.3">
      <c r="A63" s="26">
        <v>45940</v>
      </c>
      <c r="B63" s="34" t="s">
        <v>21</v>
      </c>
      <c r="C63" s="24">
        <v>43.16</v>
      </c>
    </row>
    <row r="64" spans="1:3" hidden="1" x14ac:dyDescent="0.3">
      <c r="A64" s="26">
        <v>45940</v>
      </c>
      <c r="B64" s="45" t="s">
        <v>1</v>
      </c>
      <c r="C64" s="24">
        <v>4.5</v>
      </c>
    </row>
    <row r="65" spans="1:3" hidden="1" x14ac:dyDescent="0.3">
      <c r="A65" s="26">
        <v>45947</v>
      </c>
      <c r="B65" s="27" t="s">
        <v>4</v>
      </c>
      <c r="C65" s="24">
        <v>-139.86000000000001</v>
      </c>
    </row>
    <row r="66" spans="1:3" hidden="1" x14ac:dyDescent="0.3">
      <c r="A66" s="26">
        <v>45947</v>
      </c>
      <c r="B66" s="32" t="s">
        <v>21</v>
      </c>
      <c r="C66" s="24">
        <v>16.38</v>
      </c>
    </row>
    <row r="67" spans="1:3" hidden="1" x14ac:dyDescent="0.3">
      <c r="A67" s="26">
        <v>45947</v>
      </c>
      <c r="B67" s="34" t="s">
        <v>21</v>
      </c>
      <c r="C67" s="24">
        <v>84.15</v>
      </c>
    </row>
    <row r="68" spans="1:3" hidden="1" x14ac:dyDescent="0.3">
      <c r="A68" s="26">
        <v>45950</v>
      </c>
      <c r="B68" s="27" t="s">
        <v>4</v>
      </c>
      <c r="C68" s="24">
        <v>-90.39</v>
      </c>
    </row>
    <row r="69" spans="1:3" hidden="1" x14ac:dyDescent="0.3">
      <c r="A69" s="26">
        <v>45954</v>
      </c>
      <c r="B69" s="27" t="s">
        <v>4</v>
      </c>
      <c r="C69" s="24">
        <v>-101.39</v>
      </c>
    </row>
    <row r="70" spans="1:3" hidden="1" x14ac:dyDescent="0.3">
      <c r="A70" s="26">
        <v>45954</v>
      </c>
      <c r="B70" s="32" t="s">
        <v>21</v>
      </c>
      <c r="C70" s="24">
        <v>24.84</v>
      </c>
    </row>
    <row r="71" spans="1:3" hidden="1" x14ac:dyDescent="0.3">
      <c r="A71" s="26">
        <v>45954</v>
      </c>
      <c r="B71" s="34" t="s">
        <v>21</v>
      </c>
      <c r="C71" s="24">
        <v>110.69</v>
      </c>
    </row>
    <row r="72" spans="1:3" hidden="1" x14ac:dyDescent="0.3">
      <c r="A72" s="26">
        <v>45961</v>
      </c>
      <c r="B72" s="32" t="s">
        <v>21</v>
      </c>
      <c r="C72" s="24">
        <v>15.3</v>
      </c>
    </row>
    <row r="73" spans="1:3" hidden="1" x14ac:dyDescent="0.3">
      <c r="A73" s="26">
        <v>45961</v>
      </c>
      <c r="B73" s="34" t="s">
        <v>21</v>
      </c>
      <c r="C73" s="24">
        <v>66.239999999999995</v>
      </c>
    </row>
    <row r="74" spans="1:3" hidden="1" x14ac:dyDescent="0.3">
      <c r="A74" s="26">
        <v>45961</v>
      </c>
      <c r="B74" s="45" t="s">
        <v>1</v>
      </c>
      <c r="C74" s="24">
        <v>3.54</v>
      </c>
    </row>
    <row r="75" spans="1:3" hidden="1" x14ac:dyDescent="0.3">
      <c r="A75" s="26">
        <v>45968</v>
      </c>
      <c r="B75" s="27" t="s">
        <v>1</v>
      </c>
      <c r="C75" s="24">
        <v>23</v>
      </c>
    </row>
    <row r="76" spans="1:3" hidden="1" x14ac:dyDescent="0.3">
      <c r="A76" s="26">
        <v>45968</v>
      </c>
      <c r="B76" s="32" t="s">
        <v>21</v>
      </c>
      <c r="C76" s="24">
        <v>15.3</v>
      </c>
    </row>
    <row r="77" spans="1:3" hidden="1" x14ac:dyDescent="0.3">
      <c r="A77" s="26">
        <v>45968</v>
      </c>
      <c r="B77" s="34" t="s">
        <v>21</v>
      </c>
      <c r="C77" s="24">
        <v>93.13</v>
      </c>
    </row>
    <row r="78" spans="1:3" hidden="1" x14ac:dyDescent="0.3">
      <c r="A78" s="26">
        <v>45968</v>
      </c>
      <c r="B78" s="45" t="s">
        <v>1</v>
      </c>
      <c r="C78" s="24">
        <v>3.54</v>
      </c>
    </row>
    <row r="79" spans="1:3" hidden="1" x14ac:dyDescent="0.3">
      <c r="A79" s="26">
        <v>45971</v>
      </c>
      <c r="B79" s="27" t="s">
        <v>4</v>
      </c>
      <c r="C79" s="24">
        <v>-135.53</v>
      </c>
    </row>
    <row r="80" spans="1:3" hidden="1" x14ac:dyDescent="0.3">
      <c r="A80" s="26">
        <v>45975</v>
      </c>
      <c r="B80" s="27" t="s">
        <v>4</v>
      </c>
      <c r="C80" s="24">
        <v>-85.08</v>
      </c>
    </row>
    <row r="81" spans="1:3" hidden="1" x14ac:dyDescent="0.3">
      <c r="A81" s="26">
        <v>45978</v>
      </c>
      <c r="B81" s="27" t="s">
        <v>4</v>
      </c>
      <c r="C81" s="24">
        <v>-134.97</v>
      </c>
    </row>
    <row r="82" spans="1:3" x14ac:dyDescent="0.3">
      <c r="A82" s="26">
        <v>45982</v>
      </c>
      <c r="B82" s="27" t="s">
        <v>1</v>
      </c>
      <c r="C82" s="24">
        <v>167.05</v>
      </c>
    </row>
    <row r="83" spans="1:3" x14ac:dyDescent="0.3">
      <c r="A83" s="26">
        <v>45989</v>
      </c>
      <c r="B83" s="27" t="s">
        <v>1</v>
      </c>
      <c r="C83" s="24">
        <v>117.77</v>
      </c>
    </row>
    <row r="84" spans="1:3" x14ac:dyDescent="0.3">
      <c r="A84" s="26">
        <v>45992</v>
      </c>
      <c r="B84" s="27" t="s">
        <v>4</v>
      </c>
      <c r="C84" s="24">
        <v>-167.05</v>
      </c>
    </row>
    <row r="85" spans="1:3" x14ac:dyDescent="0.3">
      <c r="A85" s="26">
        <v>45996</v>
      </c>
      <c r="B85" s="27" t="s">
        <v>4</v>
      </c>
      <c r="C85" s="24">
        <v>-117.17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7F5C-9D94-4752-85B7-9EDE927F31AF}">
  <sheetPr codeName="Hoja98"/>
  <dimension ref="A1:I39"/>
  <sheetViews>
    <sheetView view="pageBreakPreview" zoomScale="80" zoomScaleNormal="100" zoomScaleSheetLayoutView="80" workbookViewId="0">
      <selection activeCell="C40" sqref="C4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315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 t="s">
        <v>76</v>
      </c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45814</v>
      </c>
      <c r="B5" s="32" t="s">
        <v>21</v>
      </c>
      <c r="C5" s="24">
        <v>17.7</v>
      </c>
      <c r="D5" s="30"/>
      <c r="E5" s="30"/>
      <c r="F5" s="30"/>
      <c r="G5" s="22"/>
    </row>
    <row r="6" spans="1:9" hidden="1" x14ac:dyDescent="0.3">
      <c r="A6" s="21">
        <v>45814</v>
      </c>
      <c r="B6" s="34" t="s">
        <v>21</v>
      </c>
      <c r="C6" s="24">
        <v>10.26</v>
      </c>
    </row>
    <row r="7" spans="1:9" hidden="1" x14ac:dyDescent="0.3">
      <c r="A7" s="26">
        <v>45820</v>
      </c>
      <c r="B7" s="27" t="s">
        <v>4</v>
      </c>
      <c r="C7" s="24">
        <v>-27.96</v>
      </c>
    </row>
    <row r="8" spans="1:9" hidden="1" x14ac:dyDescent="0.3">
      <c r="A8" s="26">
        <v>45820</v>
      </c>
      <c r="B8" s="32" t="s">
        <v>21</v>
      </c>
      <c r="C8" s="24">
        <v>15.85</v>
      </c>
    </row>
    <row r="9" spans="1:9" hidden="1" x14ac:dyDescent="0.3">
      <c r="A9" s="26">
        <v>45825</v>
      </c>
      <c r="B9" s="34" t="s">
        <v>21</v>
      </c>
      <c r="C9" s="24">
        <v>3.45</v>
      </c>
      <c r="I9" s="25"/>
    </row>
    <row r="10" spans="1:9" hidden="1" x14ac:dyDescent="0.3">
      <c r="A10" s="26">
        <v>45828</v>
      </c>
      <c r="B10" s="32" t="s">
        <v>21</v>
      </c>
      <c r="C10" s="24">
        <v>7.7</v>
      </c>
    </row>
    <row r="11" spans="1:9" hidden="1" x14ac:dyDescent="0.3">
      <c r="A11" s="26">
        <v>45828</v>
      </c>
      <c r="B11" s="34" t="s">
        <v>21</v>
      </c>
      <c r="C11" s="24">
        <v>10.17</v>
      </c>
    </row>
    <row r="12" spans="1:9" hidden="1" x14ac:dyDescent="0.3">
      <c r="A12" s="26">
        <v>45838</v>
      </c>
      <c r="B12" s="31" t="s">
        <v>4</v>
      </c>
      <c r="C12" s="24">
        <v>-18.75</v>
      </c>
    </row>
    <row r="13" spans="1:9" hidden="1" x14ac:dyDescent="0.3">
      <c r="A13" s="26">
        <v>45838</v>
      </c>
      <c r="B13" s="31" t="s">
        <v>4</v>
      </c>
      <c r="C13" s="24">
        <v>-15.88</v>
      </c>
    </row>
    <row r="14" spans="1:9" hidden="1" x14ac:dyDescent="0.3">
      <c r="A14" s="26">
        <v>45835</v>
      </c>
      <c r="B14" s="32" t="s">
        <v>21</v>
      </c>
      <c r="C14" s="24">
        <v>9.84</v>
      </c>
    </row>
    <row r="15" spans="1:9" hidden="1" x14ac:dyDescent="0.3">
      <c r="A15" s="26">
        <v>45842</v>
      </c>
      <c r="B15" s="27" t="s">
        <v>4</v>
      </c>
      <c r="C15" s="24">
        <v>-9.77</v>
      </c>
    </row>
    <row r="16" spans="1:9" hidden="1" x14ac:dyDescent="0.3">
      <c r="A16" s="26">
        <v>45848</v>
      </c>
      <c r="B16" s="32" t="s">
        <v>21</v>
      </c>
      <c r="C16" s="24">
        <v>9.84</v>
      </c>
    </row>
    <row r="17" spans="1:3" hidden="1" x14ac:dyDescent="0.3">
      <c r="A17" s="26">
        <v>45848</v>
      </c>
      <c r="B17" s="34" t="s">
        <v>21</v>
      </c>
      <c r="C17" s="24">
        <v>13.56</v>
      </c>
    </row>
    <row r="18" spans="1:3" hidden="1" x14ac:dyDescent="0.3">
      <c r="A18" s="26">
        <v>45855</v>
      </c>
      <c r="B18" s="27" t="s">
        <v>4</v>
      </c>
      <c r="C18" s="24">
        <v>-23.4</v>
      </c>
    </row>
    <row r="19" spans="1:3" hidden="1" x14ac:dyDescent="0.3">
      <c r="A19" s="26">
        <v>45855</v>
      </c>
      <c r="B19" s="34" t="s">
        <v>21</v>
      </c>
      <c r="C19" s="24">
        <v>16.829999999999998</v>
      </c>
    </row>
    <row r="20" spans="1:3" hidden="1" x14ac:dyDescent="0.3">
      <c r="A20" s="26">
        <v>45866</v>
      </c>
      <c r="B20" s="27" t="s">
        <v>4</v>
      </c>
      <c r="C20" s="24">
        <v>-16.829999999999998</v>
      </c>
    </row>
    <row r="21" spans="1:3" hidden="1" x14ac:dyDescent="0.3">
      <c r="A21" s="26">
        <v>45869</v>
      </c>
      <c r="B21" s="32" t="s">
        <v>21</v>
      </c>
      <c r="C21" s="24">
        <v>17.34</v>
      </c>
    </row>
    <row r="22" spans="1:3" hidden="1" x14ac:dyDescent="0.3">
      <c r="A22" s="26">
        <v>45839</v>
      </c>
      <c r="B22" s="27" t="s">
        <v>4</v>
      </c>
      <c r="C22" s="24">
        <v>-2.54</v>
      </c>
    </row>
    <row r="23" spans="1:3" hidden="1" x14ac:dyDescent="0.3">
      <c r="A23" s="26">
        <v>45883</v>
      </c>
      <c r="B23" s="27" t="s">
        <v>4</v>
      </c>
      <c r="C23" s="24">
        <v>-17.34</v>
      </c>
    </row>
    <row r="24" spans="1:3" hidden="1" x14ac:dyDescent="0.3">
      <c r="A24" s="26">
        <v>45883</v>
      </c>
      <c r="B24" s="32" t="s">
        <v>21</v>
      </c>
      <c r="C24" s="24">
        <v>25.45</v>
      </c>
    </row>
    <row r="25" spans="1:3" hidden="1" x14ac:dyDescent="0.3">
      <c r="A25" s="26">
        <v>45883</v>
      </c>
      <c r="B25" s="34" t="s">
        <v>21</v>
      </c>
      <c r="C25" s="24">
        <v>6.9</v>
      </c>
    </row>
    <row r="26" spans="1:3" hidden="1" x14ac:dyDescent="0.3">
      <c r="A26" s="26">
        <v>45890</v>
      </c>
      <c r="B26" s="27" t="s">
        <v>4</v>
      </c>
      <c r="C26" s="24">
        <v>-3.2</v>
      </c>
    </row>
    <row r="27" spans="1:3" hidden="1" x14ac:dyDescent="0.3">
      <c r="A27" s="26">
        <v>45890</v>
      </c>
      <c r="B27" s="27" t="s">
        <v>4</v>
      </c>
      <c r="C27" s="24">
        <v>-29.22</v>
      </c>
    </row>
    <row r="28" spans="1:3" hidden="1" x14ac:dyDescent="0.3">
      <c r="A28" s="26">
        <v>45932</v>
      </c>
      <c r="B28" s="32" t="s">
        <v>21</v>
      </c>
      <c r="C28" s="24">
        <v>23.35</v>
      </c>
    </row>
    <row r="29" spans="1:3" hidden="1" x14ac:dyDescent="0.3">
      <c r="A29" s="26">
        <v>45932</v>
      </c>
      <c r="B29" s="34" t="s">
        <v>21</v>
      </c>
      <c r="C29" s="24">
        <v>6.42</v>
      </c>
    </row>
    <row r="30" spans="1:3" hidden="1" x14ac:dyDescent="0.3">
      <c r="A30" s="26">
        <v>45939</v>
      </c>
      <c r="B30" s="27" t="s">
        <v>4</v>
      </c>
      <c r="C30" s="24">
        <v>-29.29</v>
      </c>
    </row>
    <row r="31" spans="1:3" hidden="1" x14ac:dyDescent="0.3">
      <c r="A31" s="26">
        <v>45939</v>
      </c>
      <c r="B31" s="32" t="s">
        <v>21</v>
      </c>
      <c r="C31" s="24">
        <v>17.34</v>
      </c>
    </row>
    <row r="32" spans="1:3" hidden="1" x14ac:dyDescent="0.3">
      <c r="A32" s="26">
        <v>45946</v>
      </c>
      <c r="B32" s="27" t="s">
        <v>4</v>
      </c>
      <c r="C32" s="24">
        <v>-17.82</v>
      </c>
    </row>
    <row r="33" spans="1:3" x14ac:dyDescent="0.3">
      <c r="A33" s="26">
        <v>45967</v>
      </c>
      <c r="B33" s="32" t="s">
        <v>21</v>
      </c>
      <c r="C33" s="24">
        <v>26.22</v>
      </c>
    </row>
    <row r="34" spans="1:3" x14ac:dyDescent="0.3">
      <c r="A34" s="26">
        <v>45967</v>
      </c>
      <c r="B34" s="34" t="s">
        <v>21</v>
      </c>
      <c r="C34" s="24">
        <v>26.61</v>
      </c>
    </row>
    <row r="35" spans="1:3" x14ac:dyDescent="0.3">
      <c r="A35" s="26">
        <v>45971</v>
      </c>
      <c r="B35" s="27" t="s">
        <v>4</v>
      </c>
      <c r="C35" s="24">
        <v>-40</v>
      </c>
    </row>
    <row r="36" spans="1:3" x14ac:dyDescent="0.3">
      <c r="A36" s="26">
        <v>45978</v>
      </c>
      <c r="B36" s="27" t="s">
        <v>4</v>
      </c>
      <c r="C36" s="24">
        <v>-4.37</v>
      </c>
    </row>
    <row r="37" spans="1:3" x14ac:dyDescent="0.3">
      <c r="A37" s="26">
        <v>45978</v>
      </c>
      <c r="B37" s="27" t="s">
        <v>4</v>
      </c>
      <c r="C37" s="24">
        <v>-8.4600000000000009</v>
      </c>
    </row>
    <row r="38" spans="1:3" x14ac:dyDescent="0.3">
      <c r="A38" s="26">
        <v>46031</v>
      </c>
      <c r="B38" s="27" t="s">
        <v>1</v>
      </c>
      <c r="C38" s="24">
        <v>32.28</v>
      </c>
    </row>
    <row r="39" spans="1:3" x14ac:dyDescent="0.3">
      <c r="A39" s="26">
        <v>46042</v>
      </c>
      <c r="B39" s="27" t="s">
        <v>4</v>
      </c>
      <c r="C39" s="24">
        <v>-32.28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0593-2268-4137-B09E-2DEA9EF128A2}">
  <dimension ref="A1:H86"/>
  <sheetViews>
    <sheetView view="pageBreakPreview" zoomScale="80" zoomScaleNormal="100" zoomScaleSheetLayoutView="80" workbookViewId="0">
      <selection activeCell="A5" sqref="A5:XFD2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330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331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-8.0000000000001847E-2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45839</v>
      </c>
      <c r="B5" s="34" t="s">
        <v>21</v>
      </c>
      <c r="C5" s="24">
        <v>12.9</v>
      </c>
      <c r="D5" s="30"/>
      <c r="E5" s="30"/>
      <c r="F5" s="30"/>
      <c r="G5" s="22"/>
    </row>
    <row r="6" spans="1:8" hidden="1" x14ac:dyDescent="0.3">
      <c r="A6" s="21">
        <v>45846</v>
      </c>
      <c r="B6" s="27" t="s">
        <v>4</v>
      </c>
      <c r="C6" s="24">
        <v>-13.12</v>
      </c>
    </row>
    <row r="7" spans="1:8" hidden="1" x14ac:dyDescent="0.3">
      <c r="A7" s="21">
        <v>45846</v>
      </c>
      <c r="B7" s="34" t="s">
        <v>21</v>
      </c>
      <c r="C7" s="24">
        <v>12.9</v>
      </c>
    </row>
    <row r="8" spans="1:8" hidden="1" x14ac:dyDescent="0.3">
      <c r="A8" s="26">
        <v>45853</v>
      </c>
      <c r="B8" s="27" t="s">
        <v>7</v>
      </c>
      <c r="C8" s="24">
        <v>-12.68</v>
      </c>
    </row>
    <row r="9" spans="1:8" hidden="1" x14ac:dyDescent="0.3">
      <c r="A9" s="26">
        <v>45860</v>
      </c>
      <c r="B9" s="34" t="s">
        <v>21</v>
      </c>
      <c r="C9" s="24">
        <v>8.59</v>
      </c>
    </row>
    <row r="10" spans="1:8" hidden="1" x14ac:dyDescent="0.3">
      <c r="A10" s="26">
        <v>45867</v>
      </c>
      <c r="B10" s="27" t="s">
        <v>4</v>
      </c>
      <c r="C10" s="24">
        <v>-8.61</v>
      </c>
    </row>
    <row r="11" spans="1:8" hidden="1" x14ac:dyDescent="0.3">
      <c r="A11" s="26">
        <v>45867</v>
      </c>
      <c r="B11" s="34" t="s">
        <v>1</v>
      </c>
      <c r="C11" s="24">
        <v>8.59</v>
      </c>
    </row>
    <row r="12" spans="1:8" hidden="1" x14ac:dyDescent="0.3">
      <c r="A12" s="26">
        <v>45874</v>
      </c>
      <c r="B12" s="34" t="s">
        <v>1</v>
      </c>
      <c r="C12" s="24">
        <v>17.38</v>
      </c>
    </row>
    <row r="13" spans="1:8" hidden="1" x14ac:dyDescent="0.3">
      <c r="A13" s="26">
        <v>45874</v>
      </c>
      <c r="B13" s="27" t="s">
        <v>7</v>
      </c>
      <c r="C13" s="24">
        <v>-8.6999999999999993</v>
      </c>
    </row>
    <row r="14" spans="1:8" hidden="1" x14ac:dyDescent="0.3">
      <c r="A14" s="26">
        <v>45881</v>
      </c>
      <c r="B14" s="32" t="s">
        <v>1</v>
      </c>
      <c r="C14" s="24">
        <v>15.85</v>
      </c>
    </row>
    <row r="15" spans="1:8" hidden="1" x14ac:dyDescent="0.3">
      <c r="A15" s="26">
        <v>45881</v>
      </c>
      <c r="B15" s="34" t="s">
        <v>1</v>
      </c>
      <c r="C15" s="24">
        <v>7.68</v>
      </c>
    </row>
    <row r="16" spans="1:8" hidden="1" x14ac:dyDescent="0.3">
      <c r="A16" s="26">
        <v>45889</v>
      </c>
      <c r="B16" s="27" t="s">
        <v>4</v>
      </c>
      <c r="C16" s="24">
        <v>-24</v>
      </c>
    </row>
    <row r="17" spans="1:3" hidden="1" x14ac:dyDescent="0.3">
      <c r="A17" s="26">
        <v>45888</v>
      </c>
      <c r="B17" s="34" t="s">
        <v>1</v>
      </c>
      <c r="C17" s="24">
        <v>10.61</v>
      </c>
    </row>
    <row r="18" spans="1:3" hidden="1" x14ac:dyDescent="0.3">
      <c r="A18" s="26">
        <v>45895</v>
      </c>
      <c r="B18" s="27" t="s">
        <v>7</v>
      </c>
      <c r="C18" s="24">
        <v>-16.12</v>
      </c>
    </row>
    <row r="19" spans="1:3" hidden="1" x14ac:dyDescent="0.3">
      <c r="A19" s="26">
        <v>45895</v>
      </c>
      <c r="B19" s="34" t="s">
        <v>1</v>
      </c>
      <c r="C19" s="24">
        <v>28.07</v>
      </c>
    </row>
    <row r="20" spans="1:3" hidden="1" x14ac:dyDescent="0.3">
      <c r="A20" s="26">
        <v>45902</v>
      </c>
      <c r="B20" s="27" t="s">
        <v>7</v>
      </c>
      <c r="C20" s="24">
        <v>-39.35</v>
      </c>
    </row>
    <row r="21" spans="1:3" hidden="1" x14ac:dyDescent="0.3">
      <c r="A21" s="26">
        <v>45902</v>
      </c>
      <c r="B21" s="34" t="s">
        <v>1</v>
      </c>
      <c r="C21" s="24">
        <v>35.869999999999997</v>
      </c>
    </row>
    <row r="22" spans="1:3" hidden="1" x14ac:dyDescent="0.3">
      <c r="A22" s="26">
        <v>45909</v>
      </c>
      <c r="B22" s="27" t="s">
        <v>7</v>
      </c>
      <c r="C22" s="24">
        <v>-35.799999999999997</v>
      </c>
    </row>
    <row r="23" spans="1:3" hidden="1" x14ac:dyDescent="0.3">
      <c r="A23" s="26">
        <v>45909</v>
      </c>
      <c r="B23" s="34" t="s">
        <v>1</v>
      </c>
      <c r="C23" s="24">
        <v>9.5</v>
      </c>
    </row>
    <row r="24" spans="1:3" hidden="1" x14ac:dyDescent="0.3">
      <c r="A24" s="26">
        <v>45916</v>
      </c>
      <c r="B24" s="27" t="s">
        <v>7</v>
      </c>
      <c r="C24" s="24">
        <v>-9.58</v>
      </c>
    </row>
    <row r="25" spans="1:3" hidden="1" x14ac:dyDescent="0.3">
      <c r="A25" s="26">
        <v>45916</v>
      </c>
      <c r="B25" s="34" t="s">
        <v>1</v>
      </c>
      <c r="C25" s="24">
        <v>2.23</v>
      </c>
    </row>
    <row r="26" spans="1:3" hidden="1" x14ac:dyDescent="0.3">
      <c r="A26" s="26">
        <v>45923</v>
      </c>
      <c r="B26" s="27" t="s">
        <v>7</v>
      </c>
      <c r="C26" s="24">
        <v>-2.25</v>
      </c>
    </row>
    <row r="27" spans="1:3" x14ac:dyDescent="0.3">
      <c r="A27" s="26">
        <v>45979</v>
      </c>
      <c r="B27" s="27" t="s">
        <v>1</v>
      </c>
      <c r="C27" s="24">
        <v>16.38</v>
      </c>
    </row>
    <row r="28" spans="1:3" x14ac:dyDescent="0.3">
      <c r="A28" s="26">
        <v>45993</v>
      </c>
      <c r="B28" s="27" t="s">
        <v>7</v>
      </c>
      <c r="C28" s="24">
        <v>-16.420000000000002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388AC-6843-42AD-BCFB-25A7DD14E8B0}">
  <dimension ref="A1:I34"/>
  <sheetViews>
    <sheetView view="pageBreakPreview" zoomScale="80" zoomScaleNormal="100" zoomScaleSheetLayoutView="80" workbookViewId="0">
      <selection activeCell="C35" sqref="C3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483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 t="s">
        <v>484</v>
      </c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-0.20000000000000284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45958</v>
      </c>
      <c r="B5" s="32" t="s">
        <v>21</v>
      </c>
      <c r="C5" s="24">
        <v>41.54</v>
      </c>
      <c r="D5" s="30"/>
      <c r="E5" s="30"/>
      <c r="F5" s="30"/>
      <c r="G5" s="22"/>
    </row>
    <row r="6" spans="1:9" hidden="1" x14ac:dyDescent="0.3">
      <c r="A6" s="21">
        <v>45958</v>
      </c>
      <c r="B6" s="34" t="s">
        <v>1</v>
      </c>
      <c r="C6" s="24">
        <v>16.87</v>
      </c>
    </row>
    <row r="7" spans="1:9" hidden="1" x14ac:dyDescent="0.3">
      <c r="A7" s="26">
        <v>45960</v>
      </c>
      <c r="B7" s="27" t="s">
        <v>4</v>
      </c>
      <c r="C7" s="24">
        <v>-58.41</v>
      </c>
    </row>
    <row r="8" spans="1:9" hidden="1" x14ac:dyDescent="0.3">
      <c r="A8" s="26">
        <v>45965</v>
      </c>
      <c r="B8" s="34" t="s">
        <v>1</v>
      </c>
      <c r="C8" s="24">
        <v>40.74</v>
      </c>
    </row>
    <row r="9" spans="1:9" hidden="1" x14ac:dyDescent="0.3">
      <c r="A9" s="26">
        <v>45966</v>
      </c>
      <c r="B9" s="27" t="s">
        <v>4</v>
      </c>
      <c r="C9" s="24">
        <v>-40.74</v>
      </c>
      <c r="I9" s="25"/>
    </row>
    <row r="10" spans="1:9" x14ac:dyDescent="0.3">
      <c r="A10" s="26">
        <v>45973</v>
      </c>
      <c r="B10" s="27" t="s">
        <v>4</v>
      </c>
      <c r="C10" s="24">
        <v>-85.71</v>
      </c>
    </row>
    <row r="11" spans="1:9" x14ac:dyDescent="0.3">
      <c r="A11" s="26">
        <v>45972</v>
      </c>
      <c r="B11" s="31" t="s">
        <v>1</v>
      </c>
      <c r="C11" s="24">
        <v>86.44</v>
      </c>
    </row>
    <row r="12" spans="1:9" x14ac:dyDescent="0.3">
      <c r="A12" s="26">
        <v>45979</v>
      </c>
      <c r="B12" s="31" t="s">
        <v>1</v>
      </c>
      <c r="C12" s="24">
        <v>83.5</v>
      </c>
    </row>
    <row r="13" spans="1:9" x14ac:dyDescent="0.3">
      <c r="A13" s="26">
        <v>45981</v>
      </c>
      <c r="B13" s="27" t="s">
        <v>4</v>
      </c>
      <c r="C13" s="24">
        <v>-82.61</v>
      </c>
    </row>
    <row r="14" spans="1:9" x14ac:dyDescent="0.3">
      <c r="A14" s="26">
        <v>45986</v>
      </c>
      <c r="B14" s="27" t="s">
        <v>4</v>
      </c>
      <c r="C14" s="24">
        <v>-152.38999999999999</v>
      </c>
    </row>
    <row r="15" spans="1:9" x14ac:dyDescent="0.3">
      <c r="A15" s="26">
        <v>45986</v>
      </c>
      <c r="B15" s="27" t="s">
        <v>1</v>
      </c>
      <c r="C15" s="24">
        <v>152.38999999999999</v>
      </c>
    </row>
    <row r="16" spans="1:9" x14ac:dyDescent="0.3">
      <c r="A16" s="26">
        <v>45994</v>
      </c>
      <c r="B16" s="27" t="s">
        <v>4</v>
      </c>
      <c r="C16" s="24">
        <v>-171.12</v>
      </c>
    </row>
    <row r="17" spans="1:3" x14ac:dyDescent="0.3">
      <c r="A17" s="26">
        <v>45994</v>
      </c>
      <c r="B17" s="27" t="s">
        <v>1</v>
      </c>
      <c r="C17" s="24">
        <v>162.35</v>
      </c>
    </row>
    <row r="18" spans="1:3" x14ac:dyDescent="0.3">
      <c r="A18" s="26">
        <v>46007</v>
      </c>
      <c r="B18" s="27" t="s">
        <v>1</v>
      </c>
      <c r="C18" s="24">
        <v>89.09</v>
      </c>
    </row>
    <row r="19" spans="1:3" x14ac:dyDescent="0.3">
      <c r="A19" s="26">
        <v>46013</v>
      </c>
      <c r="B19" s="27" t="s">
        <v>4</v>
      </c>
      <c r="C19" s="24">
        <v>-89.09</v>
      </c>
    </row>
    <row r="20" spans="1:3" x14ac:dyDescent="0.3">
      <c r="A20" s="26">
        <v>46014</v>
      </c>
      <c r="B20" s="27" t="s">
        <v>1</v>
      </c>
      <c r="C20" s="24">
        <v>35.24</v>
      </c>
    </row>
    <row r="21" spans="1:3" x14ac:dyDescent="0.3">
      <c r="A21" s="26">
        <v>46015</v>
      </c>
      <c r="B21" s="27" t="s">
        <v>4</v>
      </c>
      <c r="C21" s="24">
        <v>-35.24</v>
      </c>
    </row>
    <row r="22" spans="1:3" x14ac:dyDescent="0.3">
      <c r="A22" s="26">
        <v>46021</v>
      </c>
      <c r="B22" s="27" t="s">
        <v>1</v>
      </c>
      <c r="C22" s="24">
        <v>41.19</v>
      </c>
    </row>
    <row r="23" spans="1:3" x14ac:dyDescent="0.3">
      <c r="A23" s="26">
        <v>46029</v>
      </c>
      <c r="B23" s="27" t="s">
        <v>4</v>
      </c>
      <c r="C23" s="24">
        <v>-34.42</v>
      </c>
    </row>
    <row r="24" spans="1:3" x14ac:dyDescent="0.3">
      <c r="A24" s="26">
        <v>46028</v>
      </c>
      <c r="B24" s="27" t="s">
        <v>1</v>
      </c>
      <c r="C24" s="24">
        <v>112.56</v>
      </c>
    </row>
    <row r="25" spans="1:3" x14ac:dyDescent="0.3">
      <c r="A25" s="26">
        <v>46032</v>
      </c>
      <c r="B25" s="27" t="s">
        <v>4</v>
      </c>
      <c r="C25" s="24">
        <v>-78.489999999999995</v>
      </c>
    </row>
    <row r="26" spans="1:3" x14ac:dyDescent="0.3">
      <c r="A26" s="26">
        <v>46032</v>
      </c>
      <c r="B26" s="27" t="s">
        <v>4</v>
      </c>
      <c r="C26" s="24">
        <v>-34.07</v>
      </c>
    </row>
    <row r="27" spans="1:3" x14ac:dyDescent="0.3">
      <c r="A27" s="26">
        <v>46035</v>
      </c>
      <c r="B27" s="27" t="s">
        <v>1</v>
      </c>
      <c r="C27" s="24">
        <v>144.1</v>
      </c>
    </row>
    <row r="28" spans="1:3" x14ac:dyDescent="0.3">
      <c r="A28" s="26">
        <v>46037</v>
      </c>
      <c r="B28" s="27" t="s">
        <v>4</v>
      </c>
      <c r="C28" s="24">
        <v>-144.1</v>
      </c>
    </row>
    <row r="29" spans="1:3" x14ac:dyDescent="0.3">
      <c r="A29" s="26">
        <v>46042</v>
      </c>
      <c r="B29" s="27" t="s">
        <v>1</v>
      </c>
      <c r="C29" s="24">
        <v>84.16</v>
      </c>
    </row>
    <row r="30" spans="1:3" x14ac:dyDescent="0.3">
      <c r="A30" s="26">
        <v>46043</v>
      </c>
      <c r="B30" s="27" t="s">
        <v>4</v>
      </c>
      <c r="C30" s="24">
        <v>-84.16</v>
      </c>
    </row>
    <row r="31" spans="1:3" x14ac:dyDescent="0.3">
      <c r="A31" s="26">
        <v>46049</v>
      </c>
      <c r="B31" s="27" t="s">
        <v>1</v>
      </c>
      <c r="C31" s="24">
        <v>30.63</v>
      </c>
    </row>
    <row r="32" spans="1:3" x14ac:dyDescent="0.3">
      <c r="A32" s="26">
        <v>46050</v>
      </c>
      <c r="B32" s="27" t="s">
        <v>4</v>
      </c>
      <c r="C32" s="24">
        <v>-30.45</v>
      </c>
    </row>
    <row r="33" spans="1:3" x14ac:dyDescent="0.3">
      <c r="A33" s="26">
        <v>46056</v>
      </c>
      <c r="B33" s="27" t="s">
        <v>4</v>
      </c>
      <c r="C33" s="24">
        <v>-94.36</v>
      </c>
    </row>
    <row r="34" spans="1:3" x14ac:dyDescent="0.3">
      <c r="A34" s="26">
        <v>46056</v>
      </c>
      <c r="B34" s="27" t="s">
        <v>1</v>
      </c>
      <c r="C34" s="24">
        <v>94.36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12125-8229-49EC-976F-542D47DAC667}">
  <sheetPr codeName="Hoja99"/>
  <dimension ref="A1:I56"/>
  <sheetViews>
    <sheetView view="pageBreakPreview" zoomScale="80" zoomScaleNormal="100" zoomScaleSheetLayoutView="80" workbookViewId="0">
      <selection activeCell="C57" sqref="C5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74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 t="s">
        <v>75</v>
      </c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180.48999999999998</v>
      </c>
      <c r="D3" s="20">
        <f>SUM(D$4:D$1048576)</f>
        <v>0</v>
      </c>
      <c r="E3" s="20">
        <f>SUM(E$5:E$1048576)</f>
        <v>1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45814</v>
      </c>
      <c r="B5" s="32" t="s">
        <v>21</v>
      </c>
      <c r="C5" s="24">
        <v>15.85</v>
      </c>
      <c r="D5" s="30"/>
      <c r="E5" s="30"/>
      <c r="F5" s="30"/>
      <c r="G5" s="22"/>
    </row>
    <row r="6" spans="1:9" hidden="1" x14ac:dyDescent="0.3">
      <c r="A6" s="21">
        <v>45814</v>
      </c>
      <c r="B6" s="34" t="s">
        <v>21</v>
      </c>
      <c r="C6" s="24">
        <v>87.83</v>
      </c>
    </row>
    <row r="7" spans="1:9" hidden="1" x14ac:dyDescent="0.3">
      <c r="A7" s="26">
        <v>45821</v>
      </c>
      <c r="B7" s="27" t="s">
        <v>4</v>
      </c>
      <c r="C7" s="24">
        <v>-103.68</v>
      </c>
    </row>
    <row r="8" spans="1:9" hidden="1" x14ac:dyDescent="0.3">
      <c r="A8" s="26">
        <v>45820</v>
      </c>
      <c r="B8" s="32" t="s">
        <v>21</v>
      </c>
      <c r="C8" s="24">
        <v>9.75</v>
      </c>
    </row>
    <row r="9" spans="1:9" hidden="1" x14ac:dyDescent="0.3">
      <c r="A9" s="26">
        <v>45820</v>
      </c>
      <c r="B9" s="34" t="s">
        <v>21</v>
      </c>
      <c r="C9" s="24">
        <v>27.42</v>
      </c>
      <c r="I9" s="25"/>
    </row>
    <row r="10" spans="1:9" hidden="1" x14ac:dyDescent="0.3">
      <c r="A10" s="26">
        <v>45820</v>
      </c>
      <c r="B10" s="74" t="s">
        <v>1</v>
      </c>
      <c r="C10" s="24">
        <v>44.65</v>
      </c>
    </row>
    <row r="11" spans="1:9" hidden="1" x14ac:dyDescent="0.3">
      <c r="A11" s="26">
        <v>45828</v>
      </c>
      <c r="B11" s="34" t="s">
        <v>21</v>
      </c>
      <c r="C11" s="24">
        <v>74.319999999999993</v>
      </c>
    </row>
    <row r="12" spans="1:9" hidden="1" x14ac:dyDescent="0.3">
      <c r="A12" s="26">
        <v>45828</v>
      </c>
      <c r="B12" s="31" t="s">
        <v>4</v>
      </c>
      <c r="C12" s="24">
        <v>-81.819999999999993</v>
      </c>
    </row>
    <row r="13" spans="1:9" hidden="1" x14ac:dyDescent="0.3">
      <c r="A13" s="26">
        <v>45841</v>
      </c>
      <c r="B13" s="27" t="s">
        <v>4</v>
      </c>
      <c r="C13" s="24">
        <v>-74.319999999999993</v>
      </c>
    </row>
    <row r="14" spans="1:9" hidden="1" x14ac:dyDescent="0.3">
      <c r="A14" s="26">
        <v>45841</v>
      </c>
      <c r="B14" s="32" t="s">
        <v>21</v>
      </c>
      <c r="C14" s="24">
        <v>29.98</v>
      </c>
    </row>
    <row r="15" spans="1:9" hidden="1" x14ac:dyDescent="0.3">
      <c r="A15" s="26">
        <v>45841</v>
      </c>
      <c r="B15" s="34" t="s">
        <v>21</v>
      </c>
      <c r="C15" s="24">
        <v>13.4</v>
      </c>
    </row>
    <row r="16" spans="1:9" hidden="1" x14ac:dyDescent="0.3">
      <c r="A16" s="26">
        <v>45841</v>
      </c>
      <c r="B16" s="74" t="s">
        <v>1</v>
      </c>
      <c r="C16" s="24">
        <v>25.99</v>
      </c>
    </row>
    <row r="17" spans="1:3" hidden="1" x14ac:dyDescent="0.3">
      <c r="A17" s="26">
        <v>45855</v>
      </c>
      <c r="B17" s="27" t="s">
        <v>4</v>
      </c>
      <c r="C17" s="24">
        <v>-69.37</v>
      </c>
    </row>
    <row r="18" spans="1:3" hidden="1" x14ac:dyDescent="0.3">
      <c r="A18" s="26">
        <v>45855</v>
      </c>
      <c r="B18" s="32" t="s">
        <v>21</v>
      </c>
      <c r="C18" s="24">
        <v>23.35</v>
      </c>
    </row>
    <row r="19" spans="1:3" hidden="1" x14ac:dyDescent="0.3">
      <c r="A19" s="26">
        <v>45855</v>
      </c>
      <c r="B19" s="34" t="s">
        <v>21</v>
      </c>
      <c r="C19" s="24">
        <v>75.02</v>
      </c>
    </row>
    <row r="20" spans="1:3" hidden="1" x14ac:dyDescent="0.3">
      <c r="A20" s="26">
        <v>45855</v>
      </c>
      <c r="B20" s="74" t="s">
        <v>1</v>
      </c>
      <c r="C20" s="24">
        <v>18.440000000000001</v>
      </c>
    </row>
    <row r="21" spans="1:3" hidden="1" x14ac:dyDescent="0.3">
      <c r="A21" s="26">
        <v>45876</v>
      </c>
      <c r="B21" s="27" t="s">
        <v>4</v>
      </c>
      <c r="C21" s="24">
        <v>-54.24</v>
      </c>
    </row>
    <row r="22" spans="1:3" hidden="1" x14ac:dyDescent="0.3">
      <c r="A22" s="26">
        <v>45876</v>
      </c>
      <c r="B22" s="27" t="s">
        <v>7</v>
      </c>
      <c r="C22" s="24">
        <v>-62.59</v>
      </c>
    </row>
    <row r="23" spans="1:3" hidden="1" x14ac:dyDescent="0.3">
      <c r="A23" s="26">
        <v>45876</v>
      </c>
      <c r="B23" s="32" t="s">
        <v>21</v>
      </c>
      <c r="C23" s="24">
        <v>66.33</v>
      </c>
    </row>
    <row r="24" spans="1:3" hidden="1" x14ac:dyDescent="0.3">
      <c r="A24" s="26">
        <v>45876</v>
      </c>
      <c r="B24" s="34" t="s">
        <v>21</v>
      </c>
      <c r="C24" s="24">
        <v>140.22</v>
      </c>
    </row>
    <row r="25" spans="1:3" hidden="1" x14ac:dyDescent="0.3">
      <c r="A25" s="26">
        <v>45883</v>
      </c>
      <c r="B25" s="27" t="s">
        <v>7</v>
      </c>
      <c r="C25" s="24">
        <v>-96.77</v>
      </c>
    </row>
    <row r="26" spans="1:3" hidden="1" x14ac:dyDescent="0.3">
      <c r="A26" s="26">
        <v>45898</v>
      </c>
      <c r="B26" s="27" t="s">
        <v>7</v>
      </c>
      <c r="C26" s="24">
        <v>-90.32</v>
      </c>
    </row>
    <row r="27" spans="1:3" hidden="1" x14ac:dyDescent="0.3">
      <c r="A27" s="26">
        <v>45898</v>
      </c>
      <c r="B27" s="32" t="s">
        <v>21</v>
      </c>
      <c r="C27" s="24">
        <v>33.19</v>
      </c>
    </row>
    <row r="28" spans="1:3" hidden="1" x14ac:dyDescent="0.3">
      <c r="A28" s="26">
        <v>45898</v>
      </c>
      <c r="B28" s="34" t="s">
        <v>21</v>
      </c>
      <c r="C28" s="24">
        <v>60.06</v>
      </c>
    </row>
    <row r="29" spans="1:3" hidden="1" x14ac:dyDescent="0.3">
      <c r="A29" s="26">
        <v>45911</v>
      </c>
      <c r="B29" s="27" t="s">
        <v>4</v>
      </c>
      <c r="C29" s="24">
        <v>-63.4</v>
      </c>
    </row>
    <row r="30" spans="1:3" hidden="1" x14ac:dyDescent="0.3">
      <c r="A30" s="26">
        <v>45919</v>
      </c>
      <c r="B30" s="27" t="s">
        <v>4</v>
      </c>
      <c r="C30" s="24">
        <v>-48.76</v>
      </c>
    </row>
    <row r="31" spans="1:3" hidden="1" x14ac:dyDescent="0.3">
      <c r="A31" s="26">
        <v>45918</v>
      </c>
      <c r="B31" s="27" t="s">
        <v>1</v>
      </c>
      <c r="C31" s="24">
        <v>49.4</v>
      </c>
    </row>
    <row r="32" spans="1:3" hidden="1" x14ac:dyDescent="0.3">
      <c r="A32" s="26">
        <v>45918</v>
      </c>
      <c r="B32" s="34" t="s">
        <v>21</v>
      </c>
      <c r="C32" s="24">
        <v>23.64</v>
      </c>
    </row>
    <row r="33" spans="1:3" hidden="1" x14ac:dyDescent="0.3">
      <c r="A33" s="26">
        <v>45932</v>
      </c>
      <c r="B33" s="27" t="s">
        <v>4</v>
      </c>
      <c r="C33" s="24">
        <v>-37</v>
      </c>
    </row>
    <row r="34" spans="1:3" hidden="1" x14ac:dyDescent="0.3">
      <c r="A34" s="26">
        <v>45939</v>
      </c>
      <c r="B34" s="27" t="s">
        <v>4</v>
      </c>
      <c r="C34" s="24">
        <v>-36.57</v>
      </c>
    </row>
    <row r="35" spans="1:3" x14ac:dyDescent="0.3">
      <c r="A35" s="26">
        <v>45939</v>
      </c>
      <c r="B35" s="32" t="s">
        <v>21</v>
      </c>
      <c r="C35" s="24">
        <v>36.06</v>
      </c>
    </row>
    <row r="36" spans="1:3" x14ac:dyDescent="0.3">
      <c r="A36" s="26">
        <v>45939</v>
      </c>
      <c r="B36" s="34" t="s">
        <v>21</v>
      </c>
      <c r="C36" s="24">
        <v>40.049999999999997</v>
      </c>
    </row>
    <row r="37" spans="1:3" x14ac:dyDescent="0.3">
      <c r="A37" s="26">
        <v>45940</v>
      </c>
      <c r="B37" s="32" t="s">
        <v>21</v>
      </c>
      <c r="C37" s="24">
        <v>19.46</v>
      </c>
    </row>
    <row r="38" spans="1:3" x14ac:dyDescent="0.3">
      <c r="A38" s="26">
        <v>45953</v>
      </c>
      <c r="B38" s="27" t="s">
        <v>4</v>
      </c>
      <c r="C38" s="24">
        <v>-42.36</v>
      </c>
    </row>
    <row r="39" spans="1:3" x14ac:dyDescent="0.3">
      <c r="A39" s="26">
        <v>45953</v>
      </c>
      <c r="B39" s="32" t="s">
        <v>21</v>
      </c>
      <c r="C39" s="24">
        <v>83.54</v>
      </c>
    </row>
    <row r="40" spans="1:3" x14ac:dyDescent="0.3">
      <c r="A40" s="26">
        <v>45953</v>
      </c>
      <c r="B40" s="34" t="s">
        <v>21</v>
      </c>
      <c r="C40" s="24">
        <v>307.11</v>
      </c>
    </row>
    <row r="41" spans="1:3" x14ac:dyDescent="0.3">
      <c r="A41" s="26">
        <v>45953</v>
      </c>
      <c r="B41" s="27" t="s">
        <v>7</v>
      </c>
      <c r="C41" s="24">
        <v>-55.55</v>
      </c>
    </row>
    <row r="42" spans="1:3" x14ac:dyDescent="0.3">
      <c r="A42" s="26">
        <v>45954</v>
      </c>
      <c r="B42" s="32" t="s">
        <v>21</v>
      </c>
      <c r="C42" s="24">
        <v>60</v>
      </c>
    </row>
    <row r="43" spans="1:3" x14ac:dyDescent="0.3">
      <c r="A43" s="26">
        <v>45966</v>
      </c>
      <c r="B43" s="27" t="s">
        <v>4</v>
      </c>
      <c r="C43" s="24">
        <v>-100</v>
      </c>
    </row>
    <row r="44" spans="1:3" x14ac:dyDescent="0.3">
      <c r="A44" s="26">
        <v>45973</v>
      </c>
      <c r="B44" s="27" t="s">
        <v>4</v>
      </c>
      <c r="C44" s="24">
        <v>-55.78</v>
      </c>
    </row>
    <row r="45" spans="1:3" x14ac:dyDescent="0.3">
      <c r="A45" s="26">
        <v>45981</v>
      </c>
      <c r="B45" s="27" t="s">
        <v>4</v>
      </c>
      <c r="C45" s="24">
        <v>-199.73</v>
      </c>
    </row>
    <row r="46" spans="1:3" x14ac:dyDescent="0.3">
      <c r="A46" s="26">
        <v>45981</v>
      </c>
      <c r="B46" s="27" t="s">
        <v>1</v>
      </c>
      <c r="C46" s="24">
        <v>493.34</v>
      </c>
    </row>
    <row r="47" spans="1:3" x14ac:dyDescent="0.3">
      <c r="A47" s="26">
        <v>45993</v>
      </c>
      <c r="B47" s="27" t="s">
        <v>4</v>
      </c>
      <c r="C47" s="24">
        <v>-100</v>
      </c>
    </row>
    <row r="48" spans="1:3" x14ac:dyDescent="0.3">
      <c r="A48" s="26">
        <v>46003</v>
      </c>
      <c r="B48" s="27" t="s">
        <v>4</v>
      </c>
      <c r="C48" s="24">
        <v>-100</v>
      </c>
    </row>
    <row r="49" spans="1:5" x14ac:dyDescent="0.3">
      <c r="A49" s="26">
        <v>46011</v>
      </c>
      <c r="B49" s="27" t="s">
        <v>4</v>
      </c>
      <c r="C49" s="24">
        <v>-100</v>
      </c>
    </row>
    <row r="50" spans="1:5" x14ac:dyDescent="0.3">
      <c r="A50" s="26">
        <v>46027</v>
      </c>
      <c r="B50" s="27" t="s">
        <v>4</v>
      </c>
      <c r="C50" s="24">
        <v>-200</v>
      </c>
    </row>
    <row r="51" spans="1:5" x14ac:dyDescent="0.3">
      <c r="A51" s="26">
        <v>46031</v>
      </c>
      <c r="B51" s="27" t="s">
        <v>1</v>
      </c>
      <c r="C51" s="24">
        <v>46.38</v>
      </c>
    </row>
    <row r="52" spans="1:5" x14ac:dyDescent="0.3">
      <c r="A52" s="26">
        <v>46038</v>
      </c>
      <c r="B52" s="27" t="s">
        <v>4</v>
      </c>
      <c r="C52" s="24">
        <v>-58.05</v>
      </c>
    </row>
    <row r="53" spans="1:5" x14ac:dyDescent="0.3">
      <c r="A53" s="26">
        <v>46038</v>
      </c>
      <c r="B53" s="27" t="s">
        <v>1</v>
      </c>
      <c r="C53" s="24">
        <v>175.99</v>
      </c>
      <c r="E53" s="25">
        <v>1</v>
      </c>
    </row>
    <row r="54" spans="1:5" x14ac:dyDescent="0.3">
      <c r="A54" s="26">
        <v>46044</v>
      </c>
      <c r="B54" s="27" t="s">
        <v>4</v>
      </c>
      <c r="C54" s="24">
        <v>-50</v>
      </c>
    </row>
    <row r="55" spans="1:5" x14ac:dyDescent="0.3">
      <c r="A55" s="26">
        <v>46051</v>
      </c>
      <c r="B55" s="27" t="s">
        <v>4</v>
      </c>
      <c r="C55" s="24">
        <v>-82.49</v>
      </c>
    </row>
    <row r="56" spans="1:5" x14ac:dyDescent="0.3">
      <c r="A56" s="26">
        <v>46051</v>
      </c>
      <c r="B56" s="27" t="s">
        <v>1</v>
      </c>
      <c r="C56" s="24">
        <v>62.52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2DCBA-A429-4F74-A0D7-3D2B876141B8}">
  <dimension ref="A1:I81"/>
  <sheetViews>
    <sheetView view="pageBreakPreview" zoomScale="80" zoomScaleNormal="100" zoomScaleSheetLayoutView="80" workbookViewId="0">
      <selection activeCell="C82" sqref="C8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413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 t="s">
        <v>414</v>
      </c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108.68000000000006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45883</v>
      </c>
      <c r="B5" s="32" t="s">
        <v>21</v>
      </c>
      <c r="C5" s="24">
        <v>40.450000000000003</v>
      </c>
      <c r="D5" s="30">
        <v>1</v>
      </c>
      <c r="E5" s="30">
        <v>1</v>
      </c>
      <c r="F5" s="30"/>
      <c r="G5" s="22"/>
    </row>
    <row r="6" spans="1:9" hidden="1" x14ac:dyDescent="0.3">
      <c r="A6" s="21">
        <v>45883</v>
      </c>
      <c r="B6" s="34" t="s">
        <v>1</v>
      </c>
      <c r="C6" s="24">
        <v>31.38</v>
      </c>
    </row>
    <row r="7" spans="1:9" hidden="1" x14ac:dyDescent="0.3">
      <c r="A7" s="26">
        <v>45890</v>
      </c>
      <c r="B7" s="27" t="s">
        <v>4</v>
      </c>
      <c r="C7" s="24">
        <v>-71.63</v>
      </c>
    </row>
    <row r="8" spans="1:9" hidden="1" x14ac:dyDescent="0.3">
      <c r="A8" s="26">
        <v>45890</v>
      </c>
      <c r="B8" s="32" t="s">
        <v>1</v>
      </c>
      <c r="C8" s="24">
        <v>22.5</v>
      </c>
    </row>
    <row r="9" spans="1:9" hidden="1" x14ac:dyDescent="0.3">
      <c r="A9" s="26">
        <v>45890</v>
      </c>
      <c r="B9" s="34" t="s">
        <v>1</v>
      </c>
      <c r="C9" s="24">
        <v>53.82</v>
      </c>
      <c r="I9" s="25"/>
    </row>
    <row r="10" spans="1:9" hidden="1" x14ac:dyDescent="0.3">
      <c r="A10" s="26">
        <v>45898</v>
      </c>
      <c r="B10" s="31" t="s">
        <v>4</v>
      </c>
      <c r="C10" s="24">
        <v>-68.61</v>
      </c>
    </row>
    <row r="11" spans="1:9" hidden="1" x14ac:dyDescent="0.3">
      <c r="A11" s="26">
        <v>45897</v>
      </c>
      <c r="B11" s="31" t="s">
        <v>7</v>
      </c>
      <c r="C11" s="24">
        <v>-7.93</v>
      </c>
    </row>
    <row r="12" spans="1:9" hidden="1" x14ac:dyDescent="0.3">
      <c r="A12" s="26">
        <v>45897</v>
      </c>
      <c r="B12" s="32" t="s">
        <v>1</v>
      </c>
      <c r="C12" s="24">
        <v>24.84</v>
      </c>
    </row>
    <row r="13" spans="1:9" hidden="1" x14ac:dyDescent="0.3">
      <c r="A13" s="26">
        <v>45897</v>
      </c>
      <c r="B13" s="34" t="s">
        <v>1</v>
      </c>
      <c r="C13" s="24">
        <v>84.03</v>
      </c>
    </row>
    <row r="14" spans="1:9" hidden="1" x14ac:dyDescent="0.3">
      <c r="A14" s="26">
        <v>45904</v>
      </c>
      <c r="B14" s="27" t="s">
        <v>4</v>
      </c>
      <c r="C14" s="24">
        <f>-54.43</f>
        <v>-54.43</v>
      </c>
    </row>
    <row r="15" spans="1:9" hidden="1" x14ac:dyDescent="0.3">
      <c r="A15" s="26">
        <v>45904</v>
      </c>
      <c r="B15" s="27" t="s">
        <v>7</v>
      </c>
      <c r="C15" s="24">
        <v>-54.45</v>
      </c>
    </row>
    <row r="16" spans="1:9" hidden="1" x14ac:dyDescent="0.3">
      <c r="A16" s="26">
        <v>45904</v>
      </c>
      <c r="B16" s="32" t="s">
        <v>1</v>
      </c>
      <c r="C16" s="24">
        <v>29.44</v>
      </c>
    </row>
    <row r="17" spans="1:3" hidden="1" x14ac:dyDescent="0.3">
      <c r="A17" s="26">
        <v>45904</v>
      </c>
      <c r="B17" s="34" t="s">
        <v>1</v>
      </c>
      <c r="C17" s="24">
        <v>92.93</v>
      </c>
    </row>
    <row r="18" spans="1:3" hidden="1" x14ac:dyDescent="0.3">
      <c r="A18" s="26">
        <v>45911</v>
      </c>
      <c r="B18" s="27" t="s">
        <v>4</v>
      </c>
      <c r="C18" s="24">
        <v>-40</v>
      </c>
    </row>
    <row r="19" spans="1:3" hidden="1" x14ac:dyDescent="0.3">
      <c r="A19" s="26">
        <v>45911</v>
      </c>
      <c r="B19" s="32" t="s">
        <v>1</v>
      </c>
      <c r="C19" s="24">
        <v>34.04</v>
      </c>
    </row>
    <row r="20" spans="1:3" hidden="1" x14ac:dyDescent="0.3">
      <c r="A20" s="26">
        <v>45911</v>
      </c>
      <c r="B20" s="34" t="s">
        <v>1</v>
      </c>
      <c r="C20" s="24">
        <v>61.19</v>
      </c>
    </row>
    <row r="21" spans="1:3" hidden="1" x14ac:dyDescent="0.3">
      <c r="A21" s="26">
        <v>45912</v>
      </c>
      <c r="B21" s="27" t="s">
        <v>7</v>
      </c>
      <c r="C21" s="24">
        <v>-82.41</v>
      </c>
    </row>
    <row r="22" spans="1:3" hidden="1" x14ac:dyDescent="0.3">
      <c r="A22" s="26">
        <v>45916</v>
      </c>
      <c r="B22" s="27" t="s">
        <v>4</v>
      </c>
      <c r="C22" s="24">
        <v>-94.38</v>
      </c>
    </row>
    <row r="23" spans="1:3" hidden="1" x14ac:dyDescent="0.3">
      <c r="A23" s="26">
        <v>45918</v>
      </c>
      <c r="B23" s="32" t="s">
        <v>1</v>
      </c>
      <c r="C23" s="24">
        <v>61.78</v>
      </c>
    </row>
    <row r="24" spans="1:3" hidden="1" x14ac:dyDescent="0.3">
      <c r="A24" s="26">
        <v>45918</v>
      </c>
      <c r="B24" s="34" t="s">
        <v>1</v>
      </c>
      <c r="C24" s="24">
        <v>34.28</v>
      </c>
    </row>
    <row r="25" spans="1:3" hidden="1" x14ac:dyDescent="0.3">
      <c r="A25" s="26">
        <v>45925</v>
      </c>
      <c r="B25" s="27" t="s">
        <v>4</v>
      </c>
      <c r="C25" s="24">
        <v>-90</v>
      </c>
    </row>
    <row r="26" spans="1:3" hidden="1" x14ac:dyDescent="0.3">
      <c r="A26" s="26">
        <v>45926</v>
      </c>
      <c r="B26" s="27" t="s">
        <v>7</v>
      </c>
      <c r="C26" s="24">
        <v>-6.87</v>
      </c>
    </row>
    <row r="27" spans="1:3" hidden="1" x14ac:dyDescent="0.3">
      <c r="A27" s="26">
        <v>45926</v>
      </c>
      <c r="B27" s="32" t="s">
        <v>1</v>
      </c>
      <c r="C27" s="24">
        <v>61.54</v>
      </c>
    </row>
    <row r="28" spans="1:3" hidden="1" x14ac:dyDescent="0.3">
      <c r="A28" s="26">
        <v>45926</v>
      </c>
      <c r="B28" s="34" t="s">
        <v>1</v>
      </c>
      <c r="C28" s="24">
        <v>87.97</v>
      </c>
    </row>
    <row r="29" spans="1:3" hidden="1" x14ac:dyDescent="0.3">
      <c r="A29" s="26">
        <v>45932</v>
      </c>
      <c r="B29" s="27" t="s">
        <v>4</v>
      </c>
      <c r="C29" s="24">
        <v>-130</v>
      </c>
    </row>
    <row r="30" spans="1:3" hidden="1" x14ac:dyDescent="0.3">
      <c r="A30" s="26">
        <v>45932</v>
      </c>
      <c r="B30" s="27" t="s">
        <v>7</v>
      </c>
      <c r="C30" s="24">
        <v>-19.53</v>
      </c>
    </row>
    <row r="31" spans="1:3" hidden="1" x14ac:dyDescent="0.3">
      <c r="A31" s="26">
        <v>45932</v>
      </c>
      <c r="B31" s="32" t="s">
        <v>1</v>
      </c>
      <c r="C31" s="24">
        <v>44.73</v>
      </c>
    </row>
    <row r="32" spans="1:3" hidden="1" x14ac:dyDescent="0.3">
      <c r="A32" s="26">
        <v>45932</v>
      </c>
      <c r="B32" s="34" t="s">
        <v>1</v>
      </c>
      <c r="C32" s="24">
        <v>124.09</v>
      </c>
    </row>
    <row r="33" spans="1:3" hidden="1" x14ac:dyDescent="0.3">
      <c r="A33" s="26">
        <v>45932</v>
      </c>
      <c r="B33" s="45" t="s">
        <v>1</v>
      </c>
      <c r="C33" s="24">
        <v>16.43</v>
      </c>
    </row>
    <row r="34" spans="1:3" hidden="1" x14ac:dyDescent="0.3">
      <c r="A34" s="26">
        <v>45939</v>
      </c>
      <c r="B34" s="27" t="s">
        <v>4</v>
      </c>
      <c r="C34" s="24">
        <v>-25</v>
      </c>
    </row>
    <row r="35" spans="1:3" hidden="1" x14ac:dyDescent="0.3">
      <c r="A35" s="26">
        <v>45939</v>
      </c>
      <c r="B35" s="27" t="s">
        <v>7</v>
      </c>
      <c r="C35" s="24">
        <v>-64.069999999999993</v>
      </c>
    </row>
    <row r="36" spans="1:3" hidden="1" x14ac:dyDescent="0.3">
      <c r="A36" s="26">
        <v>45939</v>
      </c>
      <c r="B36" s="32" t="s">
        <v>1</v>
      </c>
      <c r="C36" s="24">
        <v>19.04</v>
      </c>
    </row>
    <row r="37" spans="1:3" hidden="1" x14ac:dyDescent="0.3">
      <c r="A37" s="26">
        <v>45939</v>
      </c>
      <c r="B37" s="34" t="s">
        <v>1</v>
      </c>
      <c r="C37" s="24">
        <v>77.66</v>
      </c>
    </row>
    <row r="38" spans="1:3" hidden="1" x14ac:dyDescent="0.3">
      <c r="A38" s="26">
        <v>45939</v>
      </c>
      <c r="B38" s="45" t="s">
        <v>1</v>
      </c>
      <c r="C38" s="24">
        <v>11.68</v>
      </c>
    </row>
    <row r="39" spans="1:3" hidden="1" x14ac:dyDescent="0.3">
      <c r="A39" s="26">
        <v>45945</v>
      </c>
      <c r="B39" s="27" t="s">
        <v>4</v>
      </c>
      <c r="C39" s="24">
        <v>-96.15</v>
      </c>
    </row>
    <row r="40" spans="1:3" hidden="1" x14ac:dyDescent="0.3">
      <c r="A40" s="26">
        <v>45946</v>
      </c>
      <c r="B40" s="27" t="s">
        <v>4</v>
      </c>
      <c r="C40" s="24">
        <v>-108.38</v>
      </c>
    </row>
    <row r="41" spans="1:3" hidden="1" x14ac:dyDescent="0.3">
      <c r="A41" s="26">
        <v>45946</v>
      </c>
      <c r="B41" s="32" t="s">
        <v>1</v>
      </c>
      <c r="C41" s="24">
        <v>17.34</v>
      </c>
    </row>
    <row r="42" spans="1:3" hidden="1" x14ac:dyDescent="0.3">
      <c r="A42" s="26">
        <v>45946</v>
      </c>
      <c r="B42" s="34" t="s">
        <v>1</v>
      </c>
      <c r="C42" s="24">
        <v>98.17</v>
      </c>
    </row>
    <row r="43" spans="1:3" hidden="1" x14ac:dyDescent="0.3">
      <c r="A43" s="26">
        <v>45946</v>
      </c>
      <c r="B43" s="45" t="s">
        <v>1</v>
      </c>
      <c r="C43" s="24">
        <v>24.66</v>
      </c>
    </row>
    <row r="44" spans="1:3" hidden="1" x14ac:dyDescent="0.3">
      <c r="A44" s="26">
        <v>45953</v>
      </c>
      <c r="B44" s="27" t="s">
        <v>4</v>
      </c>
      <c r="C44" s="24">
        <v>-140.16999999999999</v>
      </c>
    </row>
    <row r="45" spans="1:3" hidden="1" x14ac:dyDescent="0.3">
      <c r="A45" s="26">
        <v>45953</v>
      </c>
      <c r="B45" s="32" t="s">
        <v>1</v>
      </c>
      <c r="C45" s="24">
        <v>19.04</v>
      </c>
    </row>
    <row r="46" spans="1:3" hidden="1" x14ac:dyDescent="0.3">
      <c r="A46" s="26">
        <v>45953</v>
      </c>
      <c r="B46" s="34" t="s">
        <v>1</v>
      </c>
      <c r="C46" s="24">
        <v>99.11</v>
      </c>
    </row>
    <row r="47" spans="1:3" hidden="1" x14ac:dyDescent="0.3">
      <c r="A47" s="26">
        <v>45960</v>
      </c>
      <c r="B47" s="27" t="s">
        <v>4</v>
      </c>
      <c r="C47" s="24">
        <v>-118.15</v>
      </c>
    </row>
    <row r="48" spans="1:3" hidden="1" x14ac:dyDescent="0.3">
      <c r="A48" s="26">
        <v>45960</v>
      </c>
      <c r="B48" s="32" t="s">
        <v>1</v>
      </c>
      <c r="C48" s="24">
        <v>19.600000000000001</v>
      </c>
    </row>
    <row r="49" spans="1:3" hidden="1" x14ac:dyDescent="0.3">
      <c r="A49" s="26">
        <v>45960</v>
      </c>
      <c r="B49" s="34" t="s">
        <v>1</v>
      </c>
      <c r="C49" s="24">
        <v>89.32</v>
      </c>
    </row>
    <row r="50" spans="1:3" hidden="1" x14ac:dyDescent="0.3">
      <c r="A50" s="26">
        <v>45967</v>
      </c>
      <c r="B50" s="27" t="s">
        <v>4</v>
      </c>
      <c r="C50" s="24">
        <v>-40</v>
      </c>
    </row>
    <row r="51" spans="1:3" hidden="1" x14ac:dyDescent="0.3">
      <c r="A51" s="26">
        <v>45967</v>
      </c>
      <c r="B51" s="32" t="s">
        <v>1</v>
      </c>
      <c r="C51" s="24">
        <v>21.94</v>
      </c>
    </row>
    <row r="52" spans="1:3" hidden="1" x14ac:dyDescent="0.3">
      <c r="A52" s="26">
        <v>45967</v>
      </c>
      <c r="B52" s="34" t="s">
        <v>1</v>
      </c>
      <c r="C52" s="24">
        <v>86.65</v>
      </c>
    </row>
    <row r="53" spans="1:3" hidden="1" x14ac:dyDescent="0.3">
      <c r="A53" s="26">
        <v>45975</v>
      </c>
      <c r="B53" s="27" t="s">
        <v>4</v>
      </c>
      <c r="C53" s="24">
        <v>-80</v>
      </c>
    </row>
    <row r="54" spans="1:3" hidden="1" x14ac:dyDescent="0.3">
      <c r="A54" s="26">
        <v>45975</v>
      </c>
      <c r="B54" s="27" t="s">
        <v>7</v>
      </c>
      <c r="C54" s="24">
        <v>-28.6</v>
      </c>
    </row>
    <row r="55" spans="1:3" hidden="1" x14ac:dyDescent="0.3">
      <c r="A55" s="26">
        <v>45975</v>
      </c>
      <c r="B55" s="27" t="s">
        <v>1</v>
      </c>
      <c r="C55" s="24">
        <v>160.97999999999999</v>
      </c>
    </row>
    <row r="56" spans="1:3" hidden="1" x14ac:dyDescent="0.3">
      <c r="A56" s="26">
        <v>45976</v>
      </c>
      <c r="B56" s="27" t="s">
        <v>4</v>
      </c>
      <c r="C56" s="24">
        <v>-69</v>
      </c>
    </row>
    <row r="57" spans="1:3" hidden="1" x14ac:dyDescent="0.3">
      <c r="A57" s="26">
        <v>45982</v>
      </c>
      <c r="B57" s="27" t="s">
        <v>7</v>
      </c>
      <c r="C57" s="24">
        <v>-160.78</v>
      </c>
    </row>
    <row r="58" spans="1:3" x14ac:dyDescent="0.3">
      <c r="A58" s="26">
        <v>45982</v>
      </c>
      <c r="B58" s="27" t="s">
        <v>1</v>
      </c>
      <c r="C58" s="24">
        <v>62.34</v>
      </c>
    </row>
    <row r="59" spans="1:3" x14ac:dyDescent="0.3">
      <c r="A59" s="26">
        <v>45988</v>
      </c>
      <c r="B59" s="27" t="s">
        <v>1</v>
      </c>
      <c r="C59" s="24">
        <v>101.9</v>
      </c>
    </row>
    <row r="60" spans="1:3" x14ac:dyDescent="0.3">
      <c r="A60" s="26">
        <v>45992</v>
      </c>
      <c r="B60" s="27" t="s">
        <v>4</v>
      </c>
      <c r="C60" s="24">
        <v>-62.36</v>
      </c>
    </row>
    <row r="61" spans="1:3" x14ac:dyDescent="0.3">
      <c r="A61" s="26">
        <v>45995</v>
      </c>
      <c r="B61" s="27" t="s">
        <v>1</v>
      </c>
      <c r="C61" s="24">
        <v>68.430000000000007</v>
      </c>
    </row>
    <row r="62" spans="1:3" x14ac:dyDescent="0.3">
      <c r="A62" s="26">
        <v>45996</v>
      </c>
      <c r="B62" s="27" t="s">
        <v>4</v>
      </c>
      <c r="C62" s="24">
        <v>-101.9</v>
      </c>
    </row>
    <row r="63" spans="1:3" x14ac:dyDescent="0.3">
      <c r="A63" s="26">
        <v>46002</v>
      </c>
      <c r="B63" s="27" t="s">
        <v>4</v>
      </c>
      <c r="C63" s="24">
        <v>-40</v>
      </c>
    </row>
    <row r="64" spans="1:3" x14ac:dyDescent="0.3">
      <c r="A64" s="26">
        <v>46002</v>
      </c>
      <c r="B64" s="27" t="s">
        <v>7</v>
      </c>
      <c r="C64" s="24">
        <v>-28.5</v>
      </c>
    </row>
    <row r="65" spans="1:5" x14ac:dyDescent="0.3">
      <c r="A65" s="26">
        <v>46002</v>
      </c>
      <c r="B65" s="27" t="s">
        <v>1</v>
      </c>
      <c r="C65" s="24">
        <v>147.31</v>
      </c>
    </row>
    <row r="66" spans="1:5" x14ac:dyDescent="0.3">
      <c r="A66" s="26">
        <v>46010</v>
      </c>
      <c r="B66" s="27" t="s">
        <v>4</v>
      </c>
      <c r="C66" s="24">
        <v>-49.48</v>
      </c>
    </row>
    <row r="67" spans="1:5" x14ac:dyDescent="0.3">
      <c r="A67" s="26">
        <v>46010</v>
      </c>
      <c r="B67" s="27" t="s">
        <v>7</v>
      </c>
      <c r="C67" s="24">
        <v>-97.32</v>
      </c>
    </row>
    <row r="68" spans="1:5" x14ac:dyDescent="0.3">
      <c r="A68" s="26">
        <v>46010</v>
      </c>
      <c r="B68" s="27" t="s">
        <v>1</v>
      </c>
      <c r="C68" s="24">
        <v>195.87</v>
      </c>
    </row>
    <row r="69" spans="1:5" x14ac:dyDescent="0.3">
      <c r="A69" s="26">
        <v>46021</v>
      </c>
      <c r="B69" s="27" t="s">
        <v>4</v>
      </c>
      <c r="C69" s="24">
        <v>-195.87</v>
      </c>
    </row>
    <row r="70" spans="1:5" x14ac:dyDescent="0.3">
      <c r="A70" s="26">
        <v>46021</v>
      </c>
      <c r="B70" s="27" t="s">
        <v>1</v>
      </c>
      <c r="C70" s="24">
        <v>127.4</v>
      </c>
    </row>
    <row r="71" spans="1:5" x14ac:dyDescent="0.3">
      <c r="A71" s="26">
        <v>46030</v>
      </c>
      <c r="B71" s="27" t="s">
        <v>4</v>
      </c>
      <c r="C71" s="24">
        <v>-33.950000000000003</v>
      </c>
    </row>
    <row r="72" spans="1:5" x14ac:dyDescent="0.3">
      <c r="A72" s="26">
        <v>46030</v>
      </c>
      <c r="B72" s="27" t="s">
        <v>4</v>
      </c>
      <c r="C72" s="24">
        <v>-93.45</v>
      </c>
    </row>
    <row r="73" spans="1:5" x14ac:dyDescent="0.3">
      <c r="A73" s="26">
        <v>46030</v>
      </c>
      <c r="B73" s="27" t="s">
        <v>1</v>
      </c>
      <c r="C73" s="24">
        <v>189</v>
      </c>
      <c r="D73" s="25">
        <v>-1</v>
      </c>
      <c r="E73" s="25">
        <v>-1</v>
      </c>
    </row>
    <row r="74" spans="1:5" x14ac:dyDescent="0.3">
      <c r="A74" s="26">
        <v>46037</v>
      </c>
      <c r="B74" s="27" t="s">
        <v>4</v>
      </c>
      <c r="C74" s="24">
        <v>-100.54</v>
      </c>
    </row>
    <row r="75" spans="1:5" x14ac:dyDescent="0.3">
      <c r="A75" s="26">
        <v>46037</v>
      </c>
      <c r="B75" s="27" t="s">
        <v>1</v>
      </c>
      <c r="C75" s="24">
        <v>153.33000000000001</v>
      </c>
    </row>
    <row r="76" spans="1:5" x14ac:dyDescent="0.3">
      <c r="A76" s="26">
        <v>46042</v>
      </c>
      <c r="B76" s="27" t="s">
        <v>4</v>
      </c>
      <c r="C76" s="24">
        <v>-88.5</v>
      </c>
    </row>
    <row r="77" spans="1:5" x14ac:dyDescent="0.3">
      <c r="A77" s="26">
        <v>46044</v>
      </c>
      <c r="B77" s="27" t="s">
        <v>4</v>
      </c>
      <c r="C77" s="24">
        <v>-71.44</v>
      </c>
    </row>
    <row r="78" spans="1:5" x14ac:dyDescent="0.3">
      <c r="A78" s="26">
        <v>46044</v>
      </c>
      <c r="B78" s="27" t="s">
        <v>1</v>
      </c>
      <c r="C78" s="24">
        <v>46.07</v>
      </c>
    </row>
    <row r="79" spans="1:5" x14ac:dyDescent="0.3">
      <c r="A79" s="26">
        <v>46047</v>
      </c>
      <c r="B79" s="27" t="s">
        <v>4</v>
      </c>
      <c r="C79" s="24">
        <v>-81.88</v>
      </c>
    </row>
    <row r="80" spans="1:5" x14ac:dyDescent="0.3">
      <c r="A80" s="26">
        <v>46051</v>
      </c>
      <c r="B80" s="27" t="s">
        <v>4</v>
      </c>
      <c r="C80" s="24">
        <v>-46.07</v>
      </c>
    </row>
    <row r="81" spans="1:3" x14ac:dyDescent="0.3">
      <c r="A81" s="26">
        <v>46051</v>
      </c>
      <c r="B81" s="27" t="s">
        <v>1</v>
      </c>
      <c r="C81" s="24">
        <v>108.2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181A-4872-4086-8D10-D60359B808B0}">
  <sheetPr codeName="Hoja100"/>
  <dimension ref="A1:H73"/>
  <sheetViews>
    <sheetView view="pageBreakPreview" zoomScale="70" zoomScaleNormal="100" zoomScaleSheetLayoutView="70" workbookViewId="0">
      <selection activeCell="C74" sqref="C74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154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51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27.570000000000078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45814</v>
      </c>
      <c r="B5" s="34" t="s">
        <v>21</v>
      </c>
      <c r="C5" s="24">
        <v>42.42</v>
      </c>
      <c r="D5" s="30"/>
      <c r="E5" s="30"/>
      <c r="F5" s="30"/>
      <c r="G5" s="22"/>
    </row>
    <row r="6" spans="1:8" hidden="1" x14ac:dyDescent="0.3">
      <c r="A6" s="21">
        <v>45818</v>
      </c>
      <c r="B6" s="31" t="s">
        <v>7</v>
      </c>
      <c r="C6" s="24">
        <v>-42.43</v>
      </c>
    </row>
    <row r="7" spans="1:8" hidden="1" x14ac:dyDescent="0.3">
      <c r="A7" s="21">
        <v>45818</v>
      </c>
      <c r="B7" s="34" t="s">
        <v>21</v>
      </c>
      <c r="C7" s="24">
        <v>48.36</v>
      </c>
    </row>
    <row r="8" spans="1:8" hidden="1" x14ac:dyDescent="0.3">
      <c r="A8" s="26">
        <v>45825</v>
      </c>
      <c r="B8" s="27" t="s">
        <v>4</v>
      </c>
      <c r="C8" s="24">
        <v>-48.35</v>
      </c>
    </row>
    <row r="9" spans="1:8" hidden="1" x14ac:dyDescent="0.3">
      <c r="A9" s="26">
        <v>45825</v>
      </c>
      <c r="B9" s="27" t="s">
        <v>1</v>
      </c>
      <c r="C9" s="24">
        <v>46.2</v>
      </c>
    </row>
    <row r="10" spans="1:8" hidden="1" x14ac:dyDescent="0.3">
      <c r="A10" s="26">
        <v>45825</v>
      </c>
      <c r="B10" s="35" t="s">
        <v>1</v>
      </c>
      <c r="C10" s="24">
        <v>14.76</v>
      </c>
    </row>
    <row r="11" spans="1:8" hidden="1" x14ac:dyDescent="0.3">
      <c r="A11" s="26">
        <v>45832</v>
      </c>
      <c r="B11" s="27" t="s">
        <v>4</v>
      </c>
      <c r="C11" s="24">
        <v>-60.96</v>
      </c>
    </row>
    <row r="12" spans="1:8" hidden="1" x14ac:dyDescent="0.3">
      <c r="A12" s="26">
        <v>45832</v>
      </c>
      <c r="B12" s="35" t="s">
        <v>1</v>
      </c>
      <c r="C12" s="24">
        <v>37.24</v>
      </c>
    </row>
    <row r="13" spans="1:8" hidden="1" x14ac:dyDescent="0.3">
      <c r="A13" s="26">
        <v>45832</v>
      </c>
      <c r="B13" s="34" t="s">
        <v>21</v>
      </c>
      <c r="C13" s="24">
        <v>40.47</v>
      </c>
    </row>
    <row r="14" spans="1:8" hidden="1" x14ac:dyDescent="0.3">
      <c r="A14" s="26">
        <v>45839</v>
      </c>
      <c r="B14" s="27" t="s">
        <v>7</v>
      </c>
      <c r="C14" s="24">
        <v>-77.709999999999994</v>
      </c>
    </row>
    <row r="15" spans="1:8" hidden="1" x14ac:dyDescent="0.3">
      <c r="A15" s="26">
        <v>45839</v>
      </c>
      <c r="B15" s="35" t="s">
        <v>1</v>
      </c>
      <c r="C15" s="24">
        <v>12.1</v>
      </c>
    </row>
    <row r="16" spans="1:8" hidden="1" x14ac:dyDescent="0.3">
      <c r="A16" s="26">
        <v>45839</v>
      </c>
      <c r="B16" s="34" t="s">
        <v>21</v>
      </c>
      <c r="C16" s="24">
        <v>62.01</v>
      </c>
    </row>
    <row r="17" spans="1:3" hidden="1" x14ac:dyDescent="0.3">
      <c r="A17" s="26">
        <v>45853</v>
      </c>
      <c r="B17" s="27" t="s">
        <v>4</v>
      </c>
      <c r="C17" s="24">
        <v>-69.790000000000006</v>
      </c>
    </row>
    <row r="18" spans="1:3" hidden="1" x14ac:dyDescent="0.3">
      <c r="A18" s="26">
        <v>45853</v>
      </c>
      <c r="B18" s="27" t="s">
        <v>7</v>
      </c>
      <c r="C18" s="24">
        <v>-4.37</v>
      </c>
    </row>
    <row r="19" spans="1:3" hidden="1" x14ac:dyDescent="0.3">
      <c r="A19" s="26">
        <v>45853</v>
      </c>
      <c r="B19" s="32" t="s">
        <v>21</v>
      </c>
      <c r="C19" s="24">
        <v>35.53</v>
      </c>
    </row>
    <row r="20" spans="1:3" hidden="1" x14ac:dyDescent="0.3">
      <c r="A20" s="26">
        <v>45860</v>
      </c>
      <c r="B20" s="27" t="s">
        <v>1</v>
      </c>
      <c r="C20" s="24">
        <v>22.4</v>
      </c>
    </row>
    <row r="21" spans="1:3" hidden="1" x14ac:dyDescent="0.3">
      <c r="A21" s="26">
        <v>45860</v>
      </c>
      <c r="B21" s="32" t="s">
        <v>21</v>
      </c>
      <c r="C21" s="24">
        <v>7.5</v>
      </c>
    </row>
    <row r="22" spans="1:3" hidden="1" x14ac:dyDescent="0.3">
      <c r="A22" s="26">
        <v>45860</v>
      </c>
      <c r="B22" s="34" t="s">
        <v>21</v>
      </c>
      <c r="C22" s="24">
        <v>42.76</v>
      </c>
    </row>
    <row r="23" spans="1:3" hidden="1" x14ac:dyDescent="0.3">
      <c r="A23" s="26">
        <v>45860</v>
      </c>
      <c r="B23" s="27" t="s">
        <v>7</v>
      </c>
      <c r="C23" s="24">
        <v>-48.43</v>
      </c>
    </row>
    <row r="24" spans="1:3" hidden="1" x14ac:dyDescent="0.3">
      <c r="A24" s="26">
        <v>45867</v>
      </c>
      <c r="B24" s="27" t="s">
        <v>7</v>
      </c>
      <c r="C24" s="24">
        <v>-59.74</v>
      </c>
    </row>
    <row r="25" spans="1:3" hidden="1" x14ac:dyDescent="0.3">
      <c r="A25" s="26">
        <v>45867</v>
      </c>
      <c r="B25" s="27" t="s">
        <v>1</v>
      </c>
      <c r="C25" s="24">
        <v>23.8</v>
      </c>
    </row>
    <row r="26" spans="1:3" hidden="1" x14ac:dyDescent="0.3">
      <c r="A26" s="26">
        <v>45867</v>
      </c>
      <c r="B26" s="32" t="s">
        <v>21</v>
      </c>
      <c r="C26" s="24">
        <v>21.94</v>
      </c>
    </row>
    <row r="27" spans="1:3" hidden="1" x14ac:dyDescent="0.3">
      <c r="A27" s="26">
        <v>45867</v>
      </c>
      <c r="B27" s="34" t="s">
        <v>21</v>
      </c>
      <c r="C27" s="24">
        <v>91.74</v>
      </c>
    </row>
    <row r="28" spans="1:3" hidden="1" x14ac:dyDescent="0.3">
      <c r="A28" s="26">
        <v>45881</v>
      </c>
      <c r="B28" s="27" t="s">
        <v>7</v>
      </c>
      <c r="C28" s="24">
        <v>-137.44999999999999</v>
      </c>
    </row>
    <row r="29" spans="1:3" hidden="1" x14ac:dyDescent="0.3">
      <c r="A29" s="26">
        <v>45881</v>
      </c>
      <c r="B29" s="32" t="s">
        <v>21</v>
      </c>
      <c r="C29" s="24">
        <v>17.64</v>
      </c>
    </row>
    <row r="30" spans="1:3" hidden="1" x14ac:dyDescent="0.3">
      <c r="A30" s="26">
        <v>45881</v>
      </c>
      <c r="B30" s="34" t="s">
        <v>21</v>
      </c>
      <c r="C30" s="24">
        <v>17.579999999999998</v>
      </c>
    </row>
    <row r="31" spans="1:3" hidden="1" x14ac:dyDescent="0.3">
      <c r="A31" s="26">
        <v>45888</v>
      </c>
      <c r="B31" s="27" t="s">
        <v>7</v>
      </c>
      <c r="C31" s="24">
        <v>-35.22</v>
      </c>
    </row>
    <row r="32" spans="1:3" hidden="1" x14ac:dyDescent="0.3">
      <c r="A32" s="26">
        <v>45888</v>
      </c>
      <c r="B32" s="27" t="s">
        <v>1</v>
      </c>
      <c r="C32" s="24">
        <v>11.62</v>
      </c>
    </row>
    <row r="33" spans="1:3" hidden="1" x14ac:dyDescent="0.3">
      <c r="A33" s="26">
        <v>45888</v>
      </c>
      <c r="B33" s="34" t="s">
        <v>21</v>
      </c>
      <c r="C33" s="24">
        <v>53.94</v>
      </c>
    </row>
    <row r="34" spans="1:3" hidden="1" x14ac:dyDescent="0.3">
      <c r="A34" s="26">
        <v>45895</v>
      </c>
      <c r="B34" s="27" t="s">
        <v>7</v>
      </c>
      <c r="C34" s="24">
        <v>-65.58</v>
      </c>
    </row>
    <row r="35" spans="1:3" hidden="1" x14ac:dyDescent="0.3">
      <c r="A35" s="26">
        <v>45895</v>
      </c>
      <c r="B35" s="34" t="s">
        <v>21</v>
      </c>
      <c r="C35" s="24">
        <v>69.180000000000007</v>
      </c>
    </row>
    <row r="36" spans="1:3" hidden="1" x14ac:dyDescent="0.3">
      <c r="A36" s="26">
        <v>45909</v>
      </c>
      <c r="B36" s="27" t="s">
        <v>7</v>
      </c>
      <c r="C36" s="24">
        <v>-69.19</v>
      </c>
    </row>
    <row r="37" spans="1:3" hidden="1" x14ac:dyDescent="0.3">
      <c r="A37" s="26">
        <v>45909</v>
      </c>
      <c r="B37" s="27" t="s">
        <v>1</v>
      </c>
      <c r="C37" s="24">
        <v>23.8</v>
      </c>
    </row>
    <row r="38" spans="1:3" hidden="1" x14ac:dyDescent="0.3">
      <c r="A38" s="26">
        <v>45909</v>
      </c>
      <c r="B38" s="32" t="s">
        <v>21</v>
      </c>
      <c r="C38" s="24">
        <v>17.34</v>
      </c>
    </row>
    <row r="39" spans="1:3" hidden="1" x14ac:dyDescent="0.3">
      <c r="A39" s="26">
        <v>45909</v>
      </c>
      <c r="B39" s="34" t="s">
        <v>21</v>
      </c>
      <c r="C39" s="24">
        <v>72.739999999999995</v>
      </c>
    </row>
    <row r="40" spans="1:3" hidden="1" x14ac:dyDescent="0.3">
      <c r="A40" s="26">
        <v>45923</v>
      </c>
      <c r="B40" s="27" t="s">
        <v>7</v>
      </c>
      <c r="C40" s="24">
        <v>-37.409999999999997</v>
      </c>
    </row>
    <row r="41" spans="1:3" hidden="1" x14ac:dyDescent="0.3">
      <c r="A41" s="26">
        <v>45923</v>
      </c>
      <c r="B41" s="32" t="s">
        <v>21</v>
      </c>
      <c r="C41" s="24">
        <v>39.880000000000003</v>
      </c>
    </row>
    <row r="42" spans="1:3" hidden="1" x14ac:dyDescent="0.3">
      <c r="A42" s="26">
        <v>45923</v>
      </c>
      <c r="B42" s="34" t="s">
        <v>21</v>
      </c>
      <c r="C42" s="24">
        <v>13.4</v>
      </c>
    </row>
    <row r="43" spans="1:3" hidden="1" x14ac:dyDescent="0.3">
      <c r="A43" s="26">
        <v>45925</v>
      </c>
      <c r="B43" s="27" t="s">
        <v>4</v>
      </c>
      <c r="C43" s="24">
        <v>-75.069999999999993</v>
      </c>
    </row>
    <row r="44" spans="1:3" hidden="1" x14ac:dyDescent="0.3">
      <c r="A44" s="26">
        <v>45930</v>
      </c>
      <c r="B44" s="27" t="s">
        <v>7</v>
      </c>
      <c r="C44" s="24">
        <v>-44.61</v>
      </c>
    </row>
    <row r="45" spans="1:3" hidden="1" x14ac:dyDescent="0.3">
      <c r="A45" s="26">
        <v>45930</v>
      </c>
      <c r="B45" s="27" t="s">
        <v>1</v>
      </c>
      <c r="C45" s="24">
        <v>70</v>
      </c>
    </row>
    <row r="46" spans="1:3" hidden="1" x14ac:dyDescent="0.3">
      <c r="A46" s="26">
        <v>45930</v>
      </c>
      <c r="B46" s="32" t="s">
        <v>21</v>
      </c>
      <c r="C46" s="24">
        <v>9.84</v>
      </c>
    </row>
    <row r="47" spans="1:3" hidden="1" x14ac:dyDescent="0.3">
      <c r="A47" s="26">
        <v>45930</v>
      </c>
      <c r="B47" s="27" t="s">
        <v>257</v>
      </c>
      <c r="C47" s="24">
        <v>-9.84</v>
      </c>
    </row>
    <row r="48" spans="1:3" hidden="1" x14ac:dyDescent="0.3">
      <c r="A48" s="26">
        <v>45938</v>
      </c>
      <c r="B48" s="27" t="s">
        <v>7</v>
      </c>
      <c r="C48" s="24">
        <v>-80.069999999999993</v>
      </c>
    </row>
    <row r="49" spans="1:3" hidden="1" x14ac:dyDescent="0.3">
      <c r="A49" s="26">
        <v>45938</v>
      </c>
      <c r="B49" s="32" t="s">
        <v>21</v>
      </c>
      <c r="C49" s="24">
        <v>9.84</v>
      </c>
    </row>
    <row r="50" spans="1:3" hidden="1" x14ac:dyDescent="0.3">
      <c r="A50" s="26">
        <v>45944</v>
      </c>
      <c r="B50" s="27" t="s">
        <v>7</v>
      </c>
      <c r="C50" s="24">
        <v>-9.84</v>
      </c>
    </row>
    <row r="51" spans="1:3" hidden="1" x14ac:dyDescent="0.3">
      <c r="A51" s="26">
        <v>45944</v>
      </c>
      <c r="B51" s="32" t="s">
        <v>21</v>
      </c>
      <c r="C51" s="24">
        <v>19.68</v>
      </c>
    </row>
    <row r="52" spans="1:3" hidden="1" x14ac:dyDescent="0.3">
      <c r="A52" s="26">
        <v>45951</v>
      </c>
      <c r="B52" s="27" t="s">
        <v>7</v>
      </c>
      <c r="C52" s="24">
        <v>-19.66</v>
      </c>
    </row>
    <row r="53" spans="1:3" hidden="1" x14ac:dyDescent="0.3">
      <c r="A53" s="26">
        <v>45951</v>
      </c>
      <c r="B53" s="34" t="s">
        <v>21</v>
      </c>
      <c r="C53" s="24">
        <v>106.56</v>
      </c>
    </row>
    <row r="54" spans="1:3" hidden="1" x14ac:dyDescent="0.3">
      <c r="A54" s="26">
        <v>45958</v>
      </c>
      <c r="B54" s="27" t="s">
        <v>7</v>
      </c>
      <c r="C54" s="24">
        <v>-106.59</v>
      </c>
    </row>
    <row r="55" spans="1:3" x14ac:dyDescent="0.3">
      <c r="A55" s="26">
        <v>45958</v>
      </c>
      <c r="B55" s="32" t="s">
        <v>21</v>
      </c>
      <c r="C55" s="24">
        <v>17</v>
      </c>
    </row>
    <row r="56" spans="1:3" x14ac:dyDescent="0.3">
      <c r="A56" s="26">
        <v>45958</v>
      </c>
      <c r="B56" s="34" t="s">
        <v>21</v>
      </c>
      <c r="C56" s="24">
        <v>76.56</v>
      </c>
    </row>
    <row r="57" spans="1:3" x14ac:dyDescent="0.3">
      <c r="A57" s="26">
        <v>45972</v>
      </c>
      <c r="B57" s="27" t="s">
        <v>1</v>
      </c>
      <c r="C57" s="24">
        <v>162.4</v>
      </c>
    </row>
    <row r="58" spans="1:3" x14ac:dyDescent="0.3">
      <c r="A58" s="26">
        <v>45972</v>
      </c>
      <c r="B58" s="27" t="s">
        <v>7</v>
      </c>
      <c r="C58" s="24">
        <v>-93.57</v>
      </c>
    </row>
    <row r="59" spans="1:3" x14ac:dyDescent="0.3">
      <c r="A59" s="26">
        <v>45986</v>
      </c>
      <c r="B59" s="27" t="s">
        <v>7</v>
      </c>
      <c r="C59" s="24">
        <v>-162.41999999999999</v>
      </c>
    </row>
    <row r="60" spans="1:3" x14ac:dyDescent="0.3">
      <c r="A60" s="26">
        <v>45986</v>
      </c>
      <c r="B60" s="27" t="s">
        <v>1</v>
      </c>
      <c r="C60" s="24">
        <v>134.97999999999999</v>
      </c>
    </row>
    <row r="61" spans="1:3" x14ac:dyDescent="0.3">
      <c r="A61" s="26">
        <v>46002</v>
      </c>
      <c r="B61" s="27" t="s">
        <v>7</v>
      </c>
      <c r="C61" s="24">
        <v>-134.91999999999999</v>
      </c>
    </row>
    <row r="62" spans="1:3" x14ac:dyDescent="0.3">
      <c r="A62" s="26">
        <v>46007</v>
      </c>
      <c r="B62" s="27" t="s">
        <v>1</v>
      </c>
      <c r="C62" s="24">
        <v>26.7</v>
      </c>
    </row>
    <row r="63" spans="1:3" x14ac:dyDescent="0.3">
      <c r="A63" s="26">
        <v>46014</v>
      </c>
      <c r="B63" s="27" t="s">
        <v>4</v>
      </c>
      <c r="C63" s="24">
        <v>-26.72</v>
      </c>
    </row>
    <row r="64" spans="1:3" x14ac:dyDescent="0.3">
      <c r="A64" s="26">
        <v>46014</v>
      </c>
      <c r="B64" s="27" t="s">
        <v>1</v>
      </c>
      <c r="C64" s="24">
        <v>78.459999999999994</v>
      </c>
    </row>
    <row r="65" spans="1:3" x14ac:dyDescent="0.3">
      <c r="A65" s="26">
        <v>46021</v>
      </c>
      <c r="B65" s="27" t="s">
        <v>7</v>
      </c>
      <c r="C65" s="24">
        <v>-78.48</v>
      </c>
    </row>
    <row r="66" spans="1:3" x14ac:dyDescent="0.3">
      <c r="A66" s="26">
        <v>46021</v>
      </c>
      <c r="B66" s="27" t="s">
        <v>1</v>
      </c>
      <c r="C66" s="24">
        <v>104.49</v>
      </c>
    </row>
    <row r="67" spans="1:3" x14ac:dyDescent="0.3">
      <c r="A67" s="26">
        <v>46028</v>
      </c>
      <c r="B67" s="27" t="s">
        <v>7</v>
      </c>
      <c r="C67" s="24">
        <v>-104.45</v>
      </c>
    </row>
    <row r="68" spans="1:3" x14ac:dyDescent="0.3">
      <c r="A68" s="26">
        <v>46028</v>
      </c>
      <c r="B68" s="27" t="s">
        <v>1</v>
      </c>
      <c r="C68" s="24">
        <v>91.58</v>
      </c>
    </row>
    <row r="69" spans="1:3" x14ac:dyDescent="0.3">
      <c r="A69" s="26">
        <v>46035</v>
      </c>
      <c r="B69" s="27" t="s">
        <v>7</v>
      </c>
      <c r="C69" s="24">
        <v>-91.6</v>
      </c>
    </row>
    <row r="70" spans="1:3" x14ac:dyDescent="0.3">
      <c r="A70" s="26">
        <v>46035</v>
      </c>
      <c r="B70" s="27" t="s">
        <v>1</v>
      </c>
      <c r="C70" s="24">
        <v>7.5</v>
      </c>
    </row>
    <row r="71" spans="1:3" x14ac:dyDescent="0.3">
      <c r="A71" s="26">
        <v>46042</v>
      </c>
      <c r="B71" s="27" t="s">
        <v>4</v>
      </c>
      <c r="C71" s="24">
        <v>-78.59</v>
      </c>
    </row>
    <row r="72" spans="1:3" x14ac:dyDescent="0.3">
      <c r="A72" s="26">
        <v>46042</v>
      </c>
      <c r="B72" s="27" t="s">
        <v>1</v>
      </c>
      <c r="C72" s="24">
        <v>71.22</v>
      </c>
    </row>
    <row r="73" spans="1:3" x14ac:dyDescent="0.3">
      <c r="A73" s="26">
        <v>46051</v>
      </c>
      <c r="B73" s="27" t="s">
        <v>1</v>
      </c>
      <c r="C73" s="24">
        <v>27.47</v>
      </c>
    </row>
  </sheetData>
  <mergeCells count="1">
    <mergeCell ref="A3:B3"/>
  </mergeCells>
  <pageMargins left="0.7" right="0.7" top="0.75" bottom="0.75" header="0.3" footer="0.3"/>
  <pageSetup paperSize="5" scale="81" orientation="portrait" r:id="rId1"/>
  <legacyDrawing r:id="rId2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3FB86-FA3C-4C10-9382-C8224C665DF6}">
  <sheetPr codeName="Hoja171"/>
  <dimension ref="A1:H46"/>
  <sheetViews>
    <sheetView view="pageBreakPreview" zoomScale="80" zoomScaleNormal="100" zoomScaleSheetLayoutView="80" workbookViewId="0">
      <selection activeCell="A47" sqref="A4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259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16.590000000000003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45826</v>
      </c>
      <c r="B5" s="34" t="s">
        <v>21</v>
      </c>
      <c r="C5" s="24">
        <v>26.4</v>
      </c>
      <c r="D5" s="30"/>
      <c r="E5" s="30"/>
      <c r="F5" s="30"/>
      <c r="G5" s="22"/>
    </row>
    <row r="6" spans="1:8" hidden="1" x14ac:dyDescent="0.3">
      <c r="A6" s="21">
        <v>45833</v>
      </c>
      <c r="B6" s="27" t="s">
        <v>4</v>
      </c>
      <c r="C6" s="24">
        <v>-26.4</v>
      </c>
    </row>
    <row r="7" spans="1:8" hidden="1" x14ac:dyDescent="0.3">
      <c r="A7" s="21">
        <v>45833</v>
      </c>
      <c r="B7" s="35" t="s">
        <v>1</v>
      </c>
      <c r="C7" s="24">
        <v>7.5</v>
      </c>
    </row>
    <row r="8" spans="1:8" hidden="1" x14ac:dyDescent="0.3">
      <c r="A8" s="21">
        <v>45833</v>
      </c>
      <c r="B8" s="34" t="s">
        <v>21</v>
      </c>
      <c r="C8" s="24">
        <v>24</v>
      </c>
    </row>
    <row r="9" spans="1:8" hidden="1" x14ac:dyDescent="0.3">
      <c r="A9" s="26">
        <v>45840</v>
      </c>
      <c r="B9" s="27" t="s">
        <v>4</v>
      </c>
      <c r="C9" s="24">
        <v>-31.5</v>
      </c>
    </row>
    <row r="10" spans="1:8" hidden="1" x14ac:dyDescent="0.3">
      <c r="A10" s="26">
        <v>45840</v>
      </c>
      <c r="B10" s="35" t="s">
        <v>1</v>
      </c>
      <c r="C10" s="24">
        <v>7.5</v>
      </c>
    </row>
    <row r="11" spans="1:8" hidden="1" x14ac:dyDescent="0.3">
      <c r="A11" s="26">
        <v>45840</v>
      </c>
      <c r="B11" s="34" t="s">
        <v>21</v>
      </c>
      <c r="C11" s="24">
        <v>14.84</v>
      </c>
    </row>
    <row r="12" spans="1:8" hidden="1" x14ac:dyDescent="0.3">
      <c r="A12" s="26">
        <v>45847</v>
      </c>
      <c r="B12" s="31" t="s">
        <v>4</v>
      </c>
      <c r="C12" s="24">
        <v>-22.34</v>
      </c>
    </row>
    <row r="13" spans="1:8" hidden="1" x14ac:dyDescent="0.3">
      <c r="A13" s="26">
        <v>45847</v>
      </c>
      <c r="B13" s="34" t="s">
        <v>21</v>
      </c>
      <c r="C13" s="24">
        <v>18.559999999999999</v>
      </c>
    </row>
    <row r="14" spans="1:8" hidden="1" x14ac:dyDescent="0.3">
      <c r="A14" s="26">
        <v>45854</v>
      </c>
      <c r="B14" s="34" t="s">
        <v>21</v>
      </c>
      <c r="C14" s="24">
        <v>13.56</v>
      </c>
    </row>
    <row r="15" spans="1:8" hidden="1" x14ac:dyDescent="0.3">
      <c r="A15" s="26">
        <v>45861</v>
      </c>
      <c r="B15" s="27" t="s">
        <v>4</v>
      </c>
      <c r="C15" s="24">
        <v>-32.119999999999997</v>
      </c>
    </row>
    <row r="16" spans="1:8" hidden="1" x14ac:dyDescent="0.3">
      <c r="A16" s="26">
        <v>45861</v>
      </c>
      <c r="B16" s="35" t="s">
        <v>1</v>
      </c>
      <c r="C16" s="24">
        <v>7.5</v>
      </c>
    </row>
    <row r="17" spans="1:3" hidden="1" x14ac:dyDescent="0.3">
      <c r="A17" s="26">
        <v>45861</v>
      </c>
      <c r="B17" s="34" t="s">
        <v>21</v>
      </c>
      <c r="C17" s="24">
        <v>10.16</v>
      </c>
    </row>
    <row r="18" spans="1:3" hidden="1" x14ac:dyDescent="0.3">
      <c r="A18" s="26">
        <v>45869</v>
      </c>
      <c r="B18" s="27" t="s">
        <v>4</v>
      </c>
      <c r="C18" s="24">
        <v>-17.66</v>
      </c>
    </row>
    <row r="19" spans="1:3" hidden="1" x14ac:dyDescent="0.3">
      <c r="A19" s="26">
        <v>45869</v>
      </c>
      <c r="B19" s="27" t="s">
        <v>4</v>
      </c>
      <c r="C19" s="24">
        <v>-36.58</v>
      </c>
    </row>
    <row r="20" spans="1:3" hidden="1" x14ac:dyDescent="0.3">
      <c r="A20" s="26">
        <v>45869</v>
      </c>
      <c r="B20" s="35" t="s">
        <v>1</v>
      </c>
      <c r="C20" s="24">
        <v>9.84</v>
      </c>
    </row>
    <row r="21" spans="1:3" hidden="1" x14ac:dyDescent="0.3">
      <c r="A21" s="26">
        <v>45869</v>
      </c>
      <c r="B21" s="34" t="s">
        <v>21</v>
      </c>
      <c r="C21" s="24">
        <v>26.74</v>
      </c>
    </row>
    <row r="22" spans="1:3" x14ac:dyDescent="0.3">
      <c r="A22" s="26">
        <v>45896</v>
      </c>
      <c r="B22" s="27" t="s">
        <v>4</v>
      </c>
      <c r="C22" s="24">
        <v>-25.79</v>
      </c>
    </row>
    <row r="23" spans="1:3" x14ac:dyDescent="0.3">
      <c r="A23" s="26">
        <v>45896</v>
      </c>
      <c r="B23" s="34" t="s">
        <v>21</v>
      </c>
      <c r="C23" s="24">
        <v>21.83</v>
      </c>
    </row>
    <row r="24" spans="1:3" x14ac:dyDescent="0.3">
      <c r="A24" s="26">
        <v>45910</v>
      </c>
      <c r="B24" s="27" t="s">
        <v>4</v>
      </c>
      <c r="C24" s="24">
        <v>-41.28</v>
      </c>
    </row>
    <row r="25" spans="1:3" x14ac:dyDescent="0.3">
      <c r="A25" s="26">
        <v>45910</v>
      </c>
      <c r="B25" s="35" t="s">
        <v>1</v>
      </c>
      <c r="C25" s="24">
        <v>7.5</v>
      </c>
    </row>
    <row r="26" spans="1:3" x14ac:dyDescent="0.3">
      <c r="A26" s="26">
        <v>45910</v>
      </c>
      <c r="B26" s="34" t="s">
        <v>21</v>
      </c>
      <c r="C26" s="24">
        <v>33.78</v>
      </c>
    </row>
    <row r="27" spans="1:3" x14ac:dyDescent="0.3">
      <c r="A27" s="26">
        <v>45945</v>
      </c>
      <c r="B27" s="35" t="s">
        <v>1</v>
      </c>
      <c r="C27" s="24">
        <v>4.5</v>
      </c>
    </row>
    <row r="28" spans="1:3" x14ac:dyDescent="0.3">
      <c r="A28" s="26">
        <v>45945</v>
      </c>
      <c r="B28" s="34" t="s">
        <v>21</v>
      </c>
      <c r="C28" s="24">
        <v>7.44</v>
      </c>
    </row>
    <row r="29" spans="1:3" x14ac:dyDescent="0.3">
      <c r="A29" s="26">
        <v>45952</v>
      </c>
      <c r="B29" s="27" t="s">
        <v>4</v>
      </c>
      <c r="C29" s="24">
        <v>-11.94</v>
      </c>
    </row>
    <row r="30" spans="1:3" x14ac:dyDescent="0.3">
      <c r="A30" s="26">
        <v>45952</v>
      </c>
      <c r="B30" s="34" t="s">
        <v>21</v>
      </c>
      <c r="C30" s="24">
        <v>13.15</v>
      </c>
    </row>
    <row r="31" spans="1:3" x14ac:dyDescent="0.3">
      <c r="A31" s="26">
        <v>45959</v>
      </c>
      <c r="B31" s="27" t="s">
        <v>4</v>
      </c>
      <c r="C31" s="24">
        <v>-13.15</v>
      </c>
    </row>
    <row r="32" spans="1:3" x14ac:dyDescent="0.3">
      <c r="A32" s="26">
        <v>45959</v>
      </c>
      <c r="B32" s="35" t="s">
        <v>1</v>
      </c>
      <c r="C32" s="24">
        <v>4.5</v>
      </c>
    </row>
    <row r="33" spans="1:3" x14ac:dyDescent="0.3">
      <c r="A33" s="26">
        <v>45973</v>
      </c>
      <c r="B33" s="27" t="s">
        <v>1</v>
      </c>
      <c r="C33" s="24">
        <v>34.35</v>
      </c>
    </row>
    <row r="34" spans="1:3" x14ac:dyDescent="0.3">
      <c r="A34" s="26">
        <v>45980</v>
      </c>
      <c r="B34" s="27" t="s">
        <v>4</v>
      </c>
      <c r="C34" s="24">
        <v>-34.35</v>
      </c>
    </row>
    <row r="35" spans="1:3" x14ac:dyDescent="0.3">
      <c r="A35" s="26">
        <v>45980</v>
      </c>
      <c r="B35" s="27" t="s">
        <v>4</v>
      </c>
      <c r="C35" s="24">
        <v>-4.5</v>
      </c>
    </row>
    <row r="36" spans="1:3" x14ac:dyDescent="0.3">
      <c r="A36" s="26">
        <v>45980</v>
      </c>
      <c r="B36" s="27" t="s">
        <v>1</v>
      </c>
      <c r="C36" s="24">
        <v>38.590000000000003</v>
      </c>
    </row>
    <row r="37" spans="1:3" x14ac:dyDescent="0.3">
      <c r="A37" s="26">
        <v>45987</v>
      </c>
      <c r="B37" s="27" t="s">
        <v>4</v>
      </c>
      <c r="C37" s="24">
        <v>-38.590000000000003</v>
      </c>
    </row>
    <row r="38" spans="1:3" x14ac:dyDescent="0.3">
      <c r="A38" s="26">
        <v>45987</v>
      </c>
      <c r="B38" s="27" t="s">
        <v>1</v>
      </c>
      <c r="C38" s="24">
        <v>17.47</v>
      </c>
    </row>
    <row r="39" spans="1:3" x14ac:dyDescent="0.3">
      <c r="A39" s="26">
        <v>45994</v>
      </c>
      <c r="B39" s="27" t="s">
        <v>4</v>
      </c>
      <c r="C39" s="24">
        <v>-17.47</v>
      </c>
    </row>
    <row r="40" spans="1:3" x14ac:dyDescent="0.3">
      <c r="A40" s="26">
        <v>46001</v>
      </c>
      <c r="B40" s="27" t="s">
        <v>1</v>
      </c>
      <c r="C40" s="24">
        <v>12.79</v>
      </c>
    </row>
    <row r="41" spans="1:3" x14ac:dyDescent="0.3">
      <c r="A41" s="26">
        <v>46008</v>
      </c>
      <c r="B41" s="27" t="s">
        <v>4</v>
      </c>
      <c r="C41" s="24">
        <v>-12.79</v>
      </c>
    </row>
    <row r="42" spans="1:3" x14ac:dyDescent="0.3">
      <c r="A42" s="26">
        <v>46021</v>
      </c>
      <c r="B42" s="27" t="s">
        <v>1</v>
      </c>
      <c r="C42" s="24">
        <v>43.92</v>
      </c>
    </row>
    <row r="43" spans="1:3" x14ac:dyDescent="0.3">
      <c r="A43" s="26">
        <v>46027</v>
      </c>
      <c r="B43" s="27" t="s">
        <v>4</v>
      </c>
      <c r="C43" s="24">
        <v>-39.96</v>
      </c>
    </row>
    <row r="44" spans="1:3" x14ac:dyDescent="0.3">
      <c r="A44" s="26">
        <v>46036</v>
      </c>
      <c r="B44" s="27" t="s">
        <v>1</v>
      </c>
      <c r="C44" s="24">
        <v>19.86</v>
      </c>
    </row>
    <row r="45" spans="1:3" x14ac:dyDescent="0.3">
      <c r="A45" s="26">
        <v>46043</v>
      </c>
      <c r="B45" s="27" t="s">
        <v>1</v>
      </c>
      <c r="C45" s="24">
        <v>15.73</v>
      </c>
    </row>
    <row r="46" spans="1:3" x14ac:dyDescent="0.3">
      <c r="A46" s="26">
        <v>46047</v>
      </c>
      <c r="B46" s="27" t="s">
        <v>4</v>
      </c>
      <c r="C46" s="24">
        <v>-19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173B4-664E-451F-97E5-BD4F13FF7340}">
  <dimension ref="A1:H86"/>
  <sheetViews>
    <sheetView view="pageBreakPreview" zoomScale="80" zoomScaleNormal="100" zoomScaleSheetLayoutView="80" workbookViewId="0">
      <selection activeCell="C15" sqref="C1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445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446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45917</v>
      </c>
      <c r="B5" s="32" t="s">
        <v>21</v>
      </c>
      <c r="C5" s="24">
        <v>9.6</v>
      </c>
      <c r="D5" s="30"/>
      <c r="E5" s="30"/>
      <c r="F5" s="30"/>
      <c r="G5" s="22"/>
    </row>
    <row r="6" spans="1:8" x14ac:dyDescent="0.3">
      <c r="A6" s="21">
        <v>45925</v>
      </c>
      <c r="B6" s="27" t="s">
        <v>4</v>
      </c>
      <c r="C6" s="24">
        <v>-9.61</v>
      </c>
    </row>
    <row r="7" spans="1:8" x14ac:dyDescent="0.3">
      <c r="A7" s="21">
        <v>45938</v>
      </c>
      <c r="B7" s="32" t="s">
        <v>21</v>
      </c>
      <c r="C7" s="24">
        <v>9.5</v>
      </c>
    </row>
    <row r="8" spans="1:8" x14ac:dyDescent="0.3">
      <c r="A8" s="21">
        <v>45952</v>
      </c>
      <c r="B8" s="27" t="s">
        <v>7</v>
      </c>
      <c r="C8" s="24">
        <v>-9.6199999999999992</v>
      </c>
    </row>
    <row r="9" spans="1:8" x14ac:dyDescent="0.3">
      <c r="A9" s="21">
        <v>45980</v>
      </c>
      <c r="B9" s="27" t="s">
        <v>1</v>
      </c>
      <c r="C9" s="24">
        <v>10</v>
      </c>
    </row>
    <row r="10" spans="1:8" x14ac:dyDescent="0.3">
      <c r="A10" s="26">
        <v>46001</v>
      </c>
      <c r="B10" s="27" t="s">
        <v>7</v>
      </c>
      <c r="C10" s="24">
        <v>-10</v>
      </c>
    </row>
    <row r="11" spans="1:8" x14ac:dyDescent="0.3">
      <c r="A11" s="26">
        <v>46036</v>
      </c>
      <c r="B11" s="27" t="s">
        <v>1</v>
      </c>
      <c r="C11" s="24">
        <v>10</v>
      </c>
    </row>
    <row r="12" spans="1:8" x14ac:dyDescent="0.3">
      <c r="A12" s="26">
        <v>46043</v>
      </c>
      <c r="B12" s="27" t="s">
        <v>4</v>
      </c>
      <c r="C12" s="24">
        <v>-10</v>
      </c>
    </row>
    <row r="13" spans="1:8" x14ac:dyDescent="0.3">
      <c r="A13" s="26">
        <v>46050</v>
      </c>
      <c r="B13" s="27" t="s">
        <v>1</v>
      </c>
      <c r="C13" s="24">
        <v>10.02</v>
      </c>
    </row>
    <row r="14" spans="1:8" x14ac:dyDescent="0.3">
      <c r="A14" s="26">
        <v>46056</v>
      </c>
      <c r="B14" s="27" t="s">
        <v>7</v>
      </c>
      <c r="C14" s="24">
        <v>-9.89</v>
      </c>
    </row>
    <row r="16" spans="1:8" x14ac:dyDescent="0.3">
      <c r="B16" s="34"/>
    </row>
    <row r="19" spans="2:2" x14ac:dyDescent="0.3">
      <c r="B19" s="34"/>
    </row>
    <row r="22" spans="2:2" x14ac:dyDescent="0.3">
      <c r="B22" s="34"/>
    </row>
    <row r="23" spans="2:2" x14ac:dyDescent="0.3">
      <c r="B23" s="46"/>
    </row>
    <row r="26" spans="2:2" x14ac:dyDescent="0.3">
      <c r="B26" s="34"/>
    </row>
    <row r="27" spans="2:2" x14ac:dyDescent="0.3">
      <c r="B27" s="46"/>
    </row>
    <row r="30" spans="2:2" x14ac:dyDescent="0.3">
      <c r="B30" s="34"/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0D703-234E-4E94-B6D0-78DDA28E7EC1}">
  <dimension ref="A1:H86"/>
  <sheetViews>
    <sheetView view="pageBreakPreview" zoomScale="80" zoomScaleNormal="100" zoomScaleSheetLayoutView="80" workbookViewId="0">
      <selection activeCell="C76" sqref="C7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334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68.920000000000016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45841</v>
      </c>
      <c r="B5" s="27" t="s">
        <v>4</v>
      </c>
      <c r="C5" s="24">
        <v>-18.399999999999999</v>
      </c>
      <c r="D5" s="30"/>
      <c r="E5" s="30"/>
      <c r="F5" s="30"/>
      <c r="G5" s="22"/>
    </row>
    <row r="6" spans="1:8" hidden="1" x14ac:dyDescent="0.3">
      <c r="A6" s="21">
        <v>45841</v>
      </c>
      <c r="B6" s="27" t="s">
        <v>21</v>
      </c>
      <c r="C6" s="24">
        <v>18.41</v>
      </c>
    </row>
    <row r="7" spans="1:8" hidden="1" x14ac:dyDescent="0.3">
      <c r="A7" s="21">
        <v>45849</v>
      </c>
      <c r="B7" s="27" t="s">
        <v>4</v>
      </c>
      <c r="C7" s="24">
        <v>-34.25</v>
      </c>
    </row>
    <row r="8" spans="1:8" hidden="1" x14ac:dyDescent="0.3">
      <c r="A8" s="21">
        <v>45849</v>
      </c>
      <c r="B8" s="27" t="s">
        <v>1</v>
      </c>
      <c r="C8" s="24">
        <v>18.399999999999999</v>
      </c>
    </row>
    <row r="9" spans="1:8" hidden="1" x14ac:dyDescent="0.3">
      <c r="A9" s="21">
        <v>45849</v>
      </c>
      <c r="B9" s="32" t="s">
        <v>1</v>
      </c>
      <c r="C9" s="24">
        <v>15.85</v>
      </c>
    </row>
    <row r="10" spans="1:8" hidden="1" x14ac:dyDescent="0.3">
      <c r="A10" s="26">
        <v>45856</v>
      </c>
      <c r="B10" s="27" t="s">
        <v>4</v>
      </c>
      <c r="C10" s="24">
        <v>-86.56</v>
      </c>
    </row>
    <row r="11" spans="1:8" hidden="1" x14ac:dyDescent="0.3">
      <c r="A11" s="26">
        <v>45856</v>
      </c>
      <c r="B11" s="27" t="s">
        <v>1</v>
      </c>
      <c r="C11" s="24">
        <v>36.799999999999997</v>
      </c>
    </row>
    <row r="12" spans="1:8" hidden="1" x14ac:dyDescent="0.3">
      <c r="A12" s="26">
        <v>45856</v>
      </c>
      <c r="B12" s="46" t="s">
        <v>1</v>
      </c>
      <c r="C12" s="24">
        <v>8.16</v>
      </c>
    </row>
    <row r="13" spans="1:8" hidden="1" x14ac:dyDescent="0.3">
      <c r="A13" s="26">
        <v>45860</v>
      </c>
      <c r="B13" s="27" t="s">
        <v>1</v>
      </c>
      <c r="C13" s="24">
        <v>41.6</v>
      </c>
    </row>
    <row r="14" spans="1:8" hidden="1" x14ac:dyDescent="0.3">
      <c r="A14" s="26">
        <v>45863</v>
      </c>
      <c r="B14" s="27" t="s">
        <v>4</v>
      </c>
      <c r="C14" s="24">
        <v>-116.78</v>
      </c>
    </row>
    <row r="15" spans="1:8" hidden="1" x14ac:dyDescent="0.3">
      <c r="A15" s="26">
        <v>45862</v>
      </c>
      <c r="B15" s="27" t="s">
        <v>1</v>
      </c>
      <c r="C15" s="24">
        <v>78.400000000000006</v>
      </c>
    </row>
    <row r="16" spans="1:8" hidden="1" x14ac:dyDescent="0.3">
      <c r="A16" s="26">
        <v>45862</v>
      </c>
      <c r="B16" s="34" t="s">
        <v>1</v>
      </c>
      <c r="C16" s="24">
        <v>38.380000000000003</v>
      </c>
    </row>
    <row r="17" spans="1:3" hidden="1" x14ac:dyDescent="0.3">
      <c r="A17" s="26">
        <v>45869</v>
      </c>
      <c r="B17" s="27" t="s">
        <v>4</v>
      </c>
      <c r="C17" s="24">
        <v>-125.81</v>
      </c>
    </row>
    <row r="18" spans="1:3" hidden="1" x14ac:dyDescent="0.3">
      <c r="A18" s="26">
        <v>45869</v>
      </c>
      <c r="B18" s="27" t="s">
        <v>1</v>
      </c>
      <c r="C18" s="24">
        <v>99.2</v>
      </c>
    </row>
    <row r="19" spans="1:3" hidden="1" x14ac:dyDescent="0.3">
      <c r="A19" s="26">
        <v>45869</v>
      </c>
      <c r="B19" s="34" t="s">
        <v>1</v>
      </c>
      <c r="C19" s="24">
        <v>23.4</v>
      </c>
    </row>
    <row r="20" spans="1:3" hidden="1" x14ac:dyDescent="0.3">
      <c r="A20" s="26">
        <v>45890</v>
      </c>
      <c r="B20" s="27" t="s">
        <v>4</v>
      </c>
      <c r="C20" s="24">
        <v>-248.56</v>
      </c>
    </row>
    <row r="21" spans="1:3" hidden="1" x14ac:dyDescent="0.3">
      <c r="A21" s="26">
        <v>45890</v>
      </c>
      <c r="B21" s="27" t="s">
        <v>1</v>
      </c>
      <c r="C21" s="24">
        <v>208</v>
      </c>
    </row>
    <row r="22" spans="1:3" hidden="1" x14ac:dyDescent="0.3">
      <c r="A22" s="26">
        <v>45890</v>
      </c>
      <c r="B22" s="34" t="s">
        <v>1</v>
      </c>
      <c r="C22" s="24">
        <v>34.14</v>
      </c>
    </row>
    <row r="23" spans="1:3" hidden="1" x14ac:dyDescent="0.3">
      <c r="A23" s="26">
        <v>45890</v>
      </c>
      <c r="B23" s="46" t="s">
        <v>1</v>
      </c>
      <c r="C23" s="24">
        <v>6.42</v>
      </c>
    </row>
    <row r="24" spans="1:3" hidden="1" x14ac:dyDescent="0.3">
      <c r="A24" s="26">
        <v>45893</v>
      </c>
      <c r="B24" s="27" t="s">
        <v>4</v>
      </c>
      <c r="C24" s="24">
        <v>-84.82</v>
      </c>
    </row>
    <row r="25" spans="1:3" hidden="1" x14ac:dyDescent="0.3">
      <c r="A25" s="26">
        <v>45891</v>
      </c>
      <c r="B25" s="27" t="s">
        <v>1</v>
      </c>
      <c r="C25" s="24">
        <v>78.400000000000006</v>
      </c>
    </row>
    <row r="26" spans="1:3" hidden="1" x14ac:dyDescent="0.3">
      <c r="A26" s="26">
        <v>45891</v>
      </c>
      <c r="B26" s="34" t="s">
        <v>1</v>
      </c>
      <c r="C26" s="24">
        <v>2.77</v>
      </c>
    </row>
    <row r="27" spans="1:3" hidden="1" x14ac:dyDescent="0.3">
      <c r="A27" s="26">
        <v>45891</v>
      </c>
      <c r="B27" s="46" t="s">
        <v>1</v>
      </c>
      <c r="C27" s="24">
        <v>6.42</v>
      </c>
    </row>
    <row r="28" spans="1:3" hidden="1" x14ac:dyDescent="0.3">
      <c r="A28" s="26">
        <v>45904</v>
      </c>
      <c r="B28" s="27" t="s">
        <v>4</v>
      </c>
      <c r="C28" s="24">
        <v>-80</v>
      </c>
    </row>
    <row r="29" spans="1:3" hidden="1" x14ac:dyDescent="0.3">
      <c r="A29" s="26">
        <v>45904</v>
      </c>
      <c r="B29" s="27" t="s">
        <v>1</v>
      </c>
      <c r="C29" s="24">
        <v>122.4</v>
      </c>
    </row>
    <row r="30" spans="1:3" hidden="1" x14ac:dyDescent="0.3">
      <c r="A30" s="26">
        <v>45904</v>
      </c>
      <c r="B30" s="34" t="s">
        <v>1</v>
      </c>
      <c r="C30" s="24">
        <v>14.82</v>
      </c>
    </row>
    <row r="31" spans="1:3" hidden="1" x14ac:dyDescent="0.3">
      <c r="A31" s="26">
        <v>45905</v>
      </c>
      <c r="B31" s="27" t="s">
        <v>4</v>
      </c>
      <c r="C31" s="24">
        <v>-57.22</v>
      </c>
    </row>
    <row r="32" spans="1:3" hidden="1" x14ac:dyDescent="0.3">
      <c r="A32" s="26">
        <v>45918</v>
      </c>
      <c r="B32" s="27" t="s">
        <v>1</v>
      </c>
      <c r="C32" s="24">
        <v>208</v>
      </c>
    </row>
    <row r="33" spans="1:3" hidden="1" x14ac:dyDescent="0.3">
      <c r="A33" s="26">
        <v>45919</v>
      </c>
      <c r="B33" s="27" t="s">
        <v>4</v>
      </c>
      <c r="C33" s="24">
        <v>-250</v>
      </c>
    </row>
    <row r="34" spans="1:3" hidden="1" x14ac:dyDescent="0.3">
      <c r="A34" s="26">
        <v>45920</v>
      </c>
      <c r="B34" s="27" t="s">
        <v>1</v>
      </c>
      <c r="C34" s="24">
        <v>62.4</v>
      </c>
    </row>
    <row r="35" spans="1:3" hidden="1" x14ac:dyDescent="0.3">
      <c r="A35" s="26">
        <v>45923</v>
      </c>
      <c r="B35" s="27" t="s">
        <v>4</v>
      </c>
      <c r="C35" s="24">
        <v>-20.399999999999999</v>
      </c>
    </row>
    <row r="36" spans="1:3" hidden="1" x14ac:dyDescent="0.3">
      <c r="A36" s="26">
        <v>45925</v>
      </c>
      <c r="B36" s="27" t="s">
        <v>1</v>
      </c>
      <c r="C36" s="24">
        <v>108.8</v>
      </c>
    </row>
    <row r="37" spans="1:3" hidden="1" x14ac:dyDescent="0.3">
      <c r="A37" s="26">
        <v>45925</v>
      </c>
      <c r="B37" s="34" t="s">
        <v>1</v>
      </c>
      <c r="C37" s="24">
        <v>36.090000000000003</v>
      </c>
    </row>
    <row r="38" spans="1:3" hidden="1" x14ac:dyDescent="0.3">
      <c r="A38" s="26">
        <v>45929</v>
      </c>
      <c r="B38" s="27" t="s">
        <v>4</v>
      </c>
      <c r="C38" s="24">
        <v>-144.88999999999999</v>
      </c>
    </row>
    <row r="39" spans="1:3" hidden="1" x14ac:dyDescent="0.3">
      <c r="A39" s="26">
        <v>45932</v>
      </c>
      <c r="B39" s="27" t="s">
        <v>4</v>
      </c>
      <c r="C39" s="24">
        <v>-65</v>
      </c>
    </row>
    <row r="40" spans="1:3" hidden="1" x14ac:dyDescent="0.3">
      <c r="A40" s="26">
        <v>45932</v>
      </c>
      <c r="B40" s="27" t="s">
        <v>1</v>
      </c>
      <c r="C40" s="24">
        <v>124.8</v>
      </c>
    </row>
    <row r="41" spans="1:3" hidden="1" x14ac:dyDescent="0.3">
      <c r="A41" s="26">
        <v>45932</v>
      </c>
      <c r="B41" s="34" t="s">
        <v>1</v>
      </c>
      <c r="C41" s="24">
        <v>21.14</v>
      </c>
    </row>
    <row r="42" spans="1:3" hidden="1" x14ac:dyDescent="0.3">
      <c r="A42" s="26">
        <v>45932</v>
      </c>
      <c r="B42" s="46" t="s">
        <v>1</v>
      </c>
      <c r="C42" s="24">
        <v>6.92</v>
      </c>
    </row>
    <row r="43" spans="1:3" hidden="1" x14ac:dyDescent="0.3">
      <c r="A43" s="26">
        <v>45936</v>
      </c>
      <c r="B43" s="27" t="s">
        <v>4</v>
      </c>
      <c r="C43" s="24">
        <v>-87.86</v>
      </c>
    </row>
    <row r="44" spans="1:3" hidden="1" x14ac:dyDescent="0.3">
      <c r="A44" s="26">
        <v>45939</v>
      </c>
      <c r="B44" s="27" t="s">
        <v>1</v>
      </c>
      <c r="C44" s="24">
        <v>138</v>
      </c>
    </row>
    <row r="45" spans="1:3" hidden="1" x14ac:dyDescent="0.3">
      <c r="A45" s="26">
        <v>45939</v>
      </c>
      <c r="B45" s="34" t="s">
        <v>1</v>
      </c>
      <c r="C45" s="24">
        <v>34.659999999999997</v>
      </c>
    </row>
    <row r="46" spans="1:3" hidden="1" x14ac:dyDescent="0.3">
      <c r="A46" s="26">
        <v>45939</v>
      </c>
      <c r="B46" s="46" t="s">
        <v>1</v>
      </c>
      <c r="C46" s="24">
        <v>4.08</v>
      </c>
    </row>
    <row r="47" spans="1:3" hidden="1" x14ac:dyDescent="0.3">
      <c r="A47" s="26">
        <v>45945</v>
      </c>
      <c r="B47" s="27" t="s">
        <v>4</v>
      </c>
      <c r="C47" s="24">
        <v>-176</v>
      </c>
    </row>
    <row r="48" spans="1:3" hidden="1" x14ac:dyDescent="0.3">
      <c r="A48" s="26">
        <v>45945</v>
      </c>
      <c r="B48" s="27" t="s">
        <v>4</v>
      </c>
      <c r="C48" s="24">
        <v>-0.74</v>
      </c>
    </row>
    <row r="49" spans="1:3" hidden="1" x14ac:dyDescent="0.3">
      <c r="A49" s="26">
        <v>45946</v>
      </c>
      <c r="B49" s="27" t="s">
        <v>4</v>
      </c>
      <c r="C49" s="24">
        <v>-161</v>
      </c>
    </row>
    <row r="50" spans="1:3" hidden="1" x14ac:dyDescent="0.3">
      <c r="A50" s="26">
        <v>45946</v>
      </c>
      <c r="B50" s="27" t="s">
        <v>1</v>
      </c>
      <c r="C50" s="24">
        <v>161</v>
      </c>
    </row>
    <row r="51" spans="1:3" hidden="1" x14ac:dyDescent="0.3">
      <c r="A51" s="26">
        <v>45960</v>
      </c>
      <c r="B51" s="27" t="s">
        <v>1</v>
      </c>
      <c r="C51" s="24">
        <v>117.87</v>
      </c>
    </row>
    <row r="52" spans="1:3" hidden="1" x14ac:dyDescent="0.3">
      <c r="A52" s="26">
        <v>45960</v>
      </c>
      <c r="B52" s="34" t="s">
        <v>1</v>
      </c>
      <c r="C52" s="24">
        <v>15.78</v>
      </c>
    </row>
    <row r="53" spans="1:3" hidden="1" x14ac:dyDescent="0.3">
      <c r="A53" s="26">
        <v>45961</v>
      </c>
      <c r="B53" s="46" t="s">
        <v>1</v>
      </c>
      <c r="C53" s="24">
        <v>9.92</v>
      </c>
    </row>
    <row r="54" spans="1:3" hidden="1" x14ac:dyDescent="0.3">
      <c r="A54" s="26">
        <v>45965</v>
      </c>
      <c r="B54" s="27" t="s">
        <v>4</v>
      </c>
      <c r="C54" s="24">
        <v>-143.57</v>
      </c>
    </row>
    <row r="55" spans="1:3" x14ac:dyDescent="0.3">
      <c r="A55" s="26">
        <v>45967</v>
      </c>
      <c r="B55" s="27" t="s">
        <v>4</v>
      </c>
      <c r="C55" s="24">
        <v>-119.27</v>
      </c>
    </row>
    <row r="56" spans="1:3" x14ac:dyDescent="0.3">
      <c r="A56" s="26">
        <v>45967</v>
      </c>
      <c r="B56" s="27" t="s">
        <v>1</v>
      </c>
      <c r="C56" s="24">
        <v>69</v>
      </c>
    </row>
    <row r="57" spans="1:3" x14ac:dyDescent="0.3">
      <c r="A57" s="26">
        <v>45967</v>
      </c>
      <c r="B57" s="32" t="s">
        <v>1</v>
      </c>
      <c r="C57" s="24">
        <v>16.38</v>
      </c>
    </row>
    <row r="58" spans="1:3" x14ac:dyDescent="0.3">
      <c r="A58" s="26">
        <v>45967</v>
      </c>
      <c r="B58" s="34" t="s">
        <v>1</v>
      </c>
      <c r="C58" s="24">
        <v>26.97</v>
      </c>
    </row>
    <row r="59" spans="1:3" x14ac:dyDescent="0.3">
      <c r="A59" s="26">
        <v>45967</v>
      </c>
      <c r="B59" s="46" t="s">
        <v>1</v>
      </c>
      <c r="C59" s="24">
        <v>6.92</v>
      </c>
    </row>
    <row r="60" spans="1:3" x14ac:dyDescent="0.3">
      <c r="A60" s="26">
        <v>45974</v>
      </c>
      <c r="B60" s="27" t="s">
        <v>1</v>
      </c>
      <c r="C60" s="24">
        <v>149.36000000000001</v>
      </c>
    </row>
    <row r="61" spans="1:3" x14ac:dyDescent="0.3">
      <c r="A61" s="26">
        <v>45975</v>
      </c>
      <c r="B61" s="27" t="s">
        <v>4</v>
      </c>
      <c r="C61" s="24">
        <v>-149.01</v>
      </c>
    </row>
    <row r="62" spans="1:3" x14ac:dyDescent="0.3">
      <c r="A62" s="26">
        <v>45981</v>
      </c>
      <c r="B62" s="27" t="s">
        <v>1</v>
      </c>
      <c r="C62" s="24">
        <v>123.73</v>
      </c>
    </row>
    <row r="63" spans="1:3" x14ac:dyDescent="0.3">
      <c r="A63" s="26">
        <v>45983</v>
      </c>
      <c r="B63" s="27" t="s">
        <v>4</v>
      </c>
      <c r="C63" s="24">
        <v>-122.95</v>
      </c>
    </row>
    <row r="64" spans="1:3" x14ac:dyDescent="0.3">
      <c r="A64" s="26">
        <v>45986</v>
      </c>
      <c r="B64" s="27" t="s">
        <v>4</v>
      </c>
      <c r="C64" s="24">
        <v>-0.78</v>
      </c>
    </row>
    <row r="65" spans="1:3" x14ac:dyDescent="0.3">
      <c r="A65" s="26">
        <v>45995</v>
      </c>
      <c r="B65" s="27" t="s">
        <v>1</v>
      </c>
      <c r="C65" s="24">
        <v>291.58999999999997</v>
      </c>
    </row>
    <row r="66" spans="1:3" x14ac:dyDescent="0.3">
      <c r="A66" s="26">
        <v>45996</v>
      </c>
      <c r="B66" s="27" t="s">
        <v>4</v>
      </c>
      <c r="C66" s="24">
        <v>-291.58999999999997</v>
      </c>
    </row>
    <row r="67" spans="1:3" x14ac:dyDescent="0.3">
      <c r="A67" s="26">
        <v>46002</v>
      </c>
      <c r="B67" s="27" t="s">
        <v>1</v>
      </c>
      <c r="C67" s="24">
        <v>174.95</v>
      </c>
    </row>
    <row r="68" spans="1:3" x14ac:dyDescent="0.3">
      <c r="A68" s="26">
        <v>46004</v>
      </c>
      <c r="B68" s="27" t="s">
        <v>4</v>
      </c>
      <c r="C68" s="24">
        <v>-174.95</v>
      </c>
    </row>
    <row r="69" spans="1:3" x14ac:dyDescent="0.3">
      <c r="A69" s="26">
        <v>46015</v>
      </c>
      <c r="B69" s="27" t="s">
        <v>1</v>
      </c>
      <c r="C69" s="24">
        <v>161</v>
      </c>
    </row>
    <row r="70" spans="1:3" x14ac:dyDescent="0.3">
      <c r="A70" s="26">
        <v>46021</v>
      </c>
      <c r="B70" s="27" t="s">
        <v>4</v>
      </c>
      <c r="C70" s="24">
        <v>-161</v>
      </c>
    </row>
    <row r="71" spans="1:3" x14ac:dyDescent="0.3">
      <c r="A71" s="26">
        <v>46037</v>
      </c>
      <c r="B71" s="27" t="s">
        <v>1</v>
      </c>
      <c r="C71" s="24">
        <v>137.13999999999999</v>
      </c>
    </row>
    <row r="72" spans="1:3" x14ac:dyDescent="0.3">
      <c r="A72" s="26">
        <v>46042</v>
      </c>
      <c r="B72" s="27" t="s">
        <v>4</v>
      </c>
      <c r="C72" s="24">
        <v>-137.13999999999999</v>
      </c>
    </row>
    <row r="73" spans="1:3" x14ac:dyDescent="0.3">
      <c r="A73" s="26">
        <v>46044</v>
      </c>
      <c r="B73" s="27" t="s">
        <v>1</v>
      </c>
      <c r="C73" s="24">
        <v>128.36000000000001</v>
      </c>
    </row>
    <row r="74" spans="1:3" x14ac:dyDescent="0.3">
      <c r="A74" s="26">
        <v>46052</v>
      </c>
      <c r="B74" s="27" t="s">
        <v>4</v>
      </c>
      <c r="C74" s="24">
        <v>-128.36000000000001</v>
      </c>
    </row>
    <row r="75" spans="1:3" x14ac:dyDescent="0.3">
      <c r="A75" s="26">
        <v>46052</v>
      </c>
      <c r="B75" s="27" t="s">
        <v>1</v>
      </c>
      <c r="C75" s="24">
        <v>69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A95D4-4237-4967-BCDC-C672A0A5BAB1}">
  <sheetPr codeName="Hoja172"/>
  <dimension ref="A1:H30"/>
  <sheetViews>
    <sheetView view="pageBreakPreview" zoomScale="80" zoomScaleNormal="100" zoomScaleSheetLayoutView="80" workbookViewId="0">
      <selection activeCell="C24" sqref="C24:C2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248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-0.51000000000002643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45825</v>
      </c>
      <c r="B5" s="27" t="s">
        <v>4</v>
      </c>
      <c r="C5" s="24">
        <v>-57.86</v>
      </c>
      <c r="D5" s="30"/>
      <c r="E5" s="30"/>
      <c r="F5" s="30"/>
      <c r="G5" s="22"/>
    </row>
    <row r="6" spans="1:8" hidden="1" x14ac:dyDescent="0.3">
      <c r="A6" s="21">
        <v>45825</v>
      </c>
      <c r="B6" s="72" t="s">
        <v>21</v>
      </c>
      <c r="C6" s="24">
        <v>57.86</v>
      </c>
    </row>
    <row r="7" spans="1:8" hidden="1" x14ac:dyDescent="0.3">
      <c r="A7" s="26">
        <v>45839</v>
      </c>
      <c r="B7" s="72" t="s">
        <v>21</v>
      </c>
      <c r="C7" s="24">
        <v>116.24</v>
      </c>
    </row>
    <row r="8" spans="1:8" hidden="1" x14ac:dyDescent="0.3">
      <c r="A8" s="26">
        <v>45861</v>
      </c>
      <c r="B8" s="27" t="s">
        <v>4</v>
      </c>
      <c r="C8" s="24">
        <v>-99.65</v>
      </c>
    </row>
    <row r="9" spans="1:8" hidden="1" x14ac:dyDescent="0.3">
      <c r="A9" s="26">
        <v>45861</v>
      </c>
      <c r="B9" s="27" t="s">
        <v>7</v>
      </c>
      <c r="C9" s="24">
        <v>-74.680000000000007</v>
      </c>
    </row>
    <row r="10" spans="1:8" hidden="1" x14ac:dyDescent="0.3">
      <c r="A10" s="26">
        <v>45861</v>
      </c>
      <c r="B10" s="72" t="s">
        <v>21</v>
      </c>
      <c r="C10" s="24">
        <v>57.86</v>
      </c>
    </row>
    <row r="11" spans="1:8" hidden="1" x14ac:dyDescent="0.3">
      <c r="A11" s="26">
        <v>45869</v>
      </c>
      <c r="B11" s="72" t="s">
        <v>21</v>
      </c>
      <c r="C11" s="24">
        <v>57.6</v>
      </c>
    </row>
    <row r="12" spans="1:8" hidden="1" x14ac:dyDescent="0.3">
      <c r="A12" s="26">
        <v>45875</v>
      </c>
      <c r="B12" s="31" t="s">
        <v>4</v>
      </c>
      <c r="C12" s="24">
        <v>-57.1</v>
      </c>
    </row>
    <row r="13" spans="1:8" hidden="1" x14ac:dyDescent="0.3">
      <c r="A13" s="26">
        <v>45888</v>
      </c>
      <c r="B13" s="72" t="s">
        <v>21</v>
      </c>
      <c r="C13" s="24">
        <v>57.86</v>
      </c>
    </row>
    <row r="14" spans="1:8" hidden="1" x14ac:dyDescent="0.3">
      <c r="A14" s="26">
        <v>45893</v>
      </c>
      <c r="B14" s="27" t="s">
        <v>4</v>
      </c>
      <c r="C14" s="24">
        <v>-57.36</v>
      </c>
    </row>
    <row r="15" spans="1:8" hidden="1" x14ac:dyDescent="0.3">
      <c r="A15" s="26">
        <v>45902</v>
      </c>
      <c r="B15" s="72" t="s">
        <v>21</v>
      </c>
      <c r="C15" s="24">
        <v>135.69999999999999</v>
      </c>
    </row>
    <row r="16" spans="1:8" hidden="1" x14ac:dyDescent="0.3">
      <c r="A16" s="26">
        <v>45937</v>
      </c>
      <c r="B16" s="27" t="s">
        <v>4</v>
      </c>
      <c r="C16" s="24">
        <v>-136.47</v>
      </c>
    </row>
    <row r="17" spans="1:3" hidden="1" x14ac:dyDescent="0.3">
      <c r="A17" s="26">
        <v>45945</v>
      </c>
      <c r="B17" s="72" t="s">
        <v>21</v>
      </c>
      <c r="C17" s="24">
        <v>38.4</v>
      </c>
    </row>
    <row r="18" spans="1:3" hidden="1" x14ac:dyDescent="0.3">
      <c r="A18" s="26">
        <v>45947</v>
      </c>
      <c r="B18" s="27" t="s">
        <v>4</v>
      </c>
      <c r="C18" s="24">
        <v>-38.4</v>
      </c>
    </row>
    <row r="19" spans="1:3" hidden="1" x14ac:dyDescent="0.3">
      <c r="A19" s="26">
        <v>45954</v>
      </c>
      <c r="B19" s="72" t="s">
        <v>21</v>
      </c>
      <c r="C19" s="24">
        <v>57.6</v>
      </c>
    </row>
    <row r="20" spans="1:3" hidden="1" x14ac:dyDescent="0.3">
      <c r="A20" s="26">
        <v>45958</v>
      </c>
      <c r="B20" s="27" t="s">
        <v>4</v>
      </c>
      <c r="C20" s="24">
        <v>-57.6</v>
      </c>
    </row>
    <row r="21" spans="1:3" hidden="1" x14ac:dyDescent="0.3">
      <c r="A21" s="26">
        <v>45971</v>
      </c>
      <c r="B21" s="27" t="s">
        <v>4</v>
      </c>
      <c r="C21" s="24">
        <v>-53.76</v>
      </c>
    </row>
    <row r="22" spans="1:3" hidden="1" x14ac:dyDescent="0.3">
      <c r="A22" s="26">
        <v>45972</v>
      </c>
      <c r="B22" s="27" t="s">
        <v>1</v>
      </c>
      <c r="C22" s="24">
        <v>53.76</v>
      </c>
    </row>
    <row r="23" spans="1:3" x14ac:dyDescent="0.3">
      <c r="A23" s="26">
        <v>45987</v>
      </c>
      <c r="B23" s="27" t="s">
        <v>1</v>
      </c>
      <c r="C23" s="24">
        <v>38.4</v>
      </c>
    </row>
    <row r="24" spans="1:3" x14ac:dyDescent="0.3">
      <c r="A24" s="26">
        <v>45999</v>
      </c>
      <c r="B24" s="27" t="s">
        <v>1</v>
      </c>
      <c r="C24" s="24">
        <v>211.87</v>
      </c>
    </row>
    <row r="25" spans="1:3" x14ac:dyDescent="0.3">
      <c r="A25" s="26">
        <v>46000</v>
      </c>
      <c r="B25" s="27" t="s">
        <v>4</v>
      </c>
      <c r="C25" s="24">
        <v>-189.36</v>
      </c>
    </row>
    <row r="26" spans="1:3" x14ac:dyDescent="0.3">
      <c r="A26" s="26">
        <v>46020</v>
      </c>
      <c r="B26" s="27" t="s">
        <v>4</v>
      </c>
      <c r="C26" s="24">
        <v>-60.91</v>
      </c>
    </row>
    <row r="27" spans="1:3" x14ac:dyDescent="0.3">
      <c r="A27" s="26">
        <v>46038</v>
      </c>
      <c r="B27" s="27" t="s">
        <v>1</v>
      </c>
      <c r="C27" s="24">
        <v>61.52</v>
      </c>
    </row>
    <row r="28" spans="1:3" x14ac:dyDescent="0.3">
      <c r="A28" s="26">
        <v>46042</v>
      </c>
      <c r="B28" s="27" t="s">
        <v>4</v>
      </c>
      <c r="C28" s="24">
        <v>-61.03</v>
      </c>
    </row>
    <row r="29" spans="1:3" x14ac:dyDescent="0.3">
      <c r="A29" s="26">
        <v>46049</v>
      </c>
      <c r="B29" s="27" t="s">
        <v>1</v>
      </c>
      <c r="C29" s="24">
        <v>61.52</v>
      </c>
    </row>
    <row r="30" spans="1:3" x14ac:dyDescent="0.3">
      <c r="A30" s="26">
        <v>46050</v>
      </c>
      <c r="B30" s="27" t="s">
        <v>4</v>
      </c>
      <c r="C30" s="24">
        <v>-62.52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0D2DB-A09A-4170-8BC6-5685C41E67C6}">
  <sheetPr codeName="Hoja101"/>
  <dimension ref="A1:I12"/>
  <sheetViews>
    <sheetView view="pageBreakPreview" zoomScale="80" zoomScaleNormal="100" zoomScaleSheetLayoutView="80" workbookViewId="0">
      <selection sqref="A1:H3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82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45814</v>
      </c>
      <c r="B5" s="32" t="s">
        <v>21</v>
      </c>
      <c r="C5" s="24">
        <v>20.3</v>
      </c>
      <c r="D5" s="30"/>
      <c r="E5" s="30"/>
      <c r="F5" s="30"/>
      <c r="G5" s="22"/>
    </row>
    <row r="6" spans="1:9" x14ac:dyDescent="0.3">
      <c r="A6" s="21">
        <v>45820</v>
      </c>
      <c r="B6" s="31" t="s">
        <v>4</v>
      </c>
      <c r="C6" s="24">
        <v>-20.3</v>
      </c>
    </row>
    <row r="7" spans="1:9" x14ac:dyDescent="0.3">
      <c r="A7" s="26">
        <v>45846</v>
      </c>
      <c r="B7" s="32" t="s">
        <v>21</v>
      </c>
      <c r="C7" s="24">
        <v>25.45</v>
      </c>
    </row>
    <row r="8" spans="1:9" x14ac:dyDescent="0.3">
      <c r="A8" s="26">
        <v>45848</v>
      </c>
      <c r="B8" s="27" t="s">
        <v>4</v>
      </c>
      <c r="C8" s="24">
        <v>-25.45</v>
      </c>
    </row>
    <row r="9" spans="1:9" x14ac:dyDescent="0.3">
      <c r="I9" s="25"/>
    </row>
    <row r="10" spans="1:9" x14ac:dyDescent="0.3">
      <c r="B10" s="31"/>
    </row>
    <row r="12" spans="1:9" x14ac:dyDescent="0.3">
      <c r="B12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82E69-29BA-4BA6-8ED6-8F7F3BA36439}">
  <sheetPr codeName="Hoja102"/>
  <dimension ref="A1:H94"/>
  <sheetViews>
    <sheetView view="pageBreakPreview" zoomScale="80" zoomScaleNormal="100" zoomScaleSheetLayoutView="80" workbookViewId="0">
      <selection activeCell="C95" sqref="C9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103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104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45817</v>
      </c>
      <c r="B5" s="71" t="s">
        <v>4</v>
      </c>
      <c r="C5" s="24">
        <v>-48.54</v>
      </c>
      <c r="D5" s="30"/>
      <c r="E5" s="30"/>
      <c r="F5" s="30"/>
      <c r="G5" s="22"/>
    </row>
    <row r="6" spans="1:8" hidden="1" x14ac:dyDescent="0.3">
      <c r="A6" s="21">
        <v>45815</v>
      </c>
      <c r="B6" s="72" t="s">
        <v>21</v>
      </c>
      <c r="C6" s="24">
        <v>9.84</v>
      </c>
    </row>
    <row r="7" spans="1:8" hidden="1" x14ac:dyDescent="0.3">
      <c r="A7" s="21">
        <v>45815</v>
      </c>
      <c r="B7" s="73" t="s">
        <v>21</v>
      </c>
      <c r="C7" s="24">
        <v>38.700000000000003</v>
      </c>
    </row>
    <row r="8" spans="1:8" hidden="1" x14ac:dyDescent="0.3">
      <c r="A8" s="26">
        <v>45821</v>
      </c>
      <c r="B8" s="27" t="s">
        <v>1</v>
      </c>
      <c r="C8" s="24">
        <v>20.8</v>
      </c>
    </row>
    <row r="9" spans="1:8" hidden="1" x14ac:dyDescent="0.3">
      <c r="A9" s="26">
        <v>45821</v>
      </c>
      <c r="B9" s="73" t="s">
        <v>21</v>
      </c>
      <c r="C9" s="24">
        <v>90.68</v>
      </c>
    </row>
    <row r="10" spans="1:8" hidden="1" x14ac:dyDescent="0.3">
      <c r="A10" s="26">
        <v>45824</v>
      </c>
      <c r="B10" s="31" t="s">
        <v>4</v>
      </c>
      <c r="C10" s="24">
        <v>-110.99</v>
      </c>
    </row>
    <row r="11" spans="1:8" hidden="1" x14ac:dyDescent="0.3">
      <c r="A11" s="26">
        <v>45828</v>
      </c>
      <c r="B11" s="73" t="s">
        <v>21</v>
      </c>
      <c r="C11" s="24">
        <v>40.68</v>
      </c>
    </row>
    <row r="12" spans="1:8" hidden="1" x14ac:dyDescent="0.3">
      <c r="A12" s="26">
        <v>45838</v>
      </c>
      <c r="B12" s="31" t="s">
        <v>4</v>
      </c>
      <c r="C12" s="24">
        <v>-61.67</v>
      </c>
    </row>
    <row r="13" spans="1:8" hidden="1" x14ac:dyDescent="0.3">
      <c r="A13" s="26">
        <v>45835</v>
      </c>
      <c r="B13" s="72" t="s">
        <v>21</v>
      </c>
      <c r="C13" s="24">
        <v>9.84</v>
      </c>
    </row>
    <row r="14" spans="1:8" hidden="1" x14ac:dyDescent="0.3">
      <c r="A14" s="26">
        <v>45835</v>
      </c>
      <c r="B14" s="73" t="s">
        <v>21</v>
      </c>
      <c r="C14" s="24">
        <v>10.74</v>
      </c>
    </row>
    <row r="15" spans="1:8" hidden="1" x14ac:dyDescent="0.3">
      <c r="A15" s="26">
        <v>45842</v>
      </c>
      <c r="B15" s="27" t="s">
        <v>4</v>
      </c>
      <c r="C15" s="24">
        <v>-58.02</v>
      </c>
    </row>
    <row r="16" spans="1:8" hidden="1" x14ac:dyDescent="0.3">
      <c r="A16" s="26">
        <v>45842</v>
      </c>
      <c r="B16" s="72" t="s">
        <v>21</v>
      </c>
      <c r="C16" s="24">
        <v>17.34</v>
      </c>
    </row>
    <row r="17" spans="1:3" hidden="1" x14ac:dyDescent="0.3">
      <c r="A17" s="26">
        <v>45842</v>
      </c>
      <c r="B17" s="73" t="s">
        <v>21</v>
      </c>
      <c r="C17" s="24">
        <v>40.68</v>
      </c>
    </row>
    <row r="18" spans="1:3" hidden="1" x14ac:dyDescent="0.3">
      <c r="A18" s="26">
        <v>45849</v>
      </c>
      <c r="B18" s="72" t="s">
        <v>21</v>
      </c>
      <c r="C18" s="24">
        <v>17.34</v>
      </c>
    </row>
    <row r="19" spans="1:3" hidden="1" x14ac:dyDescent="0.3">
      <c r="A19" s="26">
        <v>45849</v>
      </c>
      <c r="B19" s="73" t="s">
        <v>21</v>
      </c>
      <c r="C19" s="24">
        <v>47.96</v>
      </c>
    </row>
    <row r="20" spans="1:3" hidden="1" x14ac:dyDescent="0.3">
      <c r="A20" s="26">
        <v>45852</v>
      </c>
      <c r="B20" s="27" t="s">
        <v>4</v>
      </c>
      <c r="C20" s="24">
        <v>-65.3</v>
      </c>
    </row>
    <row r="21" spans="1:3" hidden="1" x14ac:dyDescent="0.3">
      <c r="A21" s="26">
        <v>45859</v>
      </c>
      <c r="B21" s="27" t="s">
        <v>4</v>
      </c>
      <c r="C21" s="24">
        <v>-76.14</v>
      </c>
    </row>
    <row r="22" spans="1:3" hidden="1" x14ac:dyDescent="0.3">
      <c r="A22" s="26">
        <v>45856</v>
      </c>
      <c r="B22" s="72" t="s">
        <v>21</v>
      </c>
      <c r="C22" s="24">
        <v>7.5</v>
      </c>
    </row>
    <row r="23" spans="1:3" hidden="1" x14ac:dyDescent="0.3">
      <c r="A23" s="26">
        <v>45856</v>
      </c>
      <c r="B23" s="73" t="s">
        <v>21</v>
      </c>
      <c r="C23" s="24">
        <v>68.64</v>
      </c>
    </row>
    <row r="24" spans="1:3" hidden="1" x14ac:dyDescent="0.3">
      <c r="A24" s="26">
        <v>45863</v>
      </c>
      <c r="B24" s="72" t="s">
        <v>21</v>
      </c>
      <c r="C24" s="24">
        <v>15</v>
      </c>
    </row>
    <row r="25" spans="1:3" hidden="1" x14ac:dyDescent="0.3">
      <c r="A25" s="26">
        <v>45863</v>
      </c>
      <c r="B25" s="73" t="s">
        <v>21</v>
      </c>
      <c r="C25" s="24">
        <v>52.32</v>
      </c>
    </row>
    <row r="26" spans="1:3" hidden="1" x14ac:dyDescent="0.3">
      <c r="A26" s="26">
        <v>45866</v>
      </c>
      <c r="B26" s="27" t="s">
        <v>4</v>
      </c>
      <c r="C26" s="24">
        <v>-67.319999999999993</v>
      </c>
    </row>
    <row r="27" spans="1:3" hidden="1" x14ac:dyDescent="0.3">
      <c r="A27" s="26">
        <v>45870</v>
      </c>
      <c r="B27" s="72" t="s">
        <v>21</v>
      </c>
      <c r="C27" s="24">
        <v>24.84</v>
      </c>
    </row>
    <row r="28" spans="1:3" hidden="1" x14ac:dyDescent="0.3">
      <c r="A28" s="26">
        <v>45870</v>
      </c>
      <c r="B28" s="73" t="s">
        <v>21</v>
      </c>
      <c r="C28" s="24">
        <v>19.8</v>
      </c>
    </row>
    <row r="29" spans="1:3" hidden="1" x14ac:dyDescent="0.3">
      <c r="A29" s="26">
        <v>45873</v>
      </c>
      <c r="B29" s="27" t="s">
        <v>4</v>
      </c>
      <c r="C29" s="24">
        <v>-44.64</v>
      </c>
    </row>
    <row r="30" spans="1:3" hidden="1" x14ac:dyDescent="0.3">
      <c r="A30" s="26">
        <v>45877</v>
      </c>
      <c r="B30" s="27" t="s">
        <v>1</v>
      </c>
      <c r="C30" s="24">
        <v>20.8</v>
      </c>
    </row>
    <row r="31" spans="1:3" hidden="1" x14ac:dyDescent="0.3">
      <c r="A31" s="26">
        <v>45877</v>
      </c>
      <c r="B31" s="72" t="s">
        <v>21</v>
      </c>
      <c r="C31" s="24">
        <v>15</v>
      </c>
    </row>
    <row r="32" spans="1:3" hidden="1" x14ac:dyDescent="0.3">
      <c r="A32" s="26">
        <v>45877</v>
      </c>
      <c r="B32" s="73" t="s">
        <v>21</v>
      </c>
      <c r="C32" s="24">
        <v>79.540000000000006</v>
      </c>
    </row>
    <row r="33" spans="1:3" hidden="1" x14ac:dyDescent="0.3">
      <c r="A33" s="26">
        <v>45880</v>
      </c>
      <c r="B33" s="27" t="s">
        <v>4</v>
      </c>
      <c r="C33" s="24">
        <v>-115.34</v>
      </c>
    </row>
    <row r="34" spans="1:3" hidden="1" x14ac:dyDescent="0.3">
      <c r="A34" s="26">
        <v>45884</v>
      </c>
      <c r="B34" s="27" t="s">
        <v>4</v>
      </c>
      <c r="C34" s="24">
        <v>-71.38</v>
      </c>
    </row>
    <row r="35" spans="1:3" hidden="1" x14ac:dyDescent="0.3">
      <c r="A35" s="26">
        <v>45884</v>
      </c>
      <c r="B35" s="72" t="s">
        <v>21</v>
      </c>
      <c r="C35" s="24">
        <v>15</v>
      </c>
    </row>
    <row r="36" spans="1:3" hidden="1" x14ac:dyDescent="0.3">
      <c r="A36" s="26">
        <v>45884</v>
      </c>
      <c r="B36" s="73" t="s">
        <v>21</v>
      </c>
      <c r="C36" s="24">
        <v>56.38</v>
      </c>
    </row>
    <row r="37" spans="1:3" hidden="1" x14ac:dyDescent="0.3">
      <c r="A37" s="26">
        <v>45891</v>
      </c>
      <c r="B37" s="27" t="s">
        <v>4</v>
      </c>
      <c r="C37" s="24">
        <v>-77.760000000000005</v>
      </c>
    </row>
    <row r="38" spans="1:3" hidden="1" x14ac:dyDescent="0.3">
      <c r="A38" s="26">
        <v>45891</v>
      </c>
      <c r="B38" s="72" t="s">
        <v>21</v>
      </c>
      <c r="C38" s="24">
        <v>15</v>
      </c>
    </row>
    <row r="39" spans="1:3" hidden="1" x14ac:dyDescent="0.3">
      <c r="A39" s="26">
        <v>45891</v>
      </c>
      <c r="B39" s="73" t="s">
        <v>21</v>
      </c>
      <c r="C39" s="24">
        <v>62.76</v>
      </c>
    </row>
    <row r="40" spans="1:3" hidden="1" x14ac:dyDescent="0.3">
      <c r="A40" s="26">
        <v>45899</v>
      </c>
      <c r="B40" s="27" t="s">
        <v>1</v>
      </c>
      <c r="C40" s="24">
        <v>20.8</v>
      </c>
    </row>
    <row r="41" spans="1:3" hidden="1" x14ac:dyDescent="0.3">
      <c r="A41" s="26">
        <v>45899</v>
      </c>
      <c r="B41" s="72" t="s">
        <v>21</v>
      </c>
      <c r="C41" s="24">
        <v>15</v>
      </c>
    </row>
    <row r="42" spans="1:3" hidden="1" x14ac:dyDescent="0.3">
      <c r="A42" s="26">
        <v>45899</v>
      </c>
      <c r="B42" s="73" t="s">
        <v>21</v>
      </c>
      <c r="C42" s="24">
        <v>40.74</v>
      </c>
    </row>
    <row r="43" spans="1:3" hidden="1" x14ac:dyDescent="0.3">
      <c r="A43" s="26">
        <v>45901</v>
      </c>
      <c r="B43" s="27" t="s">
        <v>4</v>
      </c>
      <c r="C43" s="24">
        <v>-76.540000000000006</v>
      </c>
    </row>
    <row r="44" spans="1:3" hidden="1" x14ac:dyDescent="0.3">
      <c r="A44" s="26">
        <v>45905</v>
      </c>
      <c r="B44" s="27" t="s">
        <v>4</v>
      </c>
      <c r="C44" s="24">
        <v>-73.709999999999994</v>
      </c>
    </row>
    <row r="45" spans="1:3" hidden="1" x14ac:dyDescent="0.3">
      <c r="A45" s="26">
        <v>45905</v>
      </c>
      <c r="B45" s="72" t="s">
        <v>21</v>
      </c>
      <c r="C45" s="24">
        <v>22.5</v>
      </c>
    </row>
    <row r="46" spans="1:3" hidden="1" x14ac:dyDescent="0.3">
      <c r="A46" s="26">
        <v>45905</v>
      </c>
      <c r="B46" s="73" t="s">
        <v>21</v>
      </c>
      <c r="C46" s="24">
        <v>51.21</v>
      </c>
    </row>
    <row r="47" spans="1:3" hidden="1" x14ac:dyDescent="0.3">
      <c r="A47" s="26">
        <v>45912</v>
      </c>
      <c r="B47" s="27" t="s">
        <v>1</v>
      </c>
      <c r="C47" s="24">
        <v>20.8</v>
      </c>
    </row>
    <row r="48" spans="1:3" hidden="1" x14ac:dyDescent="0.3">
      <c r="A48" s="26">
        <v>45912</v>
      </c>
      <c r="B48" s="72" t="s">
        <v>21</v>
      </c>
      <c r="C48" s="24">
        <v>7.5</v>
      </c>
    </row>
    <row r="49" spans="1:3" hidden="1" x14ac:dyDescent="0.3">
      <c r="A49" s="26">
        <v>45912</v>
      </c>
      <c r="B49" s="73" t="s">
        <v>21</v>
      </c>
      <c r="C49" s="24">
        <v>19.8</v>
      </c>
    </row>
    <row r="50" spans="1:3" hidden="1" x14ac:dyDescent="0.3">
      <c r="A50" s="26">
        <v>45920</v>
      </c>
      <c r="B50" s="72" t="s">
        <v>21</v>
      </c>
      <c r="C50" s="24">
        <v>15</v>
      </c>
    </row>
    <row r="51" spans="1:3" hidden="1" x14ac:dyDescent="0.3">
      <c r="A51" s="26">
        <v>45920</v>
      </c>
      <c r="B51" s="73" t="s">
        <v>21</v>
      </c>
      <c r="C51" s="24">
        <v>35.24</v>
      </c>
    </row>
    <row r="52" spans="1:3" hidden="1" x14ac:dyDescent="0.3">
      <c r="A52" s="26">
        <v>45922</v>
      </c>
      <c r="B52" s="27" t="s">
        <v>4</v>
      </c>
      <c r="C52" s="24">
        <v>-48.1</v>
      </c>
    </row>
    <row r="53" spans="1:3" hidden="1" x14ac:dyDescent="0.3">
      <c r="A53" s="26">
        <v>45922</v>
      </c>
      <c r="B53" s="27" t="s">
        <v>4</v>
      </c>
      <c r="C53" s="24">
        <v>-50.24</v>
      </c>
    </row>
    <row r="54" spans="1:3" hidden="1" x14ac:dyDescent="0.3">
      <c r="A54" s="26">
        <v>45929</v>
      </c>
      <c r="B54" s="27" t="s">
        <v>4</v>
      </c>
      <c r="C54" s="24">
        <v>-71.97</v>
      </c>
    </row>
    <row r="55" spans="1:3" hidden="1" x14ac:dyDescent="0.3">
      <c r="A55" s="26">
        <v>45926</v>
      </c>
      <c r="B55" s="72" t="s">
        <v>21</v>
      </c>
      <c r="C55" s="24">
        <v>15</v>
      </c>
    </row>
    <row r="56" spans="1:3" hidden="1" x14ac:dyDescent="0.3">
      <c r="A56" s="26">
        <v>45926</v>
      </c>
      <c r="B56" s="73" t="s">
        <v>21</v>
      </c>
      <c r="C56" s="24">
        <v>57.76</v>
      </c>
    </row>
    <row r="57" spans="1:3" hidden="1" x14ac:dyDescent="0.3">
      <c r="A57" s="26">
        <v>45940</v>
      </c>
      <c r="B57" s="72" t="s">
        <v>21</v>
      </c>
      <c r="C57" s="24">
        <v>33.72</v>
      </c>
    </row>
    <row r="58" spans="1:3" hidden="1" x14ac:dyDescent="0.3">
      <c r="A58" s="26">
        <v>45940</v>
      </c>
      <c r="B58" s="73" t="s">
        <v>21</v>
      </c>
      <c r="C58" s="24">
        <v>46.2</v>
      </c>
    </row>
    <row r="59" spans="1:3" hidden="1" x14ac:dyDescent="0.3">
      <c r="A59" s="26">
        <v>45942</v>
      </c>
      <c r="B59" s="27" t="s">
        <v>4</v>
      </c>
      <c r="C59" s="24">
        <v>-79.92</v>
      </c>
    </row>
    <row r="60" spans="1:3" hidden="1" x14ac:dyDescent="0.3">
      <c r="A60" s="26">
        <v>45947</v>
      </c>
      <c r="B60" s="72" t="s">
        <v>21</v>
      </c>
      <c r="C60" s="24">
        <v>15</v>
      </c>
    </row>
    <row r="61" spans="1:3" hidden="1" x14ac:dyDescent="0.3">
      <c r="A61" s="26">
        <v>45947</v>
      </c>
      <c r="B61" s="73" t="s">
        <v>21</v>
      </c>
      <c r="C61" s="24">
        <v>67.56</v>
      </c>
    </row>
    <row r="62" spans="1:3" hidden="1" x14ac:dyDescent="0.3">
      <c r="A62" s="26">
        <v>45948</v>
      </c>
      <c r="B62" s="27" t="s">
        <v>4</v>
      </c>
      <c r="C62" s="24">
        <v>-82.56</v>
      </c>
    </row>
    <row r="63" spans="1:3" hidden="1" x14ac:dyDescent="0.3">
      <c r="A63" s="26">
        <v>45954</v>
      </c>
      <c r="B63" s="72" t="s">
        <v>21</v>
      </c>
      <c r="C63" s="24">
        <v>37.5</v>
      </c>
    </row>
    <row r="64" spans="1:3" hidden="1" x14ac:dyDescent="0.3">
      <c r="A64" s="26">
        <v>45954</v>
      </c>
      <c r="B64" s="73" t="s">
        <v>21</v>
      </c>
      <c r="C64" s="24">
        <v>11.46</v>
      </c>
    </row>
    <row r="65" spans="1:3" hidden="1" x14ac:dyDescent="0.3">
      <c r="A65" s="26">
        <v>45957</v>
      </c>
      <c r="B65" s="27" t="s">
        <v>4</v>
      </c>
      <c r="C65" s="24">
        <v>-48.49</v>
      </c>
    </row>
    <row r="66" spans="1:3" hidden="1" x14ac:dyDescent="0.3">
      <c r="A66" s="26">
        <v>45961</v>
      </c>
      <c r="B66" s="72" t="s">
        <v>21</v>
      </c>
      <c r="C66" s="24">
        <v>45</v>
      </c>
    </row>
    <row r="67" spans="1:3" hidden="1" x14ac:dyDescent="0.3">
      <c r="A67" s="26">
        <v>45961</v>
      </c>
      <c r="B67" s="73" t="s">
        <v>21</v>
      </c>
      <c r="C67" s="24">
        <v>38.28</v>
      </c>
    </row>
    <row r="68" spans="1:3" hidden="1" x14ac:dyDescent="0.3">
      <c r="A68" s="26">
        <v>45964</v>
      </c>
      <c r="B68" s="27" t="s">
        <v>4</v>
      </c>
      <c r="C68" s="24">
        <v>-83.28</v>
      </c>
    </row>
    <row r="69" spans="1:3" hidden="1" x14ac:dyDescent="0.3">
      <c r="A69" s="26">
        <v>45964</v>
      </c>
      <c r="B69" s="27" t="s">
        <v>4</v>
      </c>
      <c r="C69" s="24">
        <v>-1.34</v>
      </c>
    </row>
    <row r="70" spans="1:3" hidden="1" x14ac:dyDescent="0.3">
      <c r="A70" s="26">
        <v>45968</v>
      </c>
      <c r="B70" s="72" t="s">
        <v>21</v>
      </c>
      <c r="C70" s="24">
        <v>39.840000000000003</v>
      </c>
    </row>
    <row r="71" spans="1:3" hidden="1" x14ac:dyDescent="0.3">
      <c r="A71" s="26">
        <v>45968</v>
      </c>
      <c r="B71" s="73" t="s">
        <v>21</v>
      </c>
      <c r="C71" s="24">
        <v>75</v>
      </c>
    </row>
    <row r="72" spans="1:3" hidden="1" x14ac:dyDescent="0.3">
      <c r="A72" s="26">
        <v>45973</v>
      </c>
      <c r="B72" s="27" t="s">
        <v>4</v>
      </c>
      <c r="C72" s="24">
        <v>-114.84</v>
      </c>
    </row>
    <row r="73" spans="1:3" hidden="1" x14ac:dyDescent="0.3">
      <c r="A73" s="26">
        <v>45975</v>
      </c>
      <c r="B73" s="27" t="s">
        <v>4</v>
      </c>
      <c r="C73" s="24">
        <v>-97.16</v>
      </c>
    </row>
    <row r="74" spans="1:3" hidden="1" x14ac:dyDescent="0.3">
      <c r="A74" s="26">
        <v>45975</v>
      </c>
      <c r="B74" s="27" t="s">
        <v>1</v>
      </c>
      <c r="C74" s="24">
        <v>97.16</v>
      </c>
    </row>
    <row r="75" spans="1:3" hidden="1" x14ac:dyDescent="0.3">
      <c r="A75" s="26">
        <v>45982</v>
      </c>
      <c r="B75" s="27" t="s">
        <v>1</v>
      </c>
      <c r="C75" s="24">
        <v>86.51</v>
      </c>
    </row>
    <row r="76" spans="1:3" hidden="1" x14ac:dyDescent="0.3">
      <c r="A76" s="26">
        <v>45985</v>
      </c>
      <c r="B76" s="27" t="s">
        <v>4</v>
      </c>
      <c r="C76" s="24">
        <v>-86.51</v>
      </c>
    </row>
    <row r="77" spans="1:3" x14ac:dyDescent="0.3">
      <c r="A77" s="26">
        <v>45989</v>
      </c>
      <c r="B77" s="27" t="s">
        <v>1</v>
      </c>
      <c r="C77" s="24">
        <v>97.56</v>
      </c>
    </row>
    <row r="78" spans="1:3" x14ac:dyDescent="0.3">
      <c r="A78" s="26">
        <v>45992</v>
      </c>
      <c r="B78" s="27" t="s">
        <v>4</v>
      </c>
      <c r="C78" s="24">
        <v>-97.56</v>
      </c>
    </row>
    <row r="79" spans="1:3" x14ac:dyDescent="0.3">
      <c r="A79" s="26">
        <v>45996</v>
      </c>
      <c r="B79" s="27" t="s">
        <v>1</v>
      </c>
      <c r="C79" s="24">
        <v>94</v>
      </c>
    </row>
    <row r="80" spans="1:3" x14ac:dyDescent="0.3">
      <c r="A80" s="26">
        <v>45999</v>
      </c>
      <c r="B80" s="27" t="s">
        <v>4</v>
      </c>
      <c r="C80" s="24">
        <v>-94</v>
      </c>
    </row>
    <row r="81" spans="1:3" x14ac:dyDescent="0.3">
      <c r="A81" s="26">
        <v>46000</v>
      </c>
      <c r="B81" s="27" t="s">
        <v>1</v>
      </c>
      <c r="C81" s="24">
        <v>111.32</v>
      </c>
    </row>
    <row r="82" spans="1:3" x14ac:dyDescent="0.3">
      <c r="A82" s="26">
        <v>46006</v>
      </c>
      <c r="B82" s="27" t="s">
        <v>4</v>
      </c>
      <c r="C82" s="24">
        <v>-111.32</v>
      </c>
    </row>
    <row r="83" spans="1:3" x14ac:dyDescent="0.3">
      <c r="A83" s="26">
        <v>46010</v>
      </c>
      <c r="B83" s="27" t="s">
        <v>1</v>
      </c>
      <c r="C83" s="24">
        <v>109.88</v>
      </c>
    </row>
    <row r="84" spans="1:3" x14ac:dyDescent="0.3">
      <c r="A84" s="26">
        <v>46012</v>
      </c>
      <c r="B84" s="27" t="s">
        <v>4</v>
      </c>
      <c r="C84" s="24">
        <v>-109.88</v>
      </c>
    </row>
    <row r="85" spans="1:3" x14ac:dyDescent="0.3">
      <c r="A85" s="26">
        <v>46017</v>
      </c>
      <c r="B85" s="27" t="s">
        <v>1</v>
      </c>
      <c r="C85" s="24">
        <v>87.08</v>
      </c>
    </row>
    <row r="86" spans="1:3" x14ac:dyDescent="0.3">
      <c r="A86" s="26">
        <v>46020</v>
      </c>
      <c r="B86" s="27" t="s">
        <v>4</v>
      </c>
      <c r="C86" s="24">
        <v>-87.08</v>
      </c>
    </row>
    <row r="87" spans="1:3" x14ac:dyDescent="0.3">
      <c r="A87" s="26">
        <v>46031</v>
      </c>
      <c r="B87" s="27" t="s">
        <v>1</v>
      </c>
      <c r="C87" s="24">
        <v>61.74</v>
      </c>
    </row>
    <row r="88" spans="1:3" x14ac:dyDescent="0.3">
      <c r="A88" s="26">
        <v>46031</v>
      </c>
      <c r="B88" s="27" t="s">
        <v>4</v>
      </c>
      <c r="C88" s="24">
        <v>-61.74</v>
      </c>
    </row>
    <row r="89" spans="1:3" x14ac:dyDescent="0.3">
      <c r="A89" s="26">
        <v>46038</v>
      </c>
      <c r="B89" s="27" t="s">
        <v>1</v>
      </c>
      <c r="C89" s="24">
        <v>47.28</v>
      </c>
    </row>
    <row r="90" spans="1:3" x14ac:dyDescent="0.3">
      <c r="A90" s="26">
        <v>46042</v>
      </c>
      <c r="B90" s="27" t="s">
        <v>4</v>
      </c>
      <c r="C90" s="24">
        <v>-47.28</v>
      </c>
    </row>
    <row r="91" spans="1:3" x14ac:dyDescent="0.3">
      <c r="A91" s="26">
        <v>46045</v>
      </c>
      <c r="B91" s="27" t="s">
        <v>1</v>
      </c>
      <c r="C91" s="24">
        <v>24.78</v>
      </c>
    </row>
    <row r="92" spans="1:3" x14ac:dyDescent="0.3">
      <c r="A92" s="26">
        <v>46050</v>
      </c>
      <c r="B92" s="27" t="s">
        <v>4</v>
      </c>
      <c r="C92" s="24">
        <v>-24.78</v>
      </c>
    </row>
    <row r="93" spans="1:3" x14ac:dyDescent="0.3">
      <c r="A93" s="26">
        <v>46052</v>
      </c>
      <c r="B93" s="27" t="s">
        <v>1</v>
      </c>
      <c r="C93" s="24">
        <v>85.58</v>
      </c>
    </row>
    <row r="94" spans="1:3" x14ac:dyDescent="0.3">
      <c r="A94" s="26">
        <v>46055</v>
      </c>
      <c r="B94" s="27" t="s">
        <v>4</v>
      </c>
      <c r="C94" s="24">
        <v>-85.58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202C8-BF69-4DA7-9BAB-C315A47A3995}">
  <sheetPr codeName="Hoja173"/>
  <dimension ref="A1:H86"/>
  <sheetViews>
    <sheetView view="pageBreakPreview" zoomScale="80" zoomScaleNormal="100" zoomScaleSheetLayoutView="8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274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-6.0000000000002274E-2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45862</v>
      </c>
      <c r="B5" s="34" t="s">
        <v>21</v>
      </c>
      <c r="C5" s="24">
        <v>96.47</v>
      </c>
      <c r="D5" s="30"/>
      <c r="E5" s="30"/>
      <c r="F5" s="30"/>
      <c r="G5" s="22"/>
    </row>
    <row r="6" spans="1:8" x14ac:dyDescent="0.3">
      <c r="A6" s="21">
        <v>45870</v>
      </c>
      <c r="B6" s="27" t="s">
        <v>7</v>
      </c>
      <c r="C6" s="24">
        <v>-96.77</v>
      </c>
    </row>
    <row r="7" spans="1:8" x14ac:dyDescent="0.3">
      <c r="A7" s="21">
        <v>45870</v>
      </c>
      <c r="B7" s="34" t="s">
        <v>21</v>
      </c>
      <c r="C7" s="24">
        <v>66.53</v>
      </c>
    </row>
    <row r="8" spans="1:8" x14ac:dyDescent="0.3">
      <c r="A8" s="26">
        <v>45883</v>
      </c>
      <c r="B8" s="27" t="s">
        <v>7</v>
      </c>
      <c r="C8" s="24">
        <v>-66.290000000000006</v>
      </c>
    </row>
    <row r="9" spans="1:8" x14ac:dyDescent="0.3">
      <c r="B9" s="32"/>
    </row>
    <row r="10" spans="1:8" x14ac:dyDescent="0.3">
      <c r="B10" s="34"/>
    </row>
    <row r="12" spans="1:8" x14ac:dyDescent="0.3">
      <c r="B12" s="31"/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27B5F-7E25-42B0-B92F-45013EB31006}">
  <sheetPr codeName="Hoja103"/>
  <dimension ref="A1:I64"/>
  <sheetViews>
    <sheetView view="pageBreakPreview" zoomScale="80" zoomScaleNormal="100" zoomScaleSheetLayoutView="80" workbookViewId="0">
      <selection activeCell="C5" sqref="C5:C54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138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0.37000000000000455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45812</v>
      </c>
      <c r="B5" s="32" t="s">
        <v>21</v>
      </c>
      <c r="C5" s="24">
        <v>96</v>
      </c>
      <c r="D5" s="30"/>
      <c r="E5" s="30"/>
      <c r="F5" s="30"/>
      <c r="G5" s="22"/>
    </row>
    <row r="6" spans="1:9" x14ac:dyDescent="0.3">
      <c r="A6" s="26">
        <v>45812</v>
      </c>
      <c r="B6" s="27" t="s">
        <v>4</v>
      </c>
      <c r="C6" s="24">
        <v>-95.41</v>
      </c>
    </row>
    <row r="7" spans="1:9" x14ac:dyDescent="0.3">
      <c r="A7" s="26">
        <v>45817</v>
      </c>
      <c r="B7" s="27" t="s">
        <v>4</v>
      </c>
      <c r="C7" s="24">
        <v>-405</v>
      </c>
    </row>
    <row r="8" spans="1:9" x14ac:dyDescent="0.3">
      <c r="A8" s="26">
        <v>45818</v>
      </c>
      <c r="B8" s="32" t="s">
        <v>21</v>
      </c>
      <c r="C8" s="24">
        <v>184.4</v>
      </c>
    </row>
    <row r="9" spans="1:9" x14ac:dyDescent="0.3">
      <c r="A9" s="26">
        <v>45818</v>
      </c>
      <c r="B9" s="27" t="s">
        <v>1</v>
      </c>
      <c r="C9" s="24">
        <v>405</v>
      </c>
      <c r="I9" s="25"/>
    </row>
    <row r="10" spans="1:9" x14ac:dyDescent="0.3">
      <c r="A10" s="26">
        <v>45824</v>
      </c>
      <c r="B10" s="31" t="s">
        <v>4</v>
      </c>
      <c r="C10" s="24">
        <v>-184.99</v>
      </c>
    </row>
    <row r="11" spans="1:9" x14ac:dyDescent="0.3">
      <c r="A11" s="26">
        <v>45827</v>
      </c>
      <c r="B11" s="27" t="s">
        <v>4</v>
      </c>
      <c r="C11" s="24">
        <v>-115.4</v>
      </c>
    </row>
    <row r="12" spans="1:9" x14ac:dyDescent="0.3">
      <c r="A12" s="26">
        <v>45827</v>
      </c>
      <c r="B12" s="32" t="s">
        <v>21</v>
      </c>
      <c r="C12" s="24">
        <v>115.4</v>
      </c>
    </row>
    <row r="13" spans="1:9" x14ac:dyDescent="0.3">
      <c r="A13" s="26">
        <v>45834</v>
      </c>
      <c r="B13" s="27" t="s">
        <v>4</v>
      </c>
      <c r="C13" s="24">
        <v>-139</v>
      </c>
    </row>
    <row r="14" spans="1:9" x14ac:dyDescent="0.3">
      <c r="A14" s="26">
        <v>45834</v>
      </c>
      <c r="B14" s="32" t="s">
        <v>21</v>
      </c>
      <c r="C14" s="24">
        <v>139</v>
      </c>
    </row>
    <row r="15" spans="1:9" x14ac:dyDescent="0.3">
      <c r="A15" s="26">
        <v>45841</v>
      </c>
      <c r="B15" s="27" t="s">
        <v>4</v>
      </c>
      <c r="C15" s="24">
        <v>-247.6</v>
      </c>
    </row>
    <row r="16" spans="1:9" x14ac:dyDescent="0.3">
      <c r="A16" s="26">
        <v>45841</v>
      </c>
      <c r="B16" s="32" t="s">
        <v>21</v>
      </c>
      <c r="C16" s="24">
        <v>247.6</v>
      </c>
    </row>
    <row r="17" spans="1:3" x14ac:dyDescent="0.3">
      <c r="A17" s="26">
        <v>45848</v>
      </c>
      <c r="B17" s="27" t="s">
        <v>4</v>
      </c>
      <c r="C17" s="24">
        <v>-293.39999999999998</v>
      </c>
    </row>
    <row r="18" spans="1:3" x14ac:dyDescent="0.3">
      <c r="A18" s="26">
        <v>45848</v>
      </c>
      <c r="B18" s="32" t="s">
        <v>21</v>
      </c>
      <c r="C18" s="24">
        <v>293.39999999999998</v>
      </c>
    </row>
    <row r="19" spans="1:3" x14ac:dyDescent="0.3">
      <c r="A19" s="26">
        <v>45854</v>
      </c>
      <c r="B19" s="32" t="s">
        <v>21</v>
      </c>
      <c r="C19" s="24">
        <v>218.4</v>
      </c>
    </row>
    <row r="20" spans="1:3" x14ac:dyDescent="0.3">
      <c r="A20" s="26">
        <v>45862</v>
      </c>
      <c r="B20" s="27" t="s">
        <v>4</v>
      </c>
      <c r="C20" s="24">
        <v>-134.74</v>
      </c>
    </row>
    <row r="21" spans="1:3" x14ac:dyDescent="0.3">
      <c r="A21" s="26">
        <v>45862</v>
      </c>
      <c r="B21" s="27" t="s">
        <v>4</v>
      </c>
      <c r="C21" s="24">
        <v>-217.31</v>
      </c>
    </row>
    <row r="22" spans="1:3" x14ac:dyDescent="0.3">
      <c r="A22" s="26">
        <v>45862</v>
      </c>
      <c r="B22" s="32" t="s">
        <v>21</v>
      </c>
      <c r="C22" s="24">
        <v>134.69999999999999</v>
      </c>
    </row>
    <row r="23" spans="1:3" x14ac:dyDescent="0.3">
      <c r="A23" s="26">
        <v>45870</v>
      </c>
      <c r="B23" s="27" t="s">
        <v>4</v>
      </c>
      <c r="C23" s="24">
        <v>-106.22</v>
      </c>
    </row>
    <row r="24" spans="1:3" x14ac:dyDescent="0.3">
      <c r="A24" s="26">
        <v>45869</v>
      </c>
      <c r="B24" s="32" t="s">
        <v>21</v>
      </c>
      <c r="C24" s="24">
        <v>107</v>
      </c>
    </row>
    <row r="25" spans="1:3" x14ac:dyDescent="0.3">
      <c r="A25" s="26">
        <v>45873</v>
      </c>
      <c r="B25" s="27" t="s">
        <v>4</v>
      </c>
      <c r="C25" s="24">
        <v>-112.23</v>
      </c>
    </row>
    <row r="26" spans="1:3" x14ac:dyDescent="0.3">
      <c r="A26" s="26">
        <v>45870</v>
      </c>
      <c r="B26" s="27" t="s">
        <v>1</v>
      </c>
      <c r="C26" s="24">
        <v>113</v>
      </c>
    </row>
    <row r="27" spans="1:3" x14ac:dyDescent="0.3">
      <c r="A27" s="26">
        <v>45876</v>
      </c>
      <c r="B27" s="32" t="s">
        <v>21</v>
      </c>
      <c r="C27" s="24">
        <v>136</v>
      </c>
    </row>
    <row r="28" spans="1:3" x14ac:dyDescent="0.3">
      <c r="A28" s="26">
        <v>45880</v>
      </c>
      <c r="B28" s="27" t="s">
        <v>4</v>
      </c>
      <c r="C28" s="24">
        <v>-138.6</v>
      </c>
    </row>
    <row r="29" spans="1:3" x14ac:dyDescent="0.3">
      <c r="A29" s="26">
        <v>45884</v>
      </c>
      <c r="B29" s="27" t="s">
        <v>4</v>
      </c>
      <c r="C29" s="24">
        <v>-115.5</v>
      </c>
    </row>
    <row r="30" spans="1:3" x14ac:dyDescent="0.3">
      <c r="A30" s="26">
        <v>45883</v>
      </c>
      <c r="B30" s="32" t="s">
        <v>21</v>
      </c>
      <c r="C30" s="24">
        <v>115.5</v>
      </c>
    </row>
    <row r="31" spans="1:3" x14ac:dyDescent="0.3">
      <c r="A31" s="26">
        <v>45890</v>
      </c>
      <c r="B31" s="27" t="s">
        <v>1</v>
      </c>
      <c r="C31" s="24">
        <v>112.4</v>
      </c>
    </row>
    <row r="32" spans="1:3" x14ac:dyDescent="0.3">
      <c r="A32" s="26">
        <v>45890</v>
      </c>
      <c r="B32" s="32" t="s">
        <v>21</v>
      </c>
      <c r="C32" s="24">
        <v>76.8</v>
      </c>
    </row>
    <row r="33" spans="1:3" x14ac:dyDescent="0.3">
      <c r="A33" s="26">
        <v>45891</v>
      </c>
      <c r="B33" s="27" t="s">
        <v>4</v>
      </c>
      <c r="C33" s="24">
        <v>-112.4</v>
      </c>
    </row>
    <row r="34" spans="1:3" x14ac:dyDescent="0.3">
      <c r="A34" s="26">
        <v>45893</v>
      </c>
      <c r="B34" s="27" t="s">
        <v>4</v>
      </c>
      <c r="C34" s="24">
        <v>-42.93</v>
      </c>
    </row>
    <row r="35" spans="1:3" x14ac:dyDescent="0.3">
      <c r="A35" s="26">
        <v>45891</v>
      </c>
      <c r="B35" s="27" t="s">
        <v>1</v>
      </c>
      <c r="C35" s="24">
        <v>43.3</v>
      </c>
    </row>
    <row r="36" spans="1:3" x14ac:dyDescent="0.3">
      <c r="A36" s="26">
        <v>45897</v>
      </c>
      <c r="B36" s="27" t="s">
        <v>4</v>
      </c>
      <c r="C36" s="24">
        <v>-76.8</v>
      </c>
    </row>
    <row r="37" spans="1:3" x14ac:dyDescent="0.3">
      <c r="A37" s="26">
        <v>45897</v>
      </c>
      <c r="B37" s="32" t="s">
        <v>21</v>
      </c>
      <c r="C37" s="24">
        <v>135.5</v>
      </c>
    </row>
    <row r="38" spans="1:3" x14ac:dyDescent="0.3">
      <c r="A38" s="26">
        <v>45904</v>
      </c>
      <c r="B38" s="27" t="s">
        <v>4</v>
      </c>
      <c r="C38" s="24">
        <v>-135.5</v>
      </c>
    </row>
    <row r="39" spans="1:3" x14ac:dyDescent="0.3">
      <c r="A39" s="26">
        <v>45904</v>
      </c>
      <c r="B39" s="32" t="s">
        <v>21</v>
      </c>
      <c r="C39" s="24">
        <v>96</v>
      </c>
    </row>
    <row r="40" spans="1:3" x14ac:dyDescent="0.3">
      <c r="A40" s="26">
        <v>45905</v>
      </c>
      <c r="B40" s="27" t="s">
        <v>4</v>
      </c>
      <c r="C40" s="24">
        <v>-96</v>
      </c>
    </row>
    <row r="41" spans="1:3" x14ac:dyDescent="0.3">
      <c r="A41" s="26">
        <v>45912</v>
      </c>
      <c r="B41" s="27" t="s">
        <v>4</v>
      </c>
      <c r="C41" s="24">
        <v>-96</v>
      </c>
    </row>
    <row r="42" spans="1:3" x14ac:dyDescent="0.3">
      <c r="A42" s="26">
        <v>45911</v>
      </c>
      <c r="B42" s="32" t="s">
        <v>21</v>
      </c>
      <c r="C42" s="24">
        <v>96</v>
      </c>
    </row>
    <row r="43" spans="1:3" x14ac:dyDescent="0.3">
      <c r="A43" s="26">
        <v>45918</v>
      </c>
      <c r="B43" s="27" t="s">
        <v>4</v>
      </c>
      <c r="C43" s="24">
        <v>-134.4</v>
      </c>
    </row>
    <row r="44" spans="1:3" x14ac:dyDescent="0.3">
      <c r="A44" s="26">
        <v>45918</v>
      </c>
      <c r="B44" s="27" t="s">
        <v>1</v>
      </c>
      <c r="C44" s="24">
        <v>134.4</v>
      </c>
    </row>
    <row r="45" spans="1:3" x14ac:dyDescent="0.3">
      <c r="A45" s="26">
        <v>45918</v>
      </c>
      <c r="B45" s="32" t="s">
        <v>21</v>
      </c>
      <c r="C45" s="24">
        <v>76.8</v>
      </c>
    </row>
    <row r="46" spans="1:3" x14ac:dyDescent="0.3">
      <c r="A46" s="26">
        <v>45919</v>
      </c>
      <c r="B46" s="27" t="s">
        <v>4</v>
      </c>
      <c r="C46" s="24">
        <v>-76.8</v>
      </c>
    </row>
    <row r="47" spans="1:3" x14ac:dyDescent="0.3">
      <c r="A47" s="26">
        <v>45925</v>
      </c>
      <c r="B47" s="32" t="s">
        <v>21</v>
      </c>
      <c r="C47" s="24">
        <v>76.8</v>
      </c>
    </row>
    <row r="48" spans="1:3" x14ac:dyDescent="0.3">
      <c r="A48" s="26">
        <v>45926</v>
      </c>
      <c r="B48" s="27" t="s">
        <v>4</v>
      </c>
      <c r="C48" s="24">
        <v>-76.8</v>
      </c>
    </row>
    <row r="49" spans="1:3" x14ac:dyDescent="0.3">
      <c r="A49" s="26">
        <v>45932</v>
      </c>
      <c r="B49" s="32" t="s">
        <v>21</v>
      </c>
      <c r="C49" s="24">
        <v>39</v>
      </c>
    </row>
    <row r="50" spans="1:3" x14ac:dyDescent="0.3">
      <c r="A50" s="26">
        <v>45933</v>
      </c>
      <c r="B50" s="27" t="s">
        <v>4</v>
      </c>
      <c r="C50" s="24">
        <v>-39</v>
      </c>
    </row>
    <row r="51" spans="1:3" x14ac:dyDescent="0.3">
      <c r="A51" s="26">
        <v>45939</v>
      </c>
      <c r="B51" s="32" t="s">
        <v>21</v>
      </c>
      <c r="C51" s="24">
        <v>76.8</v>
      </c>
    </row>
    <row r="52" spans="1:3" x14ac:dyDescent="0.3">
      <c r="A52" s="26">
        <v>45940</v>
      </c>
      <c r="B52" s="27" t="s">
        <v>1</v>
      </c>
      <c r="C52" s="24">
        <v>125.3</v>
      </c>
    </row>
    <row r="53" spans="1:3" x14ac:dyDescent="0.3">
      <c r="A53" s="26">
        <v>45942</v>
      </c>
      <c r="B53" s="27" t="s">
        <v>4</v>
      </c>
      <c r="C53" s="24">
        <v>-125.3</v>
      </c>
    </row>
    <row r="54" spans="1:3" x14ac:dyDescent="0.3">
      <c r="A54" s="26">
        <v>45946</v>
      </c>
      <c r="B54" s="27" t="s">
        <v>4</v>
      </c>
      <c r="C54" s="24">
        <v>-73.69</v>
      </c>
    </row>
    <row r="55" spans="1:3" x14ac:dyDescent="0.3">
      <c r="A55" s="26">
        <v>45946</v>
      </c>
      <c r="B55" s="32" t="s">
        <v>21</v>
      </c>
      <c r="C55" s="24">
        <v>96</v>
      </c>
    </row>
    <row r="56" spans="1:3" x14ac:dyDescent="0.3">
      <c r="A56" s="26">
        <v>45948</v>
      </c>
      <c r="B56" s="27" t="s">
        <v>4</v>
      </c>
      <c r="C56" s="24">
        <v>-96</v>
      </c>
    </row>
    <row r="57" spans="1:3" x14ac:dyDescent="0.3">
      <c r="A57" s="26">
        <v>45951</v>
      </c>
      <c r="B57" s="27" t="s">
        <v>1</v>
      </c>
      <c r="C57" s="24">
        <v>125.3</v>
      </c>
    </row>
    <row r="58" spans="1:3" x14ac:dyDescent="0.3">
      <c r="A58" s="26">
        <v>45953</v>
      </c>
      <c r="B58" s="32" t="s">
        <v>21</v>
      </c>
      <c r="C58" s="24">
        <v>116.4</v>
      </c>
    </row>
    <row r="59" spans="1:3" x14ac:dyDescent="0.3">
      <c r="A59" s="26">
        <v>45954</v>
      </c>
      <c r="B59" s="27" t="s">
        <v>4</v>
      </c>
      <c r="C59" s="24">
        <v>-119.51</v>
      </c>
    </row>
    <row r="60" spans="1:3" x14ac:dyDescent="0.3">
      <c r="A60" s="26">
        <v>45961</v>
      </c>
      <c r="B60" s="27" t="s">
        <v>4</v>
      </c>
      <c r="C60" s="24">
        <v>-116.4</v>
      </c>
    </row>
    <row r="61" spans="1:3" x14ac:dyDescent="0.3">
      <c r="A61" s="26">
        <v>45960</v>
      </c>
      <c r="B61" s="32" t="s">
        <v>21</v>
      </c>
      <c r="C61" s="24">
        <v>116.4</v>
      </c>
    </row>
    <row r="62" spans="1:3" x14ac:dyDescent="0.3">
      <c r="A62" s="26">
        <v>45967</v>
      </c>
      <c r="B62" s="32" t="s">
        <v>21</v>
      </c>
      <c r="C62" s="24">
        <v>94.05</v>
      </c>
    </row>
    <row r="63" spans="1:3" x14ac:dyDescent="0.3">
      <c r="A63" s="26">
        <v>45968</v>
      </c>
      <c r="B63" s="27" t="s">
        <v>4</v>
      </c>
      <c r="C63" s="24">
        <v>-94.05</v>
      </c>
    </row>
    <row r="64" spans="1:3" x14ac:dyDescent="0.3">
      <c r="A64" s="26">
        <v>45973</v>
      </c>
      <c r="B64" s="27" t="s">
        <v>4</v>
      </c>
      <c r="C64" s="24">
        <v>-125.3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E7E3-D32A-43FD-B7FD-AFA74FE3A72D}">
  <sheetPr codeName="Hoja174"/>
  <dimension ref="A1:H86"/>
  <sheetViews>
    <sheetView view="pageBreakPreview" zoomScaleNormal="100" zoomScaleSheetLayoutView="100" workbookViewId="0">
      <selection activeCell="C40" sqref="C4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281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136.15000000000003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45827</v>
      </c>
      <c r="B5" s="32" t="s">
        <v>21</v>
      </c>
      <c r="C5" s="24">
        <v>75.95</v>
      </c>
      <c r="D5" s="30"/>
      <c r="E5" s="30"/>
      <c r="F5" s="30"/>
      <c r="G5" s="22"/>
    </row>
    <row r="6" spans="1:8" hidden="1" x14ac:dyDescent="0.3">
      <c r="A6" s="21">
        <v>45834</v>
      </c>
      <c r="B6" s="27" t="s">
        <v>4</v>
      </c>
      <c r="C6" s="24">
        <v>-75.95</v>
      </c>
    </row>
    <row r="7" spans="1:8" hidden="1" x14ac:dyDescent="0.3">
      <c r="A7" s="21">
        <v>45834</v>
      </c>
      <c r="B7" s="32" t="s">
        <v>21</v>
      </c>
      <c r="C7" s="24">
        <v>95.15</v>
      </c>
    </row>
    <row r="8" spans="1:8" hidden="1" x14ac:dyDescent="0.3">
      <c r="A8" s="26">
        <v>45841</v>
      </c>
      <c r="B8" s="32" t="s">
        <v>21</v>
      </c>
      <c r="C8" s="24">
        <v>39.5</v>
      </c>
    </row>
    <row r="9" spans="1:8" hidden="1" x14ac:dyDescent="0.3">
      <c r="A9" s="26">
        <v>45846</v>
      </c>
      <c r="B9" s="31" t="s">
        <v>4</v>
      </c>
      <c r="C9" s="24">
        <v>-95.15</v>
      </c>
    </row>
    <row r="10" spans="1:8" hidden="1" x14ac:dyDescent="0.3">
      <c r="A10" s="26">
        <v>45848</v>
      </c>
      <c r="B10" s="32" t="s">
        <v>21</v>
      </c>
      <c r="C10" s="24">
        <v>36.450000000000003</v>
      </c>
    </row>
    <row r="11" spans="1:8" hidden="1" x14ac:dyDescent="0.3">
      <c r="A11" s="26">
        <v>45852</v>
      </c>
      <c r="B11" s="27" t="s">
        <v>4</v>
      </c>
      <c r="C11" s="24">
        <v>-39.19</v>
      </c>
    </row>
    <row r="12" spans="1:8" hidden="1" x14ac:dyDescent="0.3">
      <c r="A12" s="26">
        <v>45855</v>
      </c>
      <c r="B12" s="32" t="s">
        <v>21</v>
      </c>
      <c r="C12" s="24">
        <v>56.45</v>
      </c>
    </row>
    <row r="13" spans="1:8" hidden="1" x14ac:dyDescent="0.3">
      <c r="A13" s="26">
        <v>45862</v>
      </c>
      <c r="B13" s="27" t="s">
        <v>4</v>
      </c>
      <c r="C13" s="24">
        <v>-93.21</v>
      </c>
    </row>
    <row r="14" spans="1:8" hidden="1" x14ac:dyDescent="0.3">
      <c r="A14" s="26">
        <v>45862</v>
      </c>
      <c r="B14" s="32" t="s">
        <v>21</v>
      </c>
      <c r="C14" s="24">
        <v>74.55</v>
      </c>
    </row>
    <row r="15" spans="1:8" hidden="1" x14ac:dyDescent="0.3">
      <c r="A15" s="26">
        <v>45869</v>
      </c>
      <c r="B15" s="32" t="s">
        <v>21</v>
      </c>
      <c r="C15" s="24">
        <v>67.98</v>
      </c>
    </row>
    <row r="16" spans="1:8" hidden="1" x14ac:dyDescent="0.3">
      <c r="A16" s="26">
        <v>45875</v>
      </c>
      <c r="B16" s="27" t="s">
        <v>4</v>
      </c>
      <c r="C16" s="24">
        <v>-74.55</v>
      </c>
    </row>
    <row r="17" spans="1:3" hidden="1" x14ac:dyDescent="0.3">
      <c r="A17" s="26">
        <v>45890</v>
      </c>
      <c r="B17" s="27" t="s">
        <v>4</v>
      </c>
      <c r="C17" s="24">
        <v>-67.98</v>
      </c>
    </row>
    <row r="18" spans="1:3" hidden="1" x14ac:dyDescent="0.3">
      <c r="A18" s="26">
        <v>45890</v>
      </c>
      <c r="B18" s="32" t="s">
        <v>21</v>
      </c>
      <c r="C18" s="24">
        <v>111</v>
      </c>
    </row>
    <row r="19" spans="1:3" hidden="1" x14ac:dyDescent="0.3">
      <c r="A19" s="26">
        <v>45910</v>
      </c>
      <c r="B19" s="27" t="s">
        <v>4</v>
      </c>
      <c r="C19" s="24">
        <v>-110.05</v>
      </c>
    </row>
    <row r="20" spans="1:3" hidden="1" x14ac:dyDescent="0.3">
      <c r="A20" s="26">
        <v>45911</v>
      </c>
      <c r="B20" s="32" t="s">
        <v>21</v>
      </c>
      <c r="C20" s="24">
        <v>119.45</v>
      </c>
    </row>
    <row r="21" spans="1:3" hidden="1" x14ac:dyDescent="0.3">
      <c r="A21" s="26">
        <v>45925</v>
      </c>
      <c r="B21" s="27" t="s">
        <v>4</v>
      </c>
      <c r="C21" s="24">
        <v>-120.4</v>
      </c>
    </row>
    <row r="22" spans="1:3" hidden="1" x14ac:dyDescent="0.3">
      <c r="A22" s="26">
        <v>45925</v>
      </c>
      <c r="B22" s="32" t="s">
        <v>21</v>
      </c>
      <c r="C22" s="24">
        <v>74.25</v>
      </c>
    </row>
    <row r="23" spans="1:3" hidden="1" x14ac:dyDescent="0.3">
      <c r="A23" s="26">
        <v>45932</v>
      </c>
      <c r="B23" s="32" t="s">
        <v>21</v>
      </c>
      <c r="C23" s="24">
        <v>55.95</v>
      </c>
    </row>
    <row r="24" spans="1:3" hidden="1" x14ac:dyDescent="0.3">
      <c r="A24" s="26">
        <v>45944</v>
      </c>
      <c r="B24" s="27" t="s">
        <v>4</v>
      </c>
      <c r="C24" s="24">
        <v>-128.88</v>
      </c>
    </row>
    <row r="25" spans="1:3" hidden="1" x14ac:dyDescent="0.3">
      <c r="A25" s="26">
        <v>45944</v>
      </c>
      <c r="B25" s="32" t="s">
        <v>21</v>
      </c>
      <c r="C25" s="24">
        <v>120.35</v>
      </c>
    </row>
    <row r="26" spans="1:3" hidden="1" x14ac:dyDescent="0.3">
      <c r="A26" s="26">
        <v>45953</v>
      </c>
      <c r="B26" s="27" t="s">
        <v>4</v>
      </c>
      <c r="C26" s="24">
        <v>-121.67</v>
      </c>
    </row>
    <row r="27" spans="1:3" hidden="1" x14ac:dyDescent="0.3">
      <c r="A27" s="26">
        <v>45953</v>
      </c>
      <c r="B27" s="32" t="s">
        <v>21</v>
      </c>
      <c r="C27" s="24">
        <v>36.450000000000003</v>
      </c>
    </row>
    <row r="28" spans="1:3" hidden="1" x14ac:dyDescent="0.3">
      <c r="A28" s="26">
        <v>45960</v>
      </c>
      <c r="B28" s="32" t="s">
        <v>21</v>
      </c>
      <c r="C28" s="24">
        <v>75.849999999999994</v>
      </c>
    </row>
    <row r="29" spans="1:3" hidden="1" x14ac:dyDescent="0.3">
      <c r="A29" s="26">
        <v>45961</v>
      </c>
      <c r="B29" s="27" t="s">
        <v>4</v>
      </c>
      <c r="C29" s="24">
        <v>-36.14</v>
      </c>
    </row>
    <row r="30" spans="1:3" hidden="1" x14ac:dyDescent="0.3">
      <c r="A30" s="26">
        <v>45974</v>
      </c>
      <c r="B30" s="27" t="s">
        <v>1</v>
      </c>
      <c r="C30" s="24">
        <v>57.45</v>
      </c>
    </row>
    <row r="31" spans="1:3" hidden="1" x14ac:dyDescent="0.3">
      <c r="A31" s="26">
        <v>45981</v>
      </c>
      <c r="B31" s="27" t="s">
        <v>4</v>
      </c>
      <c r="C31" s="24">
        <v>-75.849999999999994</v>
      </c>
    </row>
    <row r="32" spans="1:3" hidden="1" x14ac:dyDescent="0.3">
      <c r="A32" s="26">
        <v>45988</v>
      </c>
      <c r="B32" s="27" t="s">
        <v>4</v>
      </c>
      <c r="C32" s="24">
        <v>-57.2</v>
      </c>
    </row>
    <row r="33" spans="1:3" x14ac:dyDescent="0.3">
      <c r="A33" s="26">
        <v>45988</v>
      </c>
      <c r="B33" s="27" t="s">
        <v>1</v>
      </c>
      <c r="C33" s="24">
        <v>115.4</v>
      </c>
    </row>
    <row r="34" spans="1:3" x14ac:dyDescent="0.3">
      <c r="A34" s="26">
        <v>46002</v>
      </c>
      <c r="B34" s="27" t="s">
        <v>4</v>
      </c>
      <c r="C34" s="24">
        <v>-114.67</v>
      </c>
    </row>
    <row r="35" spans="1:3" x14ac:dyDescent="0.3">
      <c r="A35" s="26">
        <v>46002</v>
      </c>
      <c r="B35" s="27" t="s">
        <v>1</v>
      </c>
      <c r="C35" s="24">
        <v>149.99</v>
      </c>
    </row>
    <row r="36" spans="1:3" x14ac:dyDescent="0.3">
      <c r="A36" s="26">
        <v>46017</v>
      </c>
      <c r="B36" s="27" t="s">
        <v>1</v>
      </c>
      <c r="C36" s="24">
        <v>71.56</v>
      </c>
    </row>
    <row r="37" spans="1:3" x14ac:dyDescent="0.3">
      <c r="A37" s="26">
        <v>46030</v>
      </c>
      <c r="B37" s="27" t="s">
        <v>4</v>
      </c>
      <c r="C37" s="24">
        <v>-141.33000000000001</v>
      </c>
    </row>
    <row r="38" spans="1:3" x14ac:dyDescent="0.3">
      <c r="A38" s="26">
        <v>46036</v>
      </c>
      <c r="B38" s="27" t="s">
        <v>4</v>
      </c>
      <c r="C38" s="24">
        <v>-71.56</v>
      </c>
    </row>
    <row r="39" spans="1:3" x14ac:dyDescent="0.3">
      <c r="A39" s="26">
        <v>46037</v>
      </c>
      <c r="B39" s="27" t="s">
        <v>1</v>
      </c>
      <c r="C39" s="24">
        <v>126.2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DFC6D-943D-4CCE-BF9A-4D2310D38582}">
  <sheetPr codeName="Hoja104"/>
  <dimension ref="A1:O74"/>
  <sheetViews>
    <sheetView view="pageBreakPreview" topLeftCell="A34" zoomScale="80" zoomScaleNormal="100" zoomScaleSheetLayoutView="80" workbookViewId="0">
      <selection activeCell="G75" sqref="G7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406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-5.8200000000000358</v>
      </c>
      <c r="D3" s="20">
        <f>SUM(D$4:D$1048576)</f>
        <v>1</v>
      </c>
      <c r="E3" s="20">
        <f>SUM(E$5:E$1048576)</f>
        <v>0</v>
      </c>
      <c r="F3" s="20">
        <f>SUM(F$5:F$1048576)</f>
        <v>0</v>
      </c>
      <c r="G3" s="19">
        <f>SUM(G$5:G$1048576)</f>
        <v>15.340000000000002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45820</v>
      </c>
      <c r="B5" s="32" t="s">
        <v>21</v>
      </c>
      <c r="C5" s="24">
        <f>216.86-G5</f>
        <v>194.43</v>
      </c>
      <c r="D5" s="30"/>
      <c r="E5" s="30"/>
      <c r="F5" s="30"/>
      <c r="G5" s="93">
        <v>22.43</v>
      </c>
    </row>
    <row r="6" spans="1:8" x14ac:dyDescent="0.3">
      <c r="A6" s="21">
        <v>45825</v>
      </c>
      <c r="B6" s="27" t="s">
        <v>4</v>
      </c>
      <c r="C6" s="24">
        <v>-194.43</v>
      </c>
      <c r="G6" s="94">
        <v>-22.43</v>
      </c>
    </row>
    <row r="7" spans="1:8" x14ac:dyDescent="0.3">
      <c r="A7" s="21">
        <v>45833</v>
      </c>
      <c r="B7" s="32" t="s">
        <v>21</v>
      </c>
      <c r="C7" s="24">
        <f>148.02-G7</f>
        <v>132.71</v>
      </c>
      <c r="G7" s="94">
        <v>15.31</v>
      </c>
    </row>
    <row r="8" spans="1:8" x14ac:dyDescent="0.3">
      <c r="A8" s="26">
        <v>45835</v>
      </c>
      <c r="B8" s="27" t="s">
        <v>4</v>
      </c>
      <c r="C8" s="24">
        <v>-150.19</v>
      </c>
      <c r="G8" s="94">
        <v>-15.31</v>
      </c>
    </row>
    <row r="9" spans="1:8" x14ac:dyDescent="0.3">
      <c r="A9" s="26">
        <v>45839</v>
      </c>
      <c r="B9" s="32" t="s">
        <v>21</v>
      </c>
      <c r="C9" s="24">
        <v>19.5</v>
      </c>
    </row>
    <row r="10" spans="1:8" x14ac:dyDescent="0.3">
      <c r="A10" s="26">
        <v>45841</v>
      </c>
      <c r="B10" s="32" t="s">
        <v>21</v>
      </c>
      <c r="C10" s="24">
        <f>124.12-G10</f>
        <v>111.28</v>
      </c>
      <c r="G10" s="94">
        <v>12.84</v>
      </c>
    </row>
    <row r="11" spans="1:8" x14ac:dyDescent="0.3">
      <c r="A11" s="26">
        <v>45846</v>
      </c>
      <c r="B11" s="27" t="s">
        <v>4</v>
      </c>
      <c r="C11" s="24">
        <v>-111.28</v>
      </c>
      <c r="G11" s="94">
        <v>-12.84</v>
      </c>
    </row>
    <row r="12" spans="1:8" x14ac:dyDescent="0.3">
      <c r="A12" s="26">
        <v>45847</v>
      </c>
      <c r="B12" s="32" t="s">
        <v>21</v>
      </c>
      <c r="C12" s="24">
        <f>63.15-G12</f>
        <v>56.62</v>
      </c>
      <c r="G12" s="94">
        <v>6.53</v>
      </c>
    </row>
    <row r="13" spans="1:8" x14ac:dyDescent="0.3">
      <c r="A13" s="26">
        <v>45849</v>
      </c>
      <c r="B13" s="27" t="s">
        <v>4</v>
      </c>
      <c r="C13" s="24">
        <v>-56.62</v>
      </c>
      <c r="G13" s="94">
        <v>-6.53</v>
      </c>
    </row>
    <row r="14" spans="1:8" x14ac:dyDescent="0.3">
      <c r="A14" s="26">
        <v>45855</v>
      </c>
      <c r="B14" s="32" t="s">
        <v>21</v>
      </c>
      <c r="C14" s="24">
        <f>148.02-G14</f>
        <v>132.71</v>
      </c>
      <c r="G14" s="94">
        <v>15.31</v>
      </c>
    </row>
    <row r="15" spans="1:8" x14ac:dyDescent="0.3">
      <c r="A15" s="26">
        <v>45861</v>
      </c>
      <c r="B15" s="27" t="s">
        <v>4</v>
      </c>
      <c r="C15" s="24">
        <v>-127.63</v>
      </c>
      <c r="G15" s="94">
        <v>-15.31</v>
      </c>
    </row>
    <row r="16" spans="1:8" x14ac:dyDescent="0.3">
      <c r="A16" s="26">
        <v>45862</v>
      </c>
      <c r="B16" s="27" t="s">
        <v>4</v>
      </c>
      <c r="C16" s="24">
        <v>-111.38</v>
      </c>
      <c r="G16" s="94">
        <v>-12.03</v>
      </c>
    </row>
    <row r="17" spans="1:7" x14ac:dyDescent="0.3">
      <c r="A17" s="26">
        <v>45862</v>
      </c>
      <c r="B17" s="32" t="s">
        <v>21</v>
      </c>
      <c r="C17" s="24">
        <f>116.32-G17</f>
        <v>104.28999999999999</v>
      </c>
      <c r="G17" s="94">
        <v>12.03</v>
      </c>
    </row>
    <row r="18" spans="1:7" x14ac:dyDescent="0.3">
      <c r="A18" s="26">
        <v>45869</v>
      </c>
      <c r="B18" s="27" t="s">
        <v>23</v>
      </c>
      <c r="G18" s="94">
        <v>-8.56</v>
      </c>
    </row>
    <row r="19" spans="1:7" x14ac:dyDescent="0.3">
      <c r="A19" s="26">
        <v>45870</v>
      </c>
      <c r="B19" s="27" t="s">
        <v>4</v>
      </c>
      <c r="C19" s="24">
        <v>-73.72</v>
      </c>
    </row>
    <row r="20" spans="1:7" x14ac:dyDescent="0.3">
      <c r="A20" s="26">
        <v>45869</v>
      </c>
      <c r="B20" s="32" t="s">
        <v>21</v>
      </c>
      <c r="C20" s="24">
        <f>82.83-G20</f>
        <v>74.27</v>
      </c>
      <c r="G20" s="94">
        <v>8.56</v>
      </c>
    </row>
    <row r="21" spans="1:7" x14ac:dyDescent="0.3">
      <c r="A21" s="26">
        <v>45876</v>
      </c>
      <c r="B21" s="27" t="s">
        <v>4</v>
      </c>
      <c r="C21" s="24">
        <v>-78.38</v>
      </c>
      <c r="G21" s="94">
        <v>-8.9700000000000006</v>
      </c>
    </row>
    <row r="22" spans="1:7" x14ac:dyDescent="0.3">
      <c r="A22" s="26">
        <v>45876</v>
      </c>
      <c r="B22" s="32" t="s">
        <v>21</v>
      </c>
      <c r="C22" s="24">
        <f>86.6-G22</f>
        <v>77.63</v>
      </c>
      <c r="G22" s="94">
        <v>8.9700000000000006</v>
      </c>
    </row>
    <row r="23" spans="1:7" x14ac:dyDescent="0.3">
      <c r="A23" s="26">
        <v>45883</v>
      </c>
      <c r="B23" s="32" t="s">
        <v>21</v>
      </c>
      <c r="C23" s="24">
        <f>63.4-G23</f>
        <v>56.85</v>
      </c>
      <c r="G23" s="94">
        <v>6.55</v>
      </c>
    </row>
    <row r="24" spans="1:7" x14ac:dyDescent="0.3">
      <c r="A24" s="26">
        <v>45890</v>
      </c>
      <c r="B24" s="32" t="s">
        <v>21</v>
      </c>
      <c r="C24" s="24">
        <f>68.77-G24</f>
        <v>61.66</v>
      </c>
      <c r="G24" s="94">
        <v>7.11</v>
      </c>
    </row>
    <row r="25" spans="1:7" x14ac:dyDescent="0.3">
      <c r="A25" s="26">
        <v>45897</v>
      </c>
      <c r="B25" s="27" t="s">
        <v>4</v>
      </c>
      <c r="C25" s="24">
        <v>-56.36</v>
      </c>
    </row>
    <row r="26" spans="1:7" x14ac:dyDescent="0.3">
      <c r="A26" s="26">
        <v>45897</v>
      </c>
      <c r="B26" s="27" t="s">
        <v>4</v>
      </c>
      <c r="C26" s="24">
        <v>-0.49</v>
      </c>
      <c r="G26" s="94">
        <v>-6.55</v>
      </c>
    </row>
    <row r="27" spans="1:7" x14ac:dyDescent="0.3">
      <c r="A27" s="26">
        <v>45897</v>
      </c>
      <c r="B27" s="27" t="s">
        <v>4</v>
      </c>
      <c r="C27" s="24">
        <v>-61.66</v>
      </c>
      <c r="G27" s="94">
        <v>-7.11</v>
      </c>
    </row>
    <row r="28" spans="1:7" x14ac:dyDescent="0.3">
      <c r="A28" s="26">
        <v>45897</v>
      </c>
      <c r="B28" s="32" t="s">
        <v>21</v>
      </c>
      <c r="C28" s="24">
        <f>92.92-G28</f>
        <v>83.31</v>
      </c>
      <c r="G28" s="94">
        <v>9.61</v>
      </c>
    </row>
    <row r="29" spans="1:7" x14ac:dyDescent="0.3">
      <c r="A29" s="26">
        <v>45898</v>
      </c>
      <c r="B29" s="27" t="s">
        <v>4</v>
      </c>
      <c r="C29" s="24">
        <v>-96.64</v>
      </c>
      <c r="G29" s="94">
        <v>-9.61</v>
      </c>
    </row>
    <row r="30" spans="1:7" x14ac:dyDescent="0.3">
      <c r="A30" s="26">
        <v>45904</v>
      </c>
      <c r="B30" s="32" t="s">
        <v>21</v>
      </c>
      <c r="C30" s="24">
        <f>96.64-G30</f>
        <v>86.65</v>
      </c>
      <c r="G30" s="94">
        <v>9.99</v>
      </c>
    </row>
    <row r="31" spans="1:7" x14ac:dyDescent="0.3">
      <c r="A31" s="26">
        <v>45904</v>
      </c>
      <c r="B31" s="32" t="s">
        <v>21</v>
      </c>
      <c r="C31" s="24">
        <v>15.84</v>
      </c>
    </row>
    <row r="32" spans="1:7" x14ac:dyDescent="0.3">
      <c r="A32" s="26">
        <v>45909</v>
      </c>
      <c r="B32" s="27" t="s">
        <v>4</v>
      </c>
      <c r="C32" s="24">
        <v>-86.64</v>
      </c>
      <c r="G32" s="94">
        <v>-9.99</v>
      </c>
    </row>
    <row r="33" spans="1:11" x14ac:dyDescent="0.3">
      <c r="A33" s="26">
        <v>45911</v>
      </c>
      <c r="B33" s="32" t="s">
        <v>21</v>
      </c>
      <c r="C33" s="24">
        <f>100.47-G33</f>
        <v>90.08</v>
      </c>
      <c r="G33" s="94">
        <v>10.39</v>
      </c>
    </row>
    <row r="34" spans="1:11" x14ac:dyDescent="0.3">
      <c r="A34" s="26">
        <v>45917</v>
      </c>
      <c r="B34" s="27" t="s">
        <v>4</v>
      </c>
      <c r="C34" s="24">
        <v>-90.08</v>
      </c>
      <c r="G34" s="94">
        <v>-10.39</v>
      </c>
    </row>
    <row r="35" spans="1:11" x14ac:dyDescent="0.3">
      <c r="A35" s="26">
        <v>45918</v>
      </c>
      <c r="B35" s="32" t="s">
        <v>21</v>
      </c>
      <c r="C35" s="24">
        <f>130.38-G35</f>
        <v>116.89999999999999</v>
      </c>
      <c r="G35" s="94">
        <v>13.48</v>
      </c>
    </row>
    <row r="36" spans="1:11" x14ac:dyDescent="0.3">
      <c r="A36" s="26">
        <v>45919</v>
      </c>
      <c r="B36" s="27" t="s">
        <v>4</v>
      </c>
      <c r="C36" s="24">
        <v>-116.89</v>
      </c>
      <c r="G36" s="94">
        <v>-13.48</v>
      </c>
    </row>
    <row r="37" spans="1:11" x14ac:dyDescent="0.3">
      <c r="A37" s="26">
        <v>45925</v>
      </c>
      <c r="B37" s="32" t="s">
        <v>21</v>
      </c>
      <c r="C37" s="24">
        <f>70.95-G37</f>
        <v>63.620000000000005</v>
      </c>
      <c r="G37" s="94">
        <v>7.33</v>
      </c>
    </row>
    <row r="38" spans="1:11" x14ac:dyDescent="0.3">
      <c r="A38" s="26">
        <v>45932</v>
      </c>
      <c r="B38" s="27" t="s">
        <v>4</v>
      </c>
      <c r="C38" s="24">
        <v>-63.61</v>
      </c>
    </row>
    <row r="39" spans="1:11" x14ac:dyDescent="0.3">
      <c r="A39" s="26">
        <v>45932</v>
      </c>
      <c r="B39" s="32" t="s">
        <v>21</v>
      </c>
      <c r="C39" s="24">
        <f>116.32-G39</f>
        <v>104.28999999999999</v>
      </c>
      <c r="G39" s="94">
        <v>12.03</v>
      </c>
    </row>
    <row r="40" spans="1:11" x14ac:dyDescent="0.3">
      <c r="A40" s="26">
        <v>45938</v>
      </c>
      <c r="B40" s="27" t="s">
        <v>4</v>
      </c>
      <c r="C40" s="24">
        <v>-119.76</v>
      </c>
      <c r="G40" s="94">
        <v>-12.03</v>
      </c>
    </row>
    <row r="41" spans="1:11" x14ac:dyDescent="0.3">
      <c r="A41" s="26">
        <v>45939</v>
      </c>
      <c r="B41" s="32" t="s">
        <v>21</v>
      </c>
      <c r="C41" s="24">
        <f>81.9-G41</f>
        <v>73.430000000000007</v>
      </c>
      <c r="G41" s="94">
        <v>8.4700000000000006</v>
      </c>
    </row>
    <row r="42" spans="1:11" x14ac:dyDescent="0.3">
      <c r="A42" s="26">
        <v>45939</v>
      </c>
      <c r="B42" s="32" t="s">
        <v>21</v>
      </c>
      <c r="C42" s="24">
        <v>7.8</v>
      </c>
    </row>
    <row r="43" spans="1:11" x14ac:dyDescent="0.3">
      <c r="A43" s="26">
        <v>45942</v>
      </c>
      <c r="B43" s="27" t="s">
        <v>4</v>
      </c>
      <c r="C43" s="24">
        <v>-72.69</v>
      </c>
      <c r="G43" s="94">
        <v>-8.4700000000000006</v>
      </c>
    </row>
    <row r="44" spans="1:11" x14ac:dyDescent="0.3">
      <c r="A44" s="26">
        <v>45946</v>
      </c>
      <c r="B44" s="32" t="s">
        <v>21</v>
      </c>
      <c r="C44" s="24">
        <f>110.64-G44</f>
        <v>99.2</v>
      </c>
      <c r="G44" s="94">
        <v>11.44</v>
      </c>
    </row>
    <row r="45" spans="1:11" x14ac:dyDescent="0.3">
      <c r="A45" s="26">
        <v>45950</v>
      </c>
      <c r="B45" s="27" t="s">
        <v>4</v>
      </c>
      <c r="C45" s="24">
        <v>-99.19</v>
      </c>
      <c r="G45" s="94">
        <v>-11.44</v>
      </c>
      <c r="K45" s="18">
        <f>1261.28/171.8458</f>
        <v>7.3396032955126049</v>
      </c>
    </row>
    <row r="46" spans="1:11" x14ac:dyDescent="0.3">
      <c r="A46" s="26">
        <v>45953</v>
      </c>
      <c r="B46" s="32" t="s">
        <v>21</v>
      </c>
      <c r="C46" s="24">
        <f>65.52-G46</f>
        <v>58.75</v>
      </c>
      <c r="G46" s="94">
        <v>6.77</v>
      </c>
    </row>
    <row r="47" spans="1:11" x14ac:dyDescent="0.3">
      <c r="A47" s="26">
        <v>45957</v>
      </c>
      <c r="B47" s="27" t="s">
        <v>4</v>
      </c>
      <c r="C47" s="24">
        <v>-58.74</v>
      </c>
      <c r="G47" s="94">
        <v>-6.77</v>
      </c>
    </row>
    <row r="48" spans="1:11" x14ac:dyDescent="0.3">
      <c r="A48" s="26">
        <v>45960</v>
      </c>
      <c r="B48" s="32" t="s">
        <v>21</v>
      </c>
      <c r="C48" s="24">
        <f>84.42-G48</f>
        <v>75.69</v>
      </c>
      <c r="G48" s="94">
        <v>8.73</v>
      </c>
    </row>
    <row r="49" spans="1:15" x14ac:dyDescent="0.3">
      <c r="A49" s="26">
        <v>45962</v>
      </c>
      <c r="B49" s="27" t="s">
        <v>4</v>
      </c>
      <c r="C49" s="24">
        <v>-75.58</v>
      </c>
      <c r="G49" s="94">
        <v>-8.73</v>
      </c>
    </row>
    <row r="50" spans="1:15" x14ac:dyDescent="0.3">
      <c r="A50" s="26">
        <v>45966</v>
      </c>
      <c r="B50" s="27" t="s">
        <v>491</v>
      </c>
      <c r="G50" s="94">
        <v>-7.33</v>
      </c>
      <c r="M50" s="87"/>
    </row>
    <row r="51" spans="1:15" x14ac:dyDescent="0.3">
      <c r="A51" s="26">
        <v>45967</v>
      </c>
      <c r="B51" s="32" t="s">
        <v>21</v>
      </c>
      <c r="C51" s="24">
        <f>117.18-G51</f>
        <v>105.06</v>
      </c>
      <c r="G51" s="105">
        <v>12.12</v>
      </c>
      <c r="K51" s="18">
        <f>117.18/1.16</f>
        <v>101.01724137931036</v>
      </c>
    </row>
    <row r="52" spans="1:15" x14ac:dyDescent="0.3">
      <c r="A52" s="26">
        <v>45971</v>
      </c>
      <c r="B52" s="27" t="s">
        <v>4</v>
      </c>
      <c r="C52" s="24">
        <v>-105.06</v>
      </c>
      <c r="K52" s="18">
        <f>+K51*0.16</f>
        <v>16.162758620689658</v>
      </c>
    </row>
    <row r="53" spans="1:15" x14ac:dyDescent="0.3">
      <c r="A53" s="26">
        <v>45974</v>
      </c>
      <c r="B53" s="27" t="s">
        <v>1</v>
      </c>
      <c r="C53" s="24">
        <f>170.82-G53</f>
        <v>153.14999999999998</v>
      </c>
      <c r="G53" s="94">
        <v>17.670000000000002</v>
      </c>
      <c r="K53" s="18">
        <f>+K52*0.75</f>
        <v>12.122068965517244</v>
      </c>
    </row>
    <row r="54" spans="1:15" x14ac:dyDescent="0.3">
      <c r="A54" s="26">
        <v>45981</v>
      </c>
      <c r="B54" s="27" t="s">
        <v>1</v>
      </c>
      <c r="C54" s="24">
        <f>72.54-G54</f>
        <v>65.040000000000006</v>
      </c>
      <c r="G54" s="94">
        <v>7.5</v>
      </c>
    </row>
    <row r="55" spans="1:15" x14ac:dyDescent="0.3">
      <c r="A55" s="26">
        <v>45985</v>
      </c>
      <c r="B55" s="27" t="s">
        <v>4</v>
      </c>
      <c r="C55" s="24">
        <v>-65.040000000000006</v>
      </c>
      <c r="G55" s="94">
        <v>-7.5</v>
      </c>
    </row>
    <row r="56" spans="1:15" x14ac:dyDescent="0.3">
      <c r="A56" s="26">
        <v>45988</v>
      </c>
      <c r="B56" s="27" t="s">
        <v>1</v>
      </c>
      <c r="C56" s="24">
        <f>81.12-G56</f>
        <v>72.73</v>
      </c>
      <c r="D56" s="25">
        <v>3</v>
      </c>
      <c r="G56" s="94">
        <v>8.39</v>
      </c>
      <c r="I56" s="87">
        <f>170.82-G53</f>
        <v>153.14999999999998</v>
      </c>
    </row>
    <row r="57" spans="1:15" x14ac:dyDescent="0.3">
      <c r="A57" s="26">
        <v>45993</v>
      </c>
      <c r="B57" s="27" t="s">
        <v>4</v>
      </c>
      <c r="C57" s="24">
        <v>-72.73</v>
      </c>
      <c r="G57" s="94">
        <v>-8.39</v>
      </c>
    </row>
    <row r="58" spans="1:15" x14ac:dyDescent="0.3">
      <c r="A58" s="26">
        <v>45995</v>
      </c>
      <c r="B58" s="27" t="s">
        <v>4</v>
      </c>
      <c r="C58" s="24">
        <v>-153.15</v>
      </c>
      <c r="K58" s="18">
        <f>1803.4/240.3209</f>
        <v>7.5041330154805514</v>
      </c>
    </row>
    <row r="59" spans="1:15" x14ac:dyDescent="0.3">
      <c r="A59" s="26">
        <v>45995</v>
      </c>
      <c r="B59" s="27" t="s">
        <v>1</v>
      </c>
      <c r="C59" s="24">
        <f>95.04-G59</f>
        <v>85.210000000000008</v>
      </c>
      <c r="G59" s="94">
        <v>9.83</v>
      </c>
    </row>
    <row r="60" spans="1:15" x14ac:dyDescent="0.3">
      <c r="A60" s="26">
        <v>45996</v>
      </c>
      <c r="B60" s="27" t="s">
        <v>4</v>
      </c>
      <c r="C60" s="24">
        <v>-85.21</v>
      </c>
    </row>
    <row r="61" spans="1:15" x14ac:dyDescent="0.3">
      <c r="A61" s="26">
        <v>46002</v>
      </c>
      <c r="B61" s="27" t="s">
        <v>1</v>
      </c>
      <c r="C61" s="24">
        <f>31.2-G61</f>
        <v>27.98</v>
      </c>
      <c r="D61" s="25">
        <v>-2</v>
      </c>
      <c r="G61" s="105">
        <v>3.22</v>
      </c>
    </row>
    <row r="62" spans="1:15" x14ac:dyDescent="0.3">
      <c r="A62" s="26">
        <v>46004</v>
      </c>
      <c r="B62" s="27" t="s">
        <v>4</v>
      </c>
      <c r="C62" s="24">
        <v>-27.66</v>
      </c>
      <c r="G62" s="94">
        <v>-9.83</v>
      </c>
    </row>
    <row r="63" spans="1:15" x14ac:dyDescent="0.3">
      <c r="A63" s="26">
        <v>46009</v>
      </c>
      <c r="B63" s="27" t="s">
        <v>1</v>
      </c>
      <c r="C63" s="24">
        <f>153.72-G63</f>
        <v>137.82</v>
      </c>
      <c r="G63" s="94">
        <v>15.9</v>
      </c>
      <c r="K63" s="18">
        <f>2053.04/244.6504</f>
        <v>8.3917295863812207</v>
      </c>
      <c r="O63" s="18">
        <f>4126.84/233.5576</f>
        <v>17.669474253888549</v>
      </c>
    </row>
    <row r="64" spans="1:15" x14ac:dyDescent="0.3">
      <c r="A64" s="26">
        <v>46010</v>
      </c>
      <c r="B64" s="27" t="s">
        <v>4</v>
      </c>
      <c r="C64" s="24">
        <v>-77.73</v>
      </c>
    </row>
    <row r="65" spans="1:14" x14ac:dyDescent="0.3">
      <c r="A65" s="26">
        <v>46010</v>
      </c>
      <c r="B65" s="27" t="s">
        <v>4</v>
      </c>
      <c r="C65" s="24">
        <v>-60.08</v>
      </c>
      <c r="G65" s="94">
        <v>-15.9</v>
      </c>
    </row>
    <row r="66" spans="1:14" x14ac:dyDescent="0.3">
      <c r="A66" s="26">
        <v>46020</v>
      </c>
      <c r="B66" s="27" t="s">
        <v>4</v>
      </c>
      <c r="C66" s="24">
        <v>-227.56</v>
      </c>
      <c r="G66" s="94">
        <v>-15.64</v>
      </c>
      <c r="J66" s="18">
        <f>4613.72/294.9699</f>
        <v>15.641324758899129</v>
      </c>
    </row>
    <row r="67" spans="1:14" x14ac:dyDescent="0.3">
      <c r="A67" s="26">
        <v>46020</v>
      </c>
      <c r="B67" s="27" t="s">
        <v>1</v>
      </c>
      <c r="C67" s="24">
        <f>243.2-G67</f>
        <v>227.56</v>
      </c>
      <c r="D67" s="25">
        <v>4</v>
      </c>
      <c r="G67" s="94">
        <v>15.64</v>
      </c>
    </row>
    <row r="68" spans="1:14" x14ac:dyDescent="0.3">
      <c r="A68" s="26">
        <v>46021</v>
      </c>
      <c r="B68" s="27" t="s">
        <v>23</v>
      </c>
      <c r="G68" s="94">
        <v>-17.670000000000002</v>
      </c>
      <c r="N68" s="18">
        <f>4637.18/367.3069</f>
        <v>12.624810478648783</v>
      </c>
    </row>
    <row r="69" spans="1:14" x14ac:dyDescent="0.3">
      <c r="A69" s="26">
        <v>46031</v>
      </c>
      <c r="B69" s="27" t="s">
        <v>1</v>
      </c>
      <c r="C69" s="24">
        <f>124.98-G69</f>
        <v>112.06</v>
      </c>
      <c r="D69" s="25">
        <v>-5</v>
      </c>
      <c r="G69" s="24">
        <v>12.92</v>
      </c>
      <c r="J69" s="18">
        <f>2476.47/251.8867</f>
        <v>9.8316822603178338</v>
      </c>
    </row>
    <row r="70" spans="1:14" x14ac:dyDescent="0.3">
      <c r="A70" s="26">
        <v>46036</v>
      </c>
      <c r="B70" s="27" t="s">
        <v>4</v>
      </c>
      <c r="C70" s="24">
        <v>-113.76</v>
      </c>
      <c r="G70" s="24">
        <v>-12.92</v>
      </c>
    </row>
    <row r="71" spans="1:14" x14ac:dyDescent="0.3">
      <c r="A71" s="26">
        <v>46045</v>
      </c>
      <c r="B71" s="27" t="s">
        <v>1</v>
      </c>
      <c r="C71" s="24">
        <f>146.76-G71</f>
        <v>131.57999999999998</v>
      </c>
      <c r="D71" s="25">
        <v>1</v>
      </c>
      <c r="G71" s="24">
        <v>15.18</v>
      </c>
    </row>
    <row r="72" spans="1:14" x14ac:dyDescent="0.3">
      <c r="A72" s="26">
        <v>46048</v>
      </c>
      <c r="B72" s="27" t="s">
        <v>4</v>
      </c>
      <c r="C72" s="24">
        <v>-131.58000000000001</v>
      </c>
      <c r="G72" s="24">
        <v>-15.18</v>
      </c>
      <c r="J72" s="18">
        <f>4271.4/325.3894</f>
        <v>13.127041016087185</v>
      </c>
    </row>
    <row r="73" spans="1:14" x14ac:dyDescent="0.3">
      <c r="A73" s="26">
        <v>46052</v>
      </c>
      <c r="B73" s="27" t="s">
        <v>1</v>
      </c>
      <c r="C73" s="24">
        <f>122.04-G73</f>
        <v>109.42</v>
      </c>
      <c r="G73" s="24">
        <v>12.62</v>
      </c>
      <c r="J73" s="18">
        <f>5354.81/352.7063</f>
        <v>15.182065077941621</v>
      </c>
      <c r="M73" s="18">
        <f>4445.62/279.5629</f>
        <v>15.902038503678419</v>
      </c>
    </row>
    <row r="74" spans="1:14" x14ac:dyDescent="0.3">
      <c r="A74" s="26">
        <v>46056</v>
      </c>
      <c r="B74" s="27" t="s">
        <v>4</v>
      </c>
      <c r="C74" s="24">
        <v>-109.42</v>
      </c>
      <c r="G74" s="24">
        <v>-12.62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EFE2-9D08-41D8-8272-3EF521E2C397}">
  <sheetPr codeName="Hoja193"/>
  <dimension ref="A1:H86"/>
  <sheetViews>
    <sheetView view="pageBreakPreview" zoomScale="80" zoomScaleNormal="100" zoomScaleSheetLayoutView="80" workbookViewId="0">
      <selection activeCell="C40" sqref="C4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303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98.249999999999972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45833</v>
      </c>
      <c r="B5" s="32" t="s">
        <v>21</v>
      </c>
      <c r="C5" s="24">
        <v>57.39</v>
      </c>
      <c r="D5" s="30"/>
      <c r="E5" s="30"/>
      <c r="F5" s="30"/>
      <c r="G5" s="22"/>
    </row>
    <row r="6" spans="1:8" hidden="1" x14ac:dyDescent="0.3">
      <c r="A6" s="21">
        <v>45842</v>
      </c>
      <c r="B6" s="32" t="s">
        <v>21</v>
      </c>
      <c r="C6" s="24">
        <v>7.5</v>
      </c>
    </row>
    <row r="7" spans="1:8" hidden="1" x14ac:dyDescent="0.3">
      <c r="A7" s="21">
        <v>45842</v>
      </c>
      <c r="B7" s="27" t="s">
        <v>4</v>
      </c>
      <c r="C7" s="24">
        <v>-57.39</v>
      </c>
    </row>
    <row r="8" spans="1:8" hidden="1" x14ac:dyDescent="0.3">
      <c r="A8" s="26">
        <v>45848</v>
      </c>
      <c r="B8" s="32" t="s">
        <v>1</v>
      </c>
      <c r="C8" s="24">
        <v>15</v>
      </c>
    </row>
    <row r="9" spans="1:8" hidden="1" x14ac:dyDescent="0.3">
      <c r="A9" s="26">
        <v>45870</v>
      </c>
      <c r="B9" s="27" t="s">
        <v>4</v>
      </c>
      <c r="C9" s="24">
        <v>-22.5</v>
      </c>
    </row>
    <row r="10" spans="1:8" hidden="1" x14ac:dyDescent="0.3">
      <c r="A10" s="26">
        <v>45876</v>
      </c>
      <c r="B10" s="32" t="s">
        <v>1</v>
      </c>
      <c r="C10" s="24">
        <v>41.54</v>
      </c>
    </row>
    <row r="11" spans="1:8" hidden="1" x14ac:dyDescent="0.3">
      <c r="A11" s="26">
        <v>45897</v>
      </c>
      <c r="B11" s="27" t="s">
        <v>4</v>
      </c>
      <c r="C11" s="24">
        <v>-41.54</v>
      </c>
    </row>
    <row r="12" spans="1:8" hidden="1" x14ac:dyDescent="0.3">
      <c r="A12" s="26">
        <v>45897</v>
      </c>
      <c r="B12" s="32" t="s">
        <v>1</v>
      </c>
      <c r="C12" s="24">
        <v>41.54</v>
      </c>
    </row>
    <row r="13" spans="1:8" hidden="1" x14ac:dyDescent="0.3">
      <c r="A13" s="26">
        <v>45904</v>
      </c>
      <c r="B13" s="27" t="s">
        <v>4</v>
      </c>
      <c r="C13" s="24">
        <v>-41.51</v>
      </c>
    </row>
    <row r="14" spans="1:8" hidden="1" x14ac:dyDescent="0.3">
      <c r="A14" s="26">
        <v>45904</v>
      </c>
      <c r="B14" s="32" t="s">
        <v>1</v>
      </c>
      <c r="C14" s="24">
        <v>15.85</v>
      </c>
    </row>
    <row r="15" spans="1:8" hidden="1" x14ac:dyDescent="0.3">
      <c r="A15" s="26">
        <v>45926</v>
      </c>
      <c r="B15" s="27" t="s">
        <v>4</v>
      </c>
      <c r="C15" s="24">
        <v>-15.88</v>
      </c>
    </row>
    <row r="16" spans="1:8" hidden="1" x14ac:dyDescent="0.3">
      <c r="A16" s="26">
        <v>45926</v>
      </c>
      <c r="B16" s="27" t="s">
        <v>4</v>
      </c>
      <c r="C16" s="24">
        <v>-41.54</v>
      </c>
    </row>
    <row r="17" spans="1:3" hidden="1" x14ac:dyDescent="0.3">
      <c r="A17" s="26">
        <v>45926</v>
      </c>
      <c r="B17" s="32" t="s">
        <v>1</v>
      </c>
      <c r="C17" s="24">
        <v>41.54</v>
      </c>
    </row>
    <row r="18" spans="1:3" hidden="1" x14ac:dyDescent="0.3">
      <c r="A18" s="26">
        <v>45926</v>
      </c>
      <c r="B18" s="34" t="s">
        <v>1</v>
      </c>
      <c r="C18" s="24">
        <v>21.4</v>
      </c>
    </row>
    <row r="19" spans="1:3" hidden="1" x14ac:dyDescent="0.3">
      <c r="A19" s="26">
        <v>45932</v>
      </c>
      <c r="B19" s="27" t="s">
        <v>4</v>
      </c>
      <c r="C19" s="24">
        <v>-21.4</v>
      </c>
    </row>
    <row r="20" spans="1:3" hidden="1" x14ac:dyDescent="0.3">
      <c r="A20" s="26">
        <v>45932</v>
      </c>
      <c r="B20" s="34" t="s">
        <v>1</v>
      </c>
      <c r="C20" s="24">
        <v>36.36</v>
      </c>
    </row>
    <row r="21" spans="1:3" hidden="1" x14ac:dyDescent="0.3">
      <c r="A21" s="26">
        <v>45940</v>
      </c>
      <c r="B21" s="32" t="s">
        <v>1</v>
      </c>
      <c r="C21" s="24">
        <v>16.38</v>
      </c>
    </row>
    <row r="22" spans="1:3" hidden="1" x14ac:dyDescent="0.3">
      <c r="A22" s="26">
        <v>45940</v>
      </c>
      <c r="B22" s="34" t="s">
        <v>1</v>
      </c>
      <c r="C22" s="24">
        <v>23.4</v>
      </c>
    </row>
    <row r="23" spans="1:3" hidden="1" x14ac:dyDescent="0.3">
      <c r="A23" s="26">
        <v>45944</v>
      </c>
      <c r="B23" s="27" t="s">
        <v>4</v>
      </c>
      <c r="C23" s="24">
        <v>-36.36</v>
      </c>
    </row>
    <row r="24" spans="1:3" hidden="1" x14ac:dyDescent="0.3">
      <c r="A24" s="26">
        <v>45947</v>
      </c>
      <c r="B24" s="27" t="s">
        <v>4</v>
      </c>
      <c r="C24" s="24">
        <v>-39.78</v>
      </c>
    </row>
    <row r="25" spans="1:3" hidden="1" x14ac:dyDescent="0.3">
      <c r="A25" s="26">
        <v>45947</v>
      </c>
      <c r="B25" s="32" t="s">
        <v>1</v>
      </c>
      <c r="C25" s="24">
        <v>26.22</v>
      </c>
    </row>
    <row r="26" spans="1:3" hidden="1" x14ac:dyDescent="0.3">
      <c r="A26" s="26">
        <v>45947</v>
      </c>
      <c r="B26" s="34" t="s">
        <v>1</v>
      </c>
      <c r="C26" s="24">
        <v>61.68</v>
      </c>
    </row>
    <row r="27" spans="1:3" hidden="1" x14ac:dyDescent="0.3">
      <c r="A27" s="26">
        <v>45960</v>
      </c>
      <c r="B27" s="32" t="s">
        <v>1</v>
      </c>
      <c r="C27" s="24">
        <v>32.76</v>
      </c>
    </row>
    <row r="28" spans="1:3" hidden="1" x14ac:dyDescent="0.3">
      <c r="A28" s="26">
        <v>45960</v>
      </c>
      <c r="B28" s="34" t="s">
        <v>1</v>
      </c>
      <c r="C28" s="24">
        <v>24.6</v>
      </c>
    </row>
    <row r="29" spans="1:3" hidden="1" x14ac:dyDescent="0.3">
      <c r="A29" s="26">
        <v>45975</v>
      </c>
      <c r="B29" s="27" t="s">
        <v>4</v>
      </c>
      <c r="C29" s="24">
        <v>-68.12</v>
      </c>
    </row>
    <row r="30" spans="1:3" hidden="1" x14ac:dyDescent="0.3">
      <c r="A30" s="26">
        <v>45978</v>
      </c>
      <c r="B30" s="27" t="s">
        <v>4</v>
      </c>
      <c r="C30" s="24">
        <v>-77.02</v>
      </c>
    </row>
    <row r="31" spans="1:3" x14ac:dyDescent="0.3">
      <c r="A31" s="26">
        <v>45982</v>
      </c>
      <c r="B31" s="27" t="s">
        <v>1</v>
      </c>
      <c r="C31" s="24">
        <v>54.66</v>
      </c>
    </row>
    <row r="32" spans="1:3" x14ac:dyDescent="0.3">
      <c r="A32" s="26">
        <v>46009</v>
      </c>
      <c r="B32" s="27" t="s">
        <v>4</v>
      </c>
      <c r="C32" s="24">
        <v>-54.78</v>
      </c>
    </row>
    <row r="33" spans="1:3" x14ac:dyDescent="0.3">
      <c r="A33" s="26">
        <v>46009</v>
      </c>
      <c r="B33" s="27" t="s">
        <v>1</v>
      </c>
      <c r="C33" s="24">
        <v>64.64</v>
      </c>
    </row>
    <row r="34" spans="1:3" x14ac:dyDescent="0.3">
      <c r="A34" s="26">
        <v>46031</v>
      </c>
      <c r="B34" s="27" t="s">
        <v>7</v>
      </c>
      <c r="C34" s="24">
        <v>-64.72</v>
      </c>
    </row>
    <row r="35" spans="1:3" x14ac:dyDescent="0.3">
      <c r="A35" s="26">
        <v>46031</v>
      </c>
      <c r="B35" s="27" t="s">
        <v>1</v>
      </c>
      <c r="C35" s="24">
        <v>26.22</v>
      </c>
    </row>
    <row r="36" spans="1:3" x14ac:dyDescent="0.3">
      <c r="A36" s="26">
        <v>46037</v>
      </c>
      <c r="B36" s="27" t="s">
        <v>4</v>
      </c>
      <c r="C36" s="24">
        <v>-26.2</v>
      </c>
    </row>
    <row r="37" spans="1:3" x14ac:dyDescent="0.3">
      <c r="A37" s="26">
        <v>46037</v>
      </c>
      <c r="B37" s="27" t="s">
        <v>1</v>
      </c>
      <c r="C37" s="24">
        <v>59.52</v>
      </c>
    </row>
    <row r="38" spans="1:3" x14ac:dyDescent="0.3">
      <c r="A38" s="26">
        <v>46044</v>
      </c>
      <c r="B38" s="27" t="s">
        <v>4</v>
      </c>
      <c r="C38" s="24">
        <v>-34.29</v>
      </c>
    </row>
    <row r="39" spans="1:3" x14ac:dyDescent="0.3">
      <c r="A39" s="26">
        <v>46051</v>
      </c>
      <c r="B39" s="27" t="s">
        <v>1</v>
      </c>
      <c r="C39" s="24">
        <v>73.08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12B2-A5CE-47FB-B62A-84B8A3DD22D9}">
  <dimension ref="A1:H86"/>
  <sheetViews>
    <sheetView view="pageBreakPreview" topLeftCell="A3" zoomScale="80" zoomScaleNormal="100" zoomScaleSheetLayoutView="80" workbookViewId="0">
      <selection activeCell="C60" sqref="C6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374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0.6200000000000081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45855</v>
      </c>
      <c r="B5" s="32" t="s">
        <v>21</v>
      </c>
      <c r="C5" s="24">
        <v>33.49</v>
      </c>
      <c r="D5" s="30"/>
      <c r="E5" s="30"/>
      <c r="F5" s="30"/>
      <c r="G5" s="22"/>
    </row>
    <row r="6" spans="1:8" hidden="1" x14ac:dyDescent="0.3">
      <c r="A6" s="21">
        <v>45862</v>
      </c>
      <c r="B6" s="27" t="s">
        <v>4</v>
      </c>
      <c r="C6" s="24">
        <v>-33.49</v>
      </c>
    </row>
    <row r="7" spans="1:8" hidden="1" x14ac:dyDescent="0.3">
      <c r="A7" s="21">
        <v>45862</v>
      </c>
      <c r="B7" s="32" t="s">
        <v>1</v>
      </c>
      <c r="C7" s="24">
        <v>19.440000000000001</v>
      </c>
    </row>
    <row r="8" spans="1:8" hidden="1" x14ac:dyDescent="0.3">
      <c r="A8" s="26">
        <v>45867</v>
      </c>
      <c r="B8" s="27" t="s">
        <v>4</v>
      </c>
      <c r="C8" s="24">
        <v>-19.440000000000001</v>
      </c>
    </row>
    <row r="9" spans="1:8" hidden="1" x14ac:dyDescent="0.3">
      <c r="A9" s="26">
        <v>45869</v>
      </c>
      <c r="B9" s="32" t="s">
        <v>1</v>
      </c>
      <c r="C9" s="24">
        <v>23.35</v>
      </c>
    </row>
    <row r="10" spans="1:8" hidden="1" x14ac:dyDescent="0.3">
      <c r="A10" s="26">
        <v>45874</v>
      </c>
      <c r="B10" s="27" t="s">
        <v>4</v>
      </c>
      <c r="C10" s="24">
        <v>-23.35</v>
      </c>
    </row>
    <row r="11" spans="1:8" hidden="1" x14ac:dyDescent="0.3">
      <c r="A11" s="26">
        <v>45876</v>
      </c>
      <c r="B11" s="32" t="s">
        <v>1</v>
      </c>
      <c r="C11" s="24">
        <v>23.65</v>
      </c>
    </row>
    <row r="12" spans="1:8" hidden="1" x14ac:dyDescent="0.3">
      <c r="A12" s="26">
        <v>45881</v>
      </c>
      <c r="B12" s="27" t="s">
        <v>4</v>
      </c>
      <c r="C12" s="24">
        <v>-23.65</v>
      </c>
    </row>
    <row r="13" spans="1:8" hidden="1" x14ac:dyDescent="0.3">
      <c r="A13" s="26">
        <v>45883</v>
      </c>
      <c r="B13" s="32" t="s">
        <v>1</v>
      </c>
      <c r="C13" s="24">
        <v>30.34</v>
      </c>
    </row>
    <row r="14" spans="1:8" hidden="1" x14ac:dyDescent="0.3">
      <c r="A14" s="26">
        <v>45889</v>
      </c>
      <c r="B14" s="27" t="s">
        <v>4</v>
      </c>
      <c r="C14" s="24">
        <v>-30.34</v>
      </c>
    </row>
    <row r="15" spans="1:8" hidden="1" x14ac:dyDescent="0.3">
      <c r="A15" s="26">
        <v>45890</v>
      </c>
      <c r="B15" s="32" t="s">
        <v>1</v>
      </c>
      <c r="C15" s="24">
        <v>25.45</v>
      </c>
    </row>
    <row r="16" spans="1:8" hidden="1" x14ac:dyDescent="0.3">
      <c r="A16" s="26">
        <v>45896</v>
      </c>
      <c r="B16" s="27" t="s">
        <v>4</v>
      </c>
      <c r="C16" s="24">
        <v>-25.45</v>
      </c>
    </row>
    <row r="17" spans="1:3" hidden="1" x14ac:dyDescent="0.3">
      <c r="A17" s="26">
        <v>45897</v>
      </c>
      <c r="B17" s="32" t="s">
        <v>1</v>
      </c>
      <c r="C17" s="24">
        <v>15.85</v>
      </c>
    </row>
    <row r="18" spans="1:3" hidden="1" x14ac:dyDescent="0.3">
      <c r="A18" s="26">
        <v>45903</v>
      </c>
      <c r="B18" s="27" t="s">
        <v>4</v>
      </c>
      <c r="C18" s="24">
        <v>-15.85</v>
      </c>
    </row>
    <row r="19" spans="1:3" hidden="1" x14ac:dyDescent="0.3">
      <c r="A19" s="26">
        <v>45904</v>
      </c>
      <c r="B19" s="32" t="s">
        <v>1</v>
      </c>
      <c r="C19" s="24">
        <v>15.1</v>
      </c>
    </row>
    <row r="20" spans="1:3" hidden="1" x14ac:dyDescent="0.3">
      <c r="A20" s="26">
        <v>45909</v>
      </c>
      <c r="B20" s="27" t="s">
        <v>4</v>
      </c>
      <c r="C20" s="24">
        <v>-15.1</v>
      </c>
    </row>
    <row r="21" spans="1:3" hidden="1" x14ac:dyDescent="0.3">
      <c r="A21" s="26">
        <v>45911</v>
      </c>
      <c r="B21" s="32" t="s">
        <v>1</v>
      </c>
      <c r="C21" s="24">
        <v>19.440000000000001</v>
      </c>
    </row>
    <row r="22" spans="1:3" hidden="1" x14ac:dyDescent="0.3">
      <c r="A22" s="26">
        <v>45916</v>
      </c>
      <c r="B22" s="27" t="s">
        <v>4</v>
      </c>
      <c r="C22" s="24">
        <v>-19.45</v>
      </c>
    </row>
    <row r="23" spans="1:3" hidden="1" x14ac:dyDescent="0.3">
      <c r="A23" s="26">
        <v>45918</v>
      </c>
      <c r="B23" s="32" t="s">
        <v>1</v>
      </c>
      <c r="C23" s="24">
        <v>33.25</v>
      </c>
    </row>
    <row r="24" spans="1:3" hidden="1" x14ac:dyDescent="0.3">
      <c r="A24" s="26">
        <v>45924</v>
      </c>
      <c r="B24" s="27" t="s">
        <v>4</v>
      </c>
      <c r="C24" s="24">
        <v>-33.25</v>
      </c>
    </row>
    <row r="25" spans="1:3" x14ac:dyDescent="0.3">
      <c r="A25" s="26">
        <v>45925</v>
      </c>
      <c r="B25" s="32" t="s">
        <v>1</v>
      </c>
      <c r="C25" s="105">
        <v>25.69</v>
      </c>
    </row>
    <row r="26" spans="1:3" x14ac:dyDescent="0.3">
      <c r="A26" s="26">
        <v>45932</v>
      </c>
      <c r="B26" s="27" t="s">
        <v>4</v>
      </c>
      <c r="C26" s="105">
        <v>-23.41</v>
      </c>
    </row>
    <row r="27" spans="1:3" x14ac:dyDescent="0.3">
      <c r="A27" s="26">
        <v>45932</v>
      </c>
      <c r="B27" s="32" t="s">
        <v>1</v>
      </c>
      <c r="C27" s="24">
        <v>23.65</v>
      </c>
    </row>
    <row r="28" spans="1:3" x14ac:dyDescent="0.3">
      <c r="A28" s="26">
        <v>45938</v>
      </c>
      <c r="B28" s="27" t="s">
        <v>4</v>
      </c>
      <c r="C28" s="24">
        <v>-23.65</v>
      </c>
    </row>
    <row r="29" spans="1:3" x14ac:dyDescent="0.3">
      <c r="A29" s="26">
        <v>45939</v>
      </c>
      <c r="B29" s="32" t="s">
        <v>1</v>
      </c>
      <c r="C29" s="24">
        <v>19.68</v>
      </c>
    </row>
    <row r="30" spans="1:3" x14ac:dyDescent="0.3">
      <c r="A30" s="26">
        <v>45946</v>
      </c>
      <c r="B30" s="32" t="s">
        <v>1</v>
      </c>
      <c r="C30" s="24">
        <v>9.6</v>
      </c>
    </row>
    <row r="31" spans="1:3" x14ac:dyDescent="0.3">
      <c r="A31" s="26">
        <v>45947</v>
      </c>
      <c r="B31" s="27" t="s">
        <v>4</v>
      </c>
      <c r="C31" s="24">
        <v>-9.6</v>
      </c>
    </row>
    <row r="32" spans="1:3" x14ac:dyDescent="0.3">
      <c r="A32" s="26">
        <v>45953</v>
      </c>
      <c r="B32" s="27" t="s">
        <v>4</v>
      </c>
      <c r="C32" s="24">
        <v>-19.68</v>
      </c>
    </row>
    <row r="33" spans="1:3" x14ac:dyDescent="0.3">
      <c r="A33" s="26">
        <v>45953</v>
      </c>
      <c r="B33" s="32" t="s">
        <v>1</v>
      </c>
      <c r="C33" s="24">
        <v>16.38</v>
      </c>
    </row>
    <row r="34" spans="1:3" x14ac:dyDescent="0.3">
      <c r="A34" s="26">
        <v>45960</v>
      </c>
      <c r="B34" s="27" t="s">
        <v>4</v>
      </c>
      <c r="C34" s="24">
        <v>-16.239999999999998</v>
      </c>
    </row>
    <row r="35" spans="1:3" x14ac:dyDescent="0.3">
      <c r="A35" s="26">
        <v>45960</v>
      </c>
      <c r="B35" s="32" t="s">
        <v>1</v>
      </c>
      <c r="C35" s="24">
        <v>24.18</v>
      </c>
    </row>
    <row r="36" spans="1:3" x14ac:dyDescent="0.3">
      <c r="A36" s="26">
        <v>45967</v>
      </c>
      <c r="B36" s="27" t="s">
        <v>4</v>
      </c>
      <c r="C36" s="24">
        <v>-24.18</v>
      </c>
    </row>
    <row r="37" spans="1:3" x14ac:dyDescent="0.3">
      <c r="A37" s="26">
        <v>45967</v>
      </c>
      <c r="B37" s="32" t="s">
        <v>1</v>
      </c>
      <c r="C37" s="24">
        <v>27.34</v>
      </c>
    </row>
    <row r="38" spans="1:3" x14ac:dyDescent="0.3">
      <c r="A38" s="26">
        <v>45974</v>
      </c>
      <c r="B38" s="27" t="s">
        <v>4</v>
      </c>
      <c r="C38" s="24">
        <v>-27.34</v>
      </c>
    </row>
    <row r="39" spans="1:3" x14ac:dyDescent="0.3">
      <c r="A39" s="26">
        <v>45974</v>
      </c>
      <c r="B39" s="27" t="s">
        <v>1</v>
      </c>
      <c r="C39" s="24">
        <v>26.22</v>
      </c>
    </row>
    <row r="40" spans="1:3" x14ac:dyDescent="0.3">
      <c r="A40" s="26">
        <v>45978</v>
      </c>
      <c r="B40" s="27" t="s">
        <v>4</v>
      </c>
      <c r="C40" s="24">
        <v>-26.22</v>
      </c>
    </row>
    <row r="41" spans="1:3" x14ac:dyDescent="0.3">
      <c r="A41" s="26">
        <v>45981</v>
      </c>
      <c r="B41" s="27" t="s">
        <v>1</v>
      </c>
      <c r="C41" s="24">
        <v>16.38</v>
      </c>
    </row>
    <row r="42" spans="1:3" x14ac:dyDescent="0.3">
      <c r="A42" s="26">
        <v>45986</v>
      </c>
      <c r="B42" s="27" t="s">
        <v>4</v>
      </c>
      <c r="C42" s="24">
        <v>-16.38</v>
      </c>
    </row>
    <row r="43" spans="1:3" x14ac:dyDescent="0.3">
      <c r="A43" s="26">
        <v>45988</v>
      </c>
      <c r="B43" s="27" t="s">
        <v>1</v>
      </c>
      <c r="C43" s="24">
        <v>36.22</v>
      </c>
    </row>
    <row r="44" spans="1:3" x14ac:dyDescent="0.3">
      <c r="A44" s="26">
        <v>45995</v>
      </c>
      <c r="B44" s="27" t="s">
        <v>4</v>
      </c>
      <c r="C44" s="24">
        <v>-36.22</v>
      </c>
    </row>
    <row r="45" spans="1:3" x14ac:dyDescent="0.3">
      <c r="A45" s="26">
        <v>45995</v>
      </c>
      <c r="B45" s="27" t="s">
        <v>1</v>
      </c>
      <c r="C45" s="24">
        <v>17.64</v>
      </c>
    </row>
    <row r="46" spans="1:3" x14ac:dyDescent="0.3">
      <c r="A46" s="26">
        <v>46001</v>
      </c>
      <c r="B46" s="27" t="s">
        <v>4</v>
      </c>
      <c r="C46" s="24">
        <v>-17.64</v>
      </c>
    </row>
    <row r="47" spans="1:3" x14ac:dyDescent="0.3">
      <c r="A47" s="26">
        <v>46003</v>
      </c>
      <c r="B47" s="27" t="s">
        <v>7</v>
      </c>
      <c r="C47" s="24">
        <v>-1.79</v>
      </c>
    </row>
    <row r="48" spans="1:3" x14ac:dyDescent="0.3">
      <c r="A48" s="26">
        <v>46003</v>
      </c>
      <c r="B48" s="27" t="s">
        <v>1</v>
      </c>
      <c r="C48" s="24">
        <v>16.38</v>
      </c>
    </row>
    <row r="49" spans="1:3" x14ac:dyDescent="0.3">
      <c r="A49" s="26">
        <v>46009</v>
      </c>
      <c r="B49" s="27" t="s">
        <v>4</v>
      </c>
      <c r="C49" s="24">
        <v>-16.38</v>
      </c>
    </row>
    <row r="50" spans="1:3" x14ac:dyDescent="0.3">
      <c r="A50" s="26">
        <v>46017</v>
      </c>
      <c r="B50" s="27" t="s">
        <v>1</v>
      </c>
      <c r="C50" s="24">
        <v>7.5</v>
      </c>
    </row>
    <row r="51" spans="1:3" x14ac:dyDescent="0.3">
      <c r="A51" s="26">
        <v>46024</v>
      </c>
      <c r="B51" s="27" t="s">
        <v>4</v>
      </c>
      <c r="C51" s="24">
        <v>-7.5</v>
      </c>
    </row>
    <row r="52" spans="1:3" x14ac:dyDescent="0.3">
      <c r="A52" s="26">
        <v>46031</v>
      </c>
      <c r="B52" s="27" t="s">
        <v>1</v>
      </c>
      <c r="C52" s="24">
        <v>44.02</v>
      </c>
    </row>
    <row r="53" spans="1:3" x14ac:dyDescent="0.3">
      <c r="A53" s="26">
        <v>46037</v>
      </c>
      <c r="B53" s="27" t="s">
        <v>4</v>
      </c>
      <c r="C53" s="24">
        <v>-44.02</v>
      </c>
    </row>
    <row r="54" spans="1:3" x14ac:dyDescent="0.3">
      <c r="A54" s="26">
        <v>46037</v>
      </c>
      <c r="B54" s="27" t="s">
        <v>1</v>
      </c>
      <c r="C54" s="24">
        <v>17.28</v>
      </c>
    </row>
    <row r="55" spans="1:3" x14ac:dyDescent="0.3">
      <c r="A55" s="26">
        <v>46044</v>
      </c>
      <c r="B55" s="27" t="s">
        <v>1</v>
      </c>
      <c r="C55" s="24">
        <v>27.12</v>
      </c>
    </row>
    <row r="56" spans="1:3" x14ac:dyDescent="0.3">
      <c r="A56" s="26">
        <v>46045</v>
      </c>
      <c r="B56" s="27" t="s">
        <v>4</v>
      </c>
      <c r="C56" s="24">
        <v>-17.28</v>
      </c>
    </row>
    <row r="57" spans="1:3" x14ac:dyDescent="0.3">
      <c r="A57" s="26">
        <v>46049</v>
      </c>
      <c r="B57" s="27" t="s">
        <v>4</v>
      </c>
      <c r="C57" s="24">
        <v>-27.12</v>
      </c>
    </row>
    <row r="58" spans="1:3" x14ac:dyDescent="0.3">
      <c r="A58" s="26">
        <v>46051</v>
      </c>
      <c r="B58" s="27" t="s">
        <v>1</v>
      </c>
      <c r="C58" s="24">
        <v>23.72</v>
      </c>
    </row>
    <row r="59" spans="1:3" x14ac:dyDescent="0.3">
      <c r="A59" s="26">
        <v>46056</v>
      </c>
      <c r="B59" s="27" t="s">
        <v>4</v>
      </c>
      <c r="C59" s="24">
        <v>-23.72</v>
      </c>
    </row>
    <row r="64" spans="1:3" ht="16.2" customHeight="1" x14ac:dyDescent="0.3"/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1617-B471-4BCF-95F8-3A11045273DC}">
  <sheetPr codeName="Hoja105"/>
  <dimension ref="A1:H12"/>
  <sheetViews>
    <sheetView view="pageBreakPreview" zoomScale="80" zoomScaleNormal="100" zoomScaleSheetLayoutView="80" workbookViewId="0">
      <selection sqref="A1:H1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201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202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26.289999999999996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45820</v>
      </c>
      <c r="B5" s="32" t="s">
        <v>21</v>
      </c>
      <c r="C5" s="24">
        <v>15.85</v>
      </c>
      <c r="D5" s="30"/>
      <c r="E5" s="30"/>
      <c r="F5" s="30"/>
      <c r="G5" s="22"/>
    </row>
    <row r="6" spans="1:8" x14ac:dyDescent="0.3">
      <c r="A6" s="21">
        <v>45862</v>
      </c>
      <c r="B6" s="27" t="s">
        <v>4</v>
      </c>
      <c r="C6" s="24">
        <v>-15.93</v>
      </c>
    </row>
    <row r="7" spans="1:8" x14ac:dyDescent="0.3">
      <c r="A7" s="21">
        <v>45862</v>
      </c>
      <c r="B7" s="32" t="s">
        <v>21</v>
      </c>
      <c r="C7" s="24">
        <v>25.45</v>
      </c>
    </row>
    <row r="8" spans="1:8" x14ac:dyDescent="0.3">
      <c r="A8" s="26">
        <v>45917</v>
      </c>
      <c r="B8" s="27" t="s">
        <v>7</v>
      </c>
      <c r="C8" s="24">
        <v>-25.46</v>
      </c>
    </row>
    <row r="9" spans="1:8" x14ac:dyDescent="0.3">
      <c r="A9" s="26">
        <v>45961</v>
      </c>
      <c r="B9" s="32" t="s">
        <v>21</v>
      </c>
      <c r="C9" s="24">
        <v>26.38</v>
      </c>
    </row>
    <row r="10" spans="1:8" x14ac:dyDescent="0.3">
      <c r="B10" s="31"/>
    </row>
    <row r="12" spans="1:8" x14ac:dyDescent="0.3">
      <c r="B12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B6BFC-0CBA-4A1F-83EB-F5D194D6BB20}">
  <sheetPr codeName="Hoja175"/>
  <dimension ref="A1:H37"/>
  <sheetViews>
    <sheetView view="pageBreakPreview" zoomScale="80" zoomScaleNormal="100" zoomScaleSheetLayoutView="80" workbookViewId="0">
      <selection activeCell="C38" sqref="C3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238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37.629999999999995</v>
      </c>
      <c r="D3" s="20">
        <f>SUM(D$4:D$1048576)</f>
        <v>0</v>
      </c>
      <c r="E3" s="20">
        <f>SUM(E$5:E$1048576)</f>
        <v>0</v>
      </c>
      <c r="F3" s="20">
        <f>SUM(F$5:F$1048576)</f>
        <v>-1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45821</v>
      </c>
      <c r="B5" s="32" t="s">
        <v>21</v>
      </c>
      <c r="C5" s="24">
        <v>92.95</v>
      </c>
      <c r="D5" s="30"/>
      <c r="E5" s="30"/>
      <c r="F5" s="30"/>
      <c r="G5" s="22"/>
    </row>
    <row r="6" spans="1:8" hidden="1" x14ac:dyDescent="0.3">
      <c r="A6" s="21">
        <v>45842</v>
      </c>
      <c r="B6" s="32" t="s">
        <v>21</v>
      </c>
      <c r="C6" s="24">
        <v>91.95</v>
      </c>
    </row>
    <row r="7" spans="1:8" hidden="1" x14ac:dyDescent="0.3">
      <c r="A7" s="21">
        <v>45849</v>
      </c>
      <c r="B7" s="27" t="s">
        <v>4</v>
      </c>
      <c r="C7" s="24">
        <v>-59.7</v>
      </c>
    </row>
    <row r="8" spans="1:8" hidden="1" x14ac:dyDescent="0.3">
      <c r="A8" s="26">
        <v>45856</v>
      </c>
      <c r="B8" s="27" t="s">
        <v>4</v>
      </c>
      <c r="C8" s="24">
        <v>-42.27</v>
      </c>
    </row>
    <row r="9" spans="1:8" hidden="1" x14ac:dyDescent="0.3">
      <c r="A9" s="26">
        <v>45859</v>
      </c>
      <c r="B9" s="27" t="s">
        <v>4</v>
      </c>
      <c r="C9" s="24">
        <v>-25.18</v>
      </c>
    </row>
    <row r="10" spans="1:8" hidden="1" x14ac:dyDescent="0.3">
      <c r="A10" s="26">
        <v>45859</v>
      </c>
      <c r="B10" s="27" t="s">
        <v>4</v>
      </c>
      <c r="C10" s="24">
        <v>-33.57</v>
      </c>
    </row>
    <row r="11" spans="1:8" hidden="1" x14ac:dyDescent="0.3">
      <c r="A11" s="26">
        <v>45856</v>
      </c>
      <c r="B11" s="27" t="s">
        <v>7</v>
      </c>
      <c r="C11" s="24">
        <v>-25</v>
      </c>
    </row>
    <row r="12" spans="1:8" hidden="1" x14ac:dyDescent="0.3">
      <c r="A12" s="26">
        <v>45856</v>
      </c>
      <c r="B12" s="32" t="s">
        <v>21</v>
      </c>
      <c r="C12" s="24">
        <v>73.790000000000006</v>
      </c>
    </row>
    <row r="13" spans="1:8" hidden="1" x14ac:dyDescent="0.3">
      <c r="A13" s="26">
        <v>45870</v>
      </c>
      <c r="B13" s="27" t="s">
        <v>4</v>
      </c>
      <c r="C13" s="24">
        <v>-73.790000000000006</v>
      </c>
    </row>
    <row r="14" spans="1:8" hidden="1" x14ac:dyDescent="0.3">
      <c r="A14" s="26">
        <v>45870</v>
      </c>
      <c r="B14" s="32" t="s">
        <v>21</v>
      </c>
      <c r="C14" s="24">
        <v>101.76</v>
      </c>
    </row>
    <row r="15" spans="1:8" hidden="1" x14ac:dyDescent="0.3">
      <c r="A15" s="26">
        <v>45890</v>
      </c>
      <c r="B15" s="27" t="s">
        <v>4</v>
      </c>
      <c r="C15" s="24">
        <v>-103.8</v>
      </c>
    </row>
    <row r="16" spans="1:8" hidden="1" x14ac:dyDescent="0.3">
      <c r="A16" s="26">
        <v>45898</v>
      </c>
      <c r="B16" s="32" t="s">
        <v>21</v>
      </c>
      <c r="C16" s="24">
        <v>95.89</v>
      </c>
    </row>
    <row r="17" spans="1:6" hidden="1" x14ac:dyDescent="0.3">
      <c r="A17" s="26">
        <v>45910</v>
      </c>
      <c r="B17" s="27" t="s">
        <v>4</v>
      </c>
      <c r="C17" s="24">
        <v>-38.369999999999997</v>
      </c>
    </row>
    <row r="18" spans="1:6" hidden="1" x14ac:dyDescent="0.3">
      <c r="A18" s="26">
        <v>45919</v>
      </c>
      <c r="B18" s="32" t="s">
        <v>21</v>
      </c>
      <c r="C18" s="24">
        <v>89.99</v>
      </c>
    </row>
    <row r="19" spans="1:6" hidden="1" x14ac:dyDescent="0.3">
      <c r="A19" s="26">
        <v>45922</v>
      </c>
      <c r="B19" s="27" t="s">
        <v>4</v>
      </c>
      <c r="C19" s="24">
        <v>-57.52</v>
      </c>
    </row>
    <row r="20" spans="1:6" hidden="1" x14ac:dyDescent="0.3">
      <c r="A20" s="26">
        <v>45947</v>
      </c>
      <c r="B20" s="27" t="s">
        <v>4</v>
      </c>
      <c r="C20" s="24">
        <v>-48.62</v>
      </c>
    </row>
    <row r="21" spans="1:6" hidden="1" x14ac:dyDescent="0.3">
      <c r="A21" s="26">
        <v>45950</v>
      </c>
      <c r="B21" s="27" t="s">
        <v>4</v>
      </c>
      <c r="C21" s="24">
        <v>-35.51</v>
      </c>
    </row>
    <row r="22" spans="1:6" hidden="1" x14ac:dyDescent="0.3">
      <c r="A22" s="26">
        <v>45951</v>
      </c>
      <c r="B22" s="27" t="s">
        <v>4</v>
      </c>
      <c r="C22" s="24">
        <v>-4.8099999999999996</v>
      </c>
    </row>
    <row r="23" spans="1:6" hidden="1" x14ac:dyDescent="0.3">
      <c r="A23" s="26">
        <v>45954</v>
      </c>
      <c r="B23" s="32" t="s">
        <v>21</v>
      </c>
      <c r="C23" s="24">
        <v>73.62</v>
      </c>
    </row>
    <row r="24" spans="1:6" hidden="1" x14ac:dyDescent="0.3">
      <c r="A24" s="26">
        <v>45971</v>
      </c>
      <c r="B24" s="27" t="s">
        <v>4</v>
      </c>
      <c r="C24" s="24">
        <v>-29.52</v>
      </c>
    </row>
    <row r="25" spans="1:6" hidden="1" x14ac:dyDescent="0.3">
      <c r="A25" s="26">
        <v>45975</v>
      </c>
      <c r="B25" s="27" t="s">
        <v>4</v>
      </c>
      <c r="C25" s="24">
        <v>-43.28</v>
      </c>
    </row>
    <row r="26" spans="1:6" x14ac:dyDescent="0.3">
      <c r="A26" s="26">
        <v>45975</v>
      </c>
      <c r="B26" s="27" t="s">
        <v>1</v>
      </c>
      <c r="C26" s="24">
        <v>94.58</v>
      </c>
      <c r="F26" s="25">
        <v>-1</v>
      </c>
    </row>
    <row r="27" spans="1:6" x14ac:dyDescent="0.3">
      <c r="A27" s="26">
        <v>46003</v>
      </c>
      <c r="B27" s="27" t="s">
        <v>4</v>
      </c>
      <c r="C27" s="24">
        <v>-38.15</v>
      </c>
    </row>
    <row r="28" spans="1:6" x14ac:dyDescent="0.3">
      <c r="A28" s="26">
        <v>46003</v>
      </c>
      <c r="B28" s="27" t="s">
        <v>4</v>
      </c>
      <c r="C28" s="24">
        <v>-30.52</v>
      </c>
    </row>
    <row r="29" spans="1:6" x14ac:dyDescent="0.3">
      <c r="A29" s="26">
        <v>46003</v>
      </c>
      <c r="B29" s="27" t="s">
        <v>4</v>
      </c>
      <c r="C29" s="24">
        <v>-27.64</v>
      </c>
    </row>
    <row r="30" spans="1:6" x14ac:dyDescent="0.3">
      <c r="A30" s="26">
        <v>46017</v>
      </c>
      <c r="B30" s="27" t="s">
        <v>4</v>
      </c>
      <c r="C30" s="24">
        <v>-20</v>
      </c>
    </row>
    <row r="31" spans="1:6" x14ac:dyDescent="0.3">
      <c r="A31" s="26">
        <v>46017</v>
      </c>
      <c r="B31" s="27" t="s">
        <v>1</v>
      </c>
      <c r="C31" s="24">
        <v>49.26</v>
      </c>
    </row>
    <row r="32" spans="1:6" x14ac:dyDescent="0.3">
      <c r="A32" s="26">
        <v>46035</v>
      </c>
      <c r="B32" s="27" t="s">
        <v>4</v>
      </c>
      <c r="C32" s="24">
        <v>-26.33</v>
      </c>
    </row>
    <row r="33" spans="1:3" x14ac:dyDescent="0.3">
      <c r="A33" s="26">
        <v>46038</v>
      </c>
      <c r="B33" s="27" t="s">
        <v>4</v>
      </c>
      <c r="C33" s="24">
        <v>-22.53</v>
      </c>
    </row>
    <row r="34" spans="1:3" x14ac:dyDescent="0.3">
      <c r="A34" s="26">
        <v>46038</v>
      </c>
      <c r="B34" s="27" t="s">
        <v>1</v>
      </c>
      <c r="C34" s="24">
        <v>56.46</v>
      </c>
    </row>
    <row r="35" spans="1:3" x14ac:dyDescent="0.3">
      <c r="A35" s="26">
        <v>46043</v>
      </c>
      <c r="B35" s="27" t="s">
        <v>4</v>
      </c>
      <c r="C35" s="24">
        <v>-20.010000000000002</v>
      </c>
    </row>
    <row r="36" spans="1:3" x14ac:dyDescent="0.3">
      <c r="A36" s="26">
        <v>46045</v>
      </c>
      <c r="B36" s="27" t="s">
        <v>4</v>
      </c>
      <c r="C36" s="24">
        <v>-14.15</v>
      </c>
    </row>
    <row r="37" spans="1:3" x14ac:dyDescent="0.3">
      <c r="A37" s="26">
        <v>46045</v>
      </c>
      <c r="B37" s="27" t="s">
        <v>1</v>
      </c>
      <c r="C37" s="24">
        <v>37.65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D9A42-6CCB-4BE0-A1E4-7B3D57A5514A}">
  <dimension ref="A1:H86"/>
  <sheetViews>
    <sheetView view="pageBreakPreview" zoomScale="80" zoomScaleNormal="100" zoomScaleSheetLayoutView="80" workbookViewId="0">
      <selection activeCell="C44" sqref="C44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310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311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0.49999999999999289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45834</v>
      </c>
      <c r="B5" s="32" t="s">
        <v>21</v>
      </c>
      <c r="C5" s="24">
        <v>41.54</v>
      </c>
      <c r="D5" s="30"/>
      <c r="E5" s="30"/>
      <c r="F5" s="30"/>
      <c r="G5" s="22"/>
    </row>
    <row r="6" spans="1:8" hidden="1" x14ac:dyDescent="0.3">
      <c r="A6" s="21">
        <v>45838</v>
      </c>
      <c r="B6" s="27" t="s">
        <v>4</v>
      </c>
      <c r="C6" s="24">
        <v>-41.54</v>
      </c>
    </row>
    <row r="7" spans="1:8" hidden="1" x14ac:dyDescent="0.3">
      <c r="A7" s="21">
        <v>45847</v>
      </c>
      <c r="B7" s="32" t="s">
        <v>1</v>
      </c>
      <c r="C7" s="24">
        <v>33.49</v>
      </c>
    </row>
    <row r="8" spans="1:8" hidden="1" x14ac:dyDescent="0.3">
      <c r="A8" s="26">
        <v>45852</v>
      </c>
      <c r="B8" s="27" t="s">
        <v>4</v>
      </c>
      <c r="C8" s="24">
        <v>-33.49</v>
      </c>
    </row>
    <row r="9" spans="1:8" hidden="1" x14ac:dyDescent="0.3">
      <c r="A9" s="26">
        <v>45854</v>
      </c>
      <c r="B9" s="32" t="s">
        <v>1</v>
      </c>
      <c r="C9" s="24">
        <v>9.84</v>
      </c>
    </row>
    <row r="10" spans="1:8" hidden="1" x14ac:dyDescent="0.3">
      <c r="A10" s="26">
        <v>45855</v>
      </c>
      <c r="B10" s="27" t="s">
        <v>4</v>
      </c>
      <c r="C10" s="24">
        <v>-9.84</v>
      </c>
    </row>
    <row r="11" spans="1:8" hidden="1" x14ac:dyDescent="0.3">
      <c r="A11" s="26">
        <v>45861</v>
      </c>
      <c r="B11" s="27" t="s">
        <v>4</v>
      </c>
      <c r="C11" s="24">
        <v>-15.85</v>
      </c>
    </row>
    <row r="12" spans="1:8" hidden="1" x14ac:dyDescent="0.3">
      <c r="A12" s="26">
        <v>45861</v>
      </c>
      <c r="B12" s="32" t="s">
        <v>1</v>
      </c>
      <c r="C12" s="24">
        <v>15.85</v>
      </c>
    </row>
    <row r="13" spans="1:8" hidden="1" x14ac:dyDescent="0.3">
      <c r="A13" s="26">
        <v>45875</v>
      </c>
      <c r="B13" s="32" t="s">
        <v>1</v>
      </c>
      <c r="C13" s="24">
        <v>15.85</v>
      </c>
    </row>
    <row r="14" spans="1:8" hidden="1" x14ac:dyDescent="0.3">
      <c r="A14" s="26">
        <v>45877</v>
      </c>
      <c r="B14" s="27" t="s">
        <v>4</v>
      </c>
      <c r="C14" s="24">
        <v>-15.85</v>
      </c>
    </row>
    <row r="15" spans="1:8" hidden="1" x14ac:dyDescent="0.3">
      <c r="A15" s="26">
        <v>45882</v>
      </c>
      <c r="B15" s="32" t="s">
        <v>1</v>
      </c>
      <c r="C15" s="24">
        <v>9.85</v>
      </c>
    </row>
    <row r="16" spans="1:8" hidden="1" x14ac:dyDescent="0.3">
      <c r="A16" s="26">
        <v>45883</v>
      </c>
      <c r="B16" s="27" t="s">
        <v>4</v>
      </c>
      <c r="C16" s="24">
        <v>-9.84</v>
      </c>
    </row>
    <row r="17" spans="1:3" hidden="1" x14ac:dyDescent="0.3">
      <c r="A17" s="26">
        <v>45894</v>
      </c>
      <c r="B17" s="27" t="s">
        <v>4</v>
      </c>
      <c r="C17" s="24">
        <v>-25.69</v>
      </c>
    </row>
    <row r="18" spans="1:3" hidden="1" x14ac:dyDescent="0.3">
      <c r="A18" s="26">
        <v>45896</v>
      </c>
      <c r="B18" s="32" t="s">
        <v>1</v>
      </c>
      <c r="C18" s="24">
        <v>33.44</v>
      </c>
    </row>
    <row r="19" spans="1:3" hidden="1" x14ac:dyDescent="0.3">
      <c r="A19" s="26">
        <v>45898</v>
      </c>
      <c r="B19" s="27" t="s">
        <v>4</v>
      </c>
      <c r="C19" s="24">
        <v>-7.73</v>
      </c>
    </row>
    <row r="20" spans="1:3" hidden="1" x14ac:dyDescent="0.3">
      <c r="A20" s="26">
        <v>45903</v>
      </c>
      <c r="B20" s="32" t="s">
        <v>1</v>
      </c>
      <c r="C20" s="24">
        <v>25.7</v>
      </c>
    </row>
    <row r="21" spans="1:3" hidden="1" x14ac:dyDescent="0.3">
      <c r="A21" s="26">
        <v>45905</v>
      </c>
      <c r="B21" s="27" t="s">
        <v>4</v>
      </c>
      <c r="C21" s="24">
        <v>-25.52</v>
      </c>
    </row>
    <row r="22" spans="1:3" hidden="1" x14ac:dyDescent="0.3">
      <c r="A22" s="26">
        <v>45917</v>
      </c>
      <c r="B22" s="32" t="s">
        <v>1</v>
      </c>
      <c r="C22" s="24">
        <v>25.69</v>
      </c>
    </row>
    <row r="23" spans="1:3" hidden="1" x14ac:dyDescent="0.3">
      <c r="A23" s="26">
        <v>45918</v>
      </c>
      <c r="B23" s="27" t="s">
        <v>4</v>
      </c>
      <c r="C23" s="24">
        <v>-25.69</v>
      </c>
    </row>
    <row r="24" spans="1:3" hidden="1" x14ac:dyDescent="0.3">
      <c r="A24" s="26">
        <v>45924</v>
      </c>
      <c r="B24" s="32" t="s">
        <v>1</v>
      </c>
      <c r="C24" s="24">
        <v>23.65</v>
      </c>
    </row>
    <row r="25" spans="1:3" hidden="1" x14ac:dyDescent="0.3">
      <c r="A25" s="26">
        <v>45930</v>
      </c>
      <c r="B25" s="27" t="s">
        <v>4</v>
      </c>
      <c r="C25" s="24">
        <v>-23.65</v>
      </c>
    </row>
    <row r="26" spans="1:3" hidden="1" x14ac:dyDescent="0.3">
      <c r="A26" s="26">
        <v>45945</v>
      </c>
      <c r="B26" s="32" t="s">
        <v>1</v>
      </c>
      <c r="C26" s="24">
        <v>26.22</v>
      </c>
    </row>
    <row r="27" spans="1:3" hidden="1" x14ac:dyDescent="0.3">
      <c r="A27" s="26">
        <v>45950</v>
      </c>
      <c r="B27" s="27" t="s">
        <v>4</v>
      </c>
      <c r="C27" s="24">
        <v>-26.22</v>
      </c>
    </row>
    <row r="28" spans="1:3" hidden="1" x14ac:dyDescent="0.3">
      <c r="A28" s="26">
        <v>45953</v>
      </c>
      <c r="B28" s="32" t="s">
        <v>1</v>
      </c>
      <c r="C28" s="24">
        <v>25.38</v>
      </c>
    </row>
    <row r="29" spans="1:3" hidden="1" x14ac:dyDescent="0.3">
      <c r="A29" s="26">
        <v>45958</v>
      </c>
      <c r="B29" s="27" t="s">
        <v>4</v>
      </c>
      <c r="C29" s="24">
        <v>-25.38</v>
      </c>
    </row>
    <row r="30" spans="1:3" x14ac:dyDescent="0.3">
      <c r="A30" s="26">
        <v>45968</v>
      </c>
      <c r="B30" s="32" t="s">
        <v>1</v>
      </c>
      <c r="C30" s="24">
        <v>35.22</v>
      </c>
    </row>
    <row r="31" spans="1:3" x14ac:dyDescent="0.3">
      <c r="A31" s="26">
        <v>45973</v>
      </c>
      <c r="B31" s="27" t="s">
        <v>4</v>
      </c>
      <c r="C31" s="24">
        <v>-34.93</v>
      </c>
    </row>
    <row r="32" spans="1:3" x14ac:dyDescent="0.3">
      <c r="A32" s="26">
        <v>45980</v>
      </c>
      <c r="B32" s="27" t="s">
        <v>1</v>
      </c>
      <c r="C32" s="24">
        <v>30.72</v>
      </c>
    </row>
    <row r="33" spans="1:3" x14ac:dyDescent="0.3">
      <c r="A33" s="26">
        <v>45985</v>
      </c>
      <c r="B33" s="27" t="s">
        <v>4</v>
      </c>
      <c r="C33" s="24">
        <v>-30.72</v>
      </c>
    </row>
    <row r="34" spans="1:3" x14ac:dyDescent="0.3">
      <c r="A34" s="26">
        <v>45994</v>
      </c>
      <c r="B34" s="27" t="s">
        <v>1</v>
      </c>
      <c r="C34" s="24">
        <v>38.520000000000003</v>
      </c>
    </row>
    <row r="35" spans="1:3" x14ac:dyDescent="0.3">
      <c r="A35" s="26">
        <v>46000</v>
      </c>
      <c r="B35" s="27" t="s">
        <v>4</v>
      </c>
      <c r="C35" s="24">
        <v>-38.520000000000003</v>
      </c>
    </row>
    <row r="36" spans="1:3" x14ac:dyDescent="0.3">
      <c r="A36" s="26">
        <v>46001</v>
      </c>
      <c r="B36" s="27" t="s">
        <v>1</v>
      </c>
      <c r="C36" s="24">
        <v>48.36</v>
      </c>
    </row>
    <row r="37" spans="1:3" x14ac:dyDescent="0.3">
      <c r="A37" s="26">
        <v>46007</v>
      </c>
      <c r="B37" s="27" t="s">
        <v>4</v>
      </c>
      <c r="C37" s="24">
        <v>-48.36</v>
      </c>
    </row>
    <row r="38" spans="1:3" x14ac:dyDescent="0.3">
      <c r="A38" s="26">
        <v>46014</v>
      </c>
      <c r="B38" s="27" t="s">
        <v>1</v>
      </c>
      <c r="C38" s="24">
        <v>40.56</v>
      </c>
    </row>
    <row r="39" spans="1:3" x14ac:dyDescent="0.3">
      <c r="A39" s="26">
        <v>46021</v>
      </c>
      <c r="B39" s="27" t="s">
        <v>4</v>
      </c>
      <c r="C39" s="24">
        <v>-40.56</v>
      </c>
    </row>
    <row r="40" spans="1:3" x14ac:dyDescent="0.3">
      <c r="A40" s="26">
        <v>46043</v>
      </c>
      <c r="B40" s="27" t="s">
        <v>1</v>
      </c>
      <c r="C40" s="24">
        <v>21.78</v>
      </c>
    </row>
    <row r="41" spans="1:3" x14ac:dyDescent="0.3">
      <c r="A41" s="26">
        <v>46044</v>
      </c>
      <c r="B41" s="27" t="s">
        <v>4</v>
      </c>
      <c r="C41" s="24">
        <v>-21.78</v>
      </c>
    </row>
    <row r="42" spans="1:3" x14ac:dyDescent="0.3">
      <c r="A42" s="26">
        <v>46050</v>
      </c>
      <c r="B42" s="27" t="s">
        <v>1</v>
      </c>
      <c r="C42" s="24">
        <v>17.64</v>
      </c>
    </row>
    <row r="43" spans="1:3" x14ac:dyDescent="0.3">
      <c r="A43" s="26">
        <v>46051</v>
      </c>
      <c r="B43" s="27" t="s">
        <v>4</v>
      </c>
      <c r="C43" s="24">
        <v>-17.64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596C7-F303-47E1-A8A9-291D18C208E2}">
  <sheetPr codeName="Hoja106"/>
  <dimension ref="A1:L89"/>
  <sheetViews>
    <sheetView view="pageBreakPreview" topLeftCell="A64" zoomScale="80" zoomScaleNormal="100" zoomScaleSheetLayoutView="80" workbookViewId="0">
      <selection sqref="A1:H9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9.33203125" style="24" bestFit="1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183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339.93999999999971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9.5900000000000318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45819</v>
      </c>
      <c r="B5" s="32" t="s">
        <v>21</v>
      </c>
      <c r="C5" s="24">
        <v>49.34</v>
      </c>
      <c r="D5" s="30">
        <v>2</v>
      </c>
      <c r="E5" s="30"/>
      <c r="F5" s="30"/>
      <c r="G5" s="22"/>
    </row>
    <row r="6" spans="1:8" x14ac:dyDescent="0.3">
      <c r="A6" s="21">
        <v>45820</v>
      </c>
      <c r="B6" s="32" t="s">
        <v>21</v>
      </c>
      <c r="C6" s="24">
        <v>44</v>
      </c>
    </row>
    <row r="7" spans="1:8" x14ac:dyDescent="0.3">
      <c r="A7" s="21">
        <v>45828</v>
      </c>
      <c r="B7" s="27" t="s">
        <v>4</v>
      </c>
      <c r="C7" s="24">
        <v>-90.34</v>
      </c>
      <c r="G7" s="94"/>
    </row>
    <row r="8" spans="1:8" x14ac:dyDescent="0.3">
      <c r="A8" s="26">
        <v>45832</v>
      </c>
      <c r="B8" s="32" t="s">
        <v>21</v>
      </c>
      <c r="C8" s="24">
        <f>188.15-G8</f>
        <v>161.59</v>
      </c>
      <c r="G8" s="94">
        <v>26.56</v>
      </c>
    </row>
    <row r="9" spans="1:8" x14ac:dyDescent="0.3">
      <c r="A9" s="26">
        <v>45832</v>
      </c>
      <c r="B9" s="34" t="s">
        <v>21</v>
      </c>
      <c r="C9" s="24">
        <v>134.91</v>
      </c>
    </row>
    <row r="10" spans="1:8" x14ac:dyDescent="0.3">
      <c r="A10" s="26">
        <v>45841</v>
      </c>
      <c r="B10" s="32" t="s">
        <v>21</v>
      </c>
      <c r="C10" s="24">
        <f>120.68-G10</f>
        <v>108.2</v>
      </c>
      <c r="G10" s="94">
        <v>12.48</v>
      </c>
    </row>
    <row r="11" spans="1:8" x14ac:dyDescent="0.3">
      <c r="A11" s="26">
        <v>45841</v>
      </c>
      <c r="B11" s="34" t="s">
        <v>21</v>
      </c>
      <c r="C11" s="24">
        <v>3.8</v>
      </c>
    </row>
    <row r="12" spans="1:8" x14ac:dyDescent="0.3">
      <c r="A12" s="26">
        <v>45847</v>
      </c>
      <c r="B12" s="31" t="s">
        <v>23</v>
      </c>
      <c r="G12" s="94">
        <v>-12.48</v>
      </c>
    </row>
    <row r="13" spans="1:8" x14ac:dyDescent="0.3">
      <c r="A13" s="26">
        <v>45847</v>
      </c>
      <c r="B13" s="27" t="s">
        <v>4</v>
      </c>
      <c r="C13" s="24">
        <v>-100</v>
      </c>
    </row>
    <row r="14" spans="1:8" x14ac:dyDescent="0.3">
      <c r="A14" s="26">
        <v>45847</v>
      </c>
      <c r="B14" s="32" t="s">
        <v>21</v>
      </c>
      <c r="C14" s="24">
        <f>194.24-G14</f>
        <v>173.76000000000002</v>
      </c>
      <c r="E14" s="25">
        <v>1</v>
      </c>
      <c r="G14" s="94">
        <v>20.48</v>
      </c>
    </row>
    <row r="15" spans="1:8" x14ac:dyDescent="0.3">
      <c r="A15" s="26">
        <v>45847</v>
      </c>
      <c r="B15" s="34" t="s">
        <v>21</v>
      </c>
      <c r="C15" s="24">
        <v>78.459999999999994</v>
      </c>
    </row>
    <row r="16" spans="1:8" x14ac:dyDescent="0.3">
      <c r="A16" s="26">
        <v>45852</v>
      </c>
      <c r="B16" s="27" t="s">
        <v>4</v>
      </c>
      <c r="C16" s="24">
        <v>-196.49</v>
      </c>
    </row>
    <row r="17" spans="1:7" x14ac:dyDescent="0.3">
      <c r="A17" s="26">
        <v>45860</v>
      </c>
      <c r="B17" s="27" t="s">
        <v>4</v>
      </c>
      <c r="C17" s="24">
        <v>-111.6</v>
      </c>
    </row>
    <row r="18" spans="1:7" x14ac:dyDescent="0.3">
      <c r="A18" s="26">
        <v>45867</v>
      </c>
      <c r="B18" s="27" t="s">
        <v>4</v>
      </c>
      <c r="C18" s="24">
        <v>-122.78</v>
      </c>
    </row>
    <row r="19" spans="1:7" x14ac:dyDescent="0.3">
      <c r="A19" s="26">
        <v>45867</v>
      </c>
      <c r="B19" s="27" t="s">
        <v>4</v>
      </c>
      <c r="C19" s="24">
        <v>-133.71</v>
      </c>
    </row>
    <row r="20" spans="1:7" x14ac:dyDescent="0.3">
      <c r="A20" s="26">
        <v>45867</v>
      </c>
      <c r="B20" s="32" t="s">
        <v>21</v>
      </c>
      <c r="C20" s="24">
        <f>227.63-G20</f>
        <v>204.09</v>
      </c>
      <c r="D20" s="25">
        <v>-2</v>
      </c>
      <c r="G20" s="94">
        <v>23.54</v>
      </c>
    </row>
    <row r="21" spans="1:7" x14ac:dyDescent="0.3">
      <c r="A21" s="26">
        <v>45867</v>
      </c>
      <c r="B21" s="34" t="s">
        <v>21</v>
      </c>
      <c r="C21" s="24">
        <f>159.91-G21</f>
        <v>151.47</v>
      </c>
      <c r="G21" s="94">
        <v>8.44</v>
      </c>
    </row>
    <row r="22" spans="1:7" x14ac:dyDescent="0.3">
      <c r="A22" s="26">
        <v>45868</v>
      </c>
      <c r="B22" s="27" t="s">
        <v>23</v>
      </c>
      <c r="G22" s="94">
        <v>-26.56</v>
      </c>
    </row>
    <row r="23" spans="1:7" x14ac:dyDescent="0.3">
      <c r="A23" s="26">
        <v>45887</v>
      </c>
      <c r="B23" s="27" t="s">
        <v>4</v>
      </c>
      <c r="C23" s="24">
        <v>-200</v>
      </c>
    </row>
    <row r="24" spans="1:7" x14ac:dyDescent="0.3">
      <c r="A24" s="26">
        <v>45887</v>
      </c>
      <c r="B24" s="27" t="s">
        <v>4</v>
      </c>
      <c r="C24" s="24">
        <v>-105.56</v>
      </c>
      <c r="G24" s="94">
        <v>-31.98</v>
      </c>
    </row>
    <row r="25" spans="1:7" x14ac:dyDescent="0.3">
      <c r="A25" s="26">
        <v>45893</v>
      </c>
      <c r="B25" s="27" t="s">
        <v>23</v>
      </c>
      <c r="G25" s="94">
        <v>-20.48</v>
      </c>
    </row>
    <row r="26" spans="1:7" x14ac:dyDescent="0.3">
      <c r="A26" s="26">
        <v>45891</v>
      </c>
      <c r="B26" s="32" t="s">
        <v>21</v>
      </c>
      <c r="C26" s="24">
        <f>137.09-G26</f>
        <v>122.91</v>
      </c>
      <c r="G26" s="94">
        <v>14.18</v>
      </c>
    </row>
    <row r="27" spans="1:7" x14ac:dyDescent="0.3">
      <c r="A27" s="26">
        <v>45891</v>
      </c>
      <c r="B27" s="34" t="s">
        <v>21</v>
      </c>
      <c r="C27" s="24">
        <f>71.82-G27</f>
        <v>70.489999999999995</v>
      </c>
      <c r="G27" s="94">
        <v>1.33</v>
      </c>
    </row>
    <row r="28" spans="1:7" x14ac:dyDescent="0.3">
      <c r="A28" s="26">
        <v>45897</v>
      </c>
      <c r="B28" s="27" t="s">
        <v>4</v>
      </c>
      <c r="C28" s="24">
        <v>-192.63</v>
      </c>
      <c r="G28" s="94">
        <v>-15.51</v>
      </c>
    </row>
    <row r="29" spans="1:7" x14ac:dyDescent="0.3">
      <c r="A29" s="26">
        <v>45898</v>
      </c>
      <c r="B29" s="32" t="s">
        <v>21</v>
      </c>
      <c r="C29" s="24">
        <f>221.9-G29</f>
        <v>198.95000000000002</v>
      </c>
      <c r="G29" s="94">
        <v>22.95</v>
      </c>
    </row>
    <row r="30" spans="1:7" x14ac:dyDescent="0.3">
      <c r="A30" s="26">
        <v>45898</v>
      </c>
      <c r="B30" s="34" t="s">
        <v>21</v>
      </c>
      <c r="C30" s="24">
        <f>171.57-G30</f>
        <v>165.75</v>
      </c>
      <c r="G30" s="94">
        <v>5.82</v>
      </c>
    </row>
    <row r="31" spans="1:7" x14ac:dyDescent="0.3">
      <c r="A31" s="26">
        <v>45911</v>
      </c>
      <c r="B31" s="27" t="s">
        <v>23</v>
      </c>
      <c r="G31" s="94">
        <v>-28.77</v>
      </c>
    </row>
    <row r="32" spans="1:7" x14ac:dyDescent="0.3">
      <c r="A32" s="26">
        <v>45911</v>
      </c>
      <c r="B32" s="32" t="s">
        <v>21</v>
      </c>
      <c r="C32" s="24">
        <f>156.19-G32</f>
        <v>140.04</v>
      </c>
      <c r="E32" s="25">
        <v>-1</v>
      </c>
      <c r="G32" s="94">
        <v>16.149999999999999</v>
      </c>
    </row>
    <row r="33" spans="1:10" x14ac:dyDescent="0.3">
      <c r="A33" s="26">
        <v>45911</v>
      </c>
      <c r="B33" s="34" t="s">
        <v>21</v>
      </c>
      <c r="C33" s="24">
        <v>54.96</v>
      </c>
      <c r="G33" s="94">
        <v>-16.149999999999999</v>
      </c>
    </row>
    <row r="34" spans="1:10" x14ac:dyDescent="0.3">
      <c r="A34" s="26">
        <v>45918</v>
      </c>
      <c r="B34" s="32" t="s">
        <v>21</v>
      </c>
      <c r="C34" s="24">
        <f>260.64-G34</f>
        <v>233.67999999999998</v>
      </c>
      <c r="G34" s="94">
        <v>26.96</v>
      </c>
    </row>
    <row r="35" spans="1:10" x14ac:dyDescent="0.3">
      <c r="A35" s="26">
        <v>45918</v>
      </c>
      <c r="B35" s="34" t="s">
        <v>21</v>
      </c>
      <c r="C35" s="24">
        <f>114.53-G35</f>
        <v>110.46000000000001</v>
      </c>
      <c r="G35" s="94">
        <v>4.07</v>
      </c>
    </row>
    <row r="36" spans="1:10" x14ac:dyDescent="0.3">
      <c r="A36" s="26">
        <v>45920</v>
      </c>
      <c r="B36" s="27" t="s">
        <v>4</v>
      </c>
      <c r="C36" s="24">
        <v>-171.46</v>
      </c>
    </row>
    <row r="37" spans="1:10" x14ac:dyDescent="0.3">
      <c r="A37" s="26">
        <v>45925</v>
      </c>
      <c r="B37" s="27" t="s">
        <v>4</v>
      </c>
      <c r="C37" s="24">
        <v>-194.99</v>
      </c>
    </row>
    <row r="38" spans="1:10" x14ac:dyDescent="0.3">
      <c r="A38" s="26">
        <v>45925</v>
      </c>
      <c r="B38" s="32" t="s">
        <v>21</v>
      </c>
      <c r="C38" s="24">
        <f>125.85-G38</f>
        <v>112.83</v>
      </c>
      <c r="G38" s="94">
        <v>13.02</v>
      </c>
    </row>
    <row r="39" spans="1:10" x14ac:dyDescent="0.3">
      <c r="A39" s="26">
        <v>45925</v>
      </c>
      <c r="B39" s="34" t="s">
        <v>21</v>
      </c>
      <c r="C39" s="24">
        <v>39.01</v>
      </c>
    </row>
    <row r="40" spans="1:10" x14ac:dyDescent="0.3">
      <c r="A40" s="26">
        <v>45931</v>
      </c>
      <c r="B40" s="27" t="s">
        <v>4</v>
      </c>
      <c r="C40" s="24">
        <v>-150</v>
      </c>
    </row>
    <row r="41" spans="1:10" x14ac:dyDescent="0.3">
      <c r="A41" s="26">
        <v>45932</v>
      </c>
      <c r="B41" s="27" t="s">
        <v>4</v>
      </c>
      <c r="C41" s="24">
        <v>-199.75</v>
      </c>
    </row>
    <row r="42" spans="1:10" x14ac:dyDescent="0.3">
      <c r="A42" s="26">
        <v>45932</v>
      </c>
      <c r="B42" s="32" t="s">
        <v>21</v>
      </c>
      <c r="C42" s="24">
        <f>222.39-G42</f>
        <v>199.39</v>
      </c>
      <c r="G42" s="94">
        <v>23</v>
      </c>
      <c r="I42" s="18" t="s">
        <v>467</v>
      </c>
    </row>
    <row r="43" spans="1:10" x14ac:dyDescent="0.3">
      <c r="A43" s="26">
        <v>45932</v>
      </c>
      <c r="B43" s="34" t="s">
        <v>21</v>
      </c>
      <c r="C43" s="24">
        <v>69.209999999999994</v>
      </c>
      <c r="J43" s="18">
        <f>222.39/1.16</f>
        <v>191.7155172413793</v>
      </c>
    </row>
    <row r="44" spans="1:10" x14ac:dyDescent="0.3">
      <c r="A44" s="26">
        <v>45938</v>
      </c>
      <c r="B44" s="27" t="s">
        <v>23</v>
      </c>
      <c r="G44" s="94">
        <v>-31.03</v>
      </c>
      <c r="J44" s="18">
        <f>+J43*0.16</f>
        <v>30.674482758620687</v>
      </c>
    </row>
    <row r="45" spans="1:10" x14ac:dyDescent="0.3">
      <c r="A45" s="26">
        <v>45938</v>
      </c>
      <c r="B45" s="27" t="s">
        <v>23</v>
      </c>
      <c r="G45" s="94">
        <v>-13.02</v>
      </c>
      <c r="J45" s="18">
        <f>+J44*0.75</f>
        <v>23.005862068965516</v>
      </c>
    </row>
    <row r="46" spans="1:10" x14ac:dyDescent="0.3">
      <c r="A46" s="26">
        <v>45939</v>
      </c>
      <c r="B46" s="27" t="s">
        <v>4</v>
      </c>
      <c r="C46" s="24">
        <v>-193.9</v>
      </c>
    </row>
    <row r="47" spans="1:10" x14ac:dyDescent="0.3">
      <c r="A47" s="26">
        <v>45939</v>
      </c>
      <c r="B47" s="32" t="s">
        <v>21</v>
      </c>
      <c r="C47" s="24">
        <f>190.62-G47</f>
        <v>170.91</v>
      </c>
      <c r="G47" s="94">
        <v>19.71</v>
      </c>
    </row>
    <row r="48" spans="1:10" x14ac:dyDescent="0.3">
      <c r="A48" s="26">
        <v>45939</v>
      </c>
      <c r="B48" s="34" t="s">
        <v>21</v>
      </c>
      <c r="C48" s="24">
        <f>51.37-G48</f>
        <v>50.54</v>
      </c>
      <c r="G48" s="94">
        <v>0.83</v>
      </c>
    </row>
    <row r="49" spans="1:11" x14ac:dyDescent="0.3">
      <c r="A49" s="26">
        <v>45945</v>
      </c>
      <c r="B49" s="27" t="s">
        <v>4</v>
      </c>
      <c r="C49" s="24">
        <v>-150</v>
      </c>
    </row>
    <row r="50" spans="1:11" x14ac:dyDescent="0.3">
      <c r="A50" s="26">
        <v>45946</v>
      </c>
      <c r="B50" s="27" t="s">
        <v>4</v>
      </c>
      <c r="C50" s="24">
        <v>-2.41</v>
      </c>
    </row>
    <row r="51" spans="1:11" x14ac:dyDescent="0.3">
      <c r="A51" s="26">
        <v>45946</v>
      </c>
      <c r="B51" s="27" t="s">
        <v>4</v>
      </c>
      <c r="C51" s="24">
        <v>-148.91</v>
      </c>
    </row>
    <row r="52" spans="1:11" x14ac:dyDescent="0.3">
      <c r="A52" s="26">
        <v>45946</v>
      </c>
      <c r="B52" s="32" t="s">
        <v>21</v>
      </c>
      <c r="C52" s="24">
        <f>252.27-G52</f>
        <v>226.18</v>
      </c>
      <c r="G52" s="126">
        <v>26.09</v>
      </c>
    </row>
    <row r="53" spans="1:11" x14ac:dyDescent="0.3">
      <c r="A53" s="26">
        <v>45946</v>
      </c>
      <c r="B53" s="34" t="s">
        <v>21</v>
      </c>
      <c r="C53" s="24">
        <v>144.57</v>
      </c>
    </row>
    <row r="54" spans="1:11" x14ac:dyDescent="0.3">
      <c r="A54" s="26">
        <v>45950</v>
      </c>
      <c r="B54" s="27" t="s">
        <v>4</v>
      </c>
      <c r="C54" s="24">
        <v>-119.98</v>
      </c>
    </row>
    <row r="55" spans="1:11" x14ac:dyDescent="0.3">
      <c r="A55" s="26">
        <v>45953</v>
      </c>
      <c r="B55" s="32" t="s">
        <v>21</v>
      </c>
      <c r="C55" s="24">
        <f>163.98-G55</f>
        <v>147.01999999999998</v>
      </c>
      <c r="G55" s="94">
        <v>16.96</v>
      </c>
    </row>
    <row r="56" spans="1:11" x14ac:dyDescent="0.3">
      <c r="A56" s="26">
        <v>45953</v>
      </c>
      <c r="B56" s="34" t="s">
        <v>21</v>
      </c>
      <c r="C56" s="24">
        <f>122.06-G56</f>
        <v>121.14</v>
      </c>
      <c r="G56" s="94">
        <v>0.92</v>
      </c>
    </row>
    <row r="57" spans="1:11" x14ac:dyDescent="0.3">
      <c r="A57" s="26">
        <v>45954</v>
      </c>
      <c r="B57" s="27" t="s">
        <v>4</v>
      </c>
      <c r="C57" s="24">
        <v>-193.24</v>
      </c>
    </row>
    <row r="58" spans="1:11" x14ac:dyDescent="0.3">
      <c r="A58" s="26">
        <v>45960</v>
      </c>
      <c r="B58" s="27" t="s">
        <v>4</v>
      </c>
      <c r="C58" s="24">
        <v>-267.05</v>
      </c>
      <c r="K58" s="87">
        <f>4529.64/181.3037</f>
        <v>24.983715169629747</v>
      </c>
    </row>
    <row r="59" spans="1:11" x14ac:dyDescent="0.3">
      <c r="A59" s="26">
        <v>45961</v>
      </c>
      <c r="B59" s="32" t="s">
        <v>21</v>
      </c>
      <c r="C59" s="24">
        <f>170.38-G59</f>
        <v>152.76</v>
      </c>
      <c r="G59" s="94">
        <v>17.62</v>
      </c>
      <c r="K59" s="18">
        <f>4014.18/193.2996</f>
        <v>20.766623417741165</v>
      </c>
    </row>
    <row r="60" spans="1:11" x14ac:dyDescent="0.3">
      <c r="A60" s="26">
        <v>45961</v>
      </c>
      <c r="B60" s="34" t="s">
        <v>21</v>
      </c>
      <c r="C60" s="24">
        <f>104.56-G60</f>
        <v>93.75</v>
      </c>
      <c r="G60" s="94">
        <v>10.81</v>
      </c>
      <c r="K60" s="18">
        <f>3801.39/212.4837</f>
        <v>17.890266406317284</v>
      </c>
    </row>
    <row r="61" spans="1:11" x14ac:dyDescent="0.3">
      <c r="A61" s="26">
        <v>45966</v>
      </c>
      <c r="B61" s="27" t="s">
        <v>23</v>
      </c>
      <c r="G61" s="94">
        <v>-23</v>
      </c>
      <c r="K61" s="18">
        <f>6360.95/223.6459</f>
        <v>28.44205952355934</v>
      </c>
    </row>
    <row r="62" spans="1:11" x14ac:dyDescent="0.3">
      <c r="A62" s="26">
        <v>45966</v>
      </c>
      <c r="B62" s="27" t="s">
        <v>23</v>
      </c>
      <c r="G62" s="94">
        <v>-20.54</v>
      </c>
    </row>
    <row r="63" spans="1:11" x14ac:dyDescent="0.3">
      <c r="A63" s="26">
        <v>45966</v>
      </c>
      <c r="B63" s="27" t="s">
        <v>23</v>
      </c>
      <c r="G63" s="94">
        <v>-17.88</v>
      </c>
    </row>
    <row r="64" spans="1:11" x14ac:dyDescent="0.3">
      <c r="A64" s="26">
        <v>45966</v>
      </c>
      <c r="B64" s="27" t="s">
        <v>23</v>
      </c>
      <c r="G64" s="94">
        <v>-28.43</v>
      </c>
    </row>
    <row r="65" spans="1:12" x14ac:dyDescent="0.3">
      <c r="A65" s="26">
        <v>45967</v>
      </c>
      <c r="B65" s="27" t="s">
        <v>4</v>
      </c>
      <c r="C65" s="24">
        <v>-268.16000000000003</v>
      </c>
    </row>
    <row r="66" spans="1:12" x14ac:dyDescent="0.3">
      <c r="A66" s="26">
        <v>45967</v>
      </c>
      <c r="B66" s="27" t="s">
        <v>4</v>
      </c>
      <c r="C66" s="24">
        <v>-100</v>
      </c>
    </row>
    <row r="67" spans="1:12" x14ac:dyDescent="0.3">
      <c r="A67" s="26">
        <v>45968</v>
      </c>
      <c r="B67" s="32" t="s">
        <v>21</v>
      </c>
      <c r="C67" s="24">
        <f>310.71-G67</f>
        <v>278.57</v>
      </c>
      <c r="G67" s="126">
        <v>32.14</v>
      </c>
      <c r="I67" s="18">
        <f>310.71/1.16</f>
        <v>267.85344827586209</v>
      </c>
    </row>
    <row r="68" spans="1:12" x14ac:dyDescent="0.3">
      <c r="A68" s="26">
        <v>45968</v>
      </c>
      <c r="B68" s="34" t="s">
        <v>21</v>
      </c>
      <c r="C68" s="24">
        <f>192.18-G68</f>
        <v>189.4</v>
      </c>
      <c r="G68" s="126">
        <v>2.78</v>
      </c>
      <c r="I68" s="18">
        <f>+I67*0.16</f>
        <v>42.856551724137937</v>
      </c>
    </row>
    <row r="69" spans="1:12" x14ac:dyDescent="0.3">
      <c r="A69" s="26">
        <v>45975</v>
      </c>
      <c r="B69" s="27" t="s">
        <v>4</v>
      </c>
      <c r="C69" s="24">
        <v>-100</v>
      </c>
      <c r="I69" s="18">
        <f>+I68*0.75</f>
        <v>32.142413793103451</v>
      </c>
    </row>
    <row r="70" spans="1:12" x14ac:dyDescent="0.3">
      <c r="A70" s="26">
        <v>45980</v>
      </c>
      <c r="B70" s="27" t="s">
        <v>4</v>
      </c>
      <c r="C70" s="24">
        <v>-146.49</v>
      </c>
      <c r="I70" s="18">
        <f>34.93-I69</f>
        <v>2.7875862068965489</v>
      </c>
    </row>
    <row r="71" spans="1:12" x14ac:dyDescent="0.3">
      <c r="A71" s="26">
        <v>45982</v>
      </c>
      <c r="B71" s="27" t="s">
        <v>1</v>
      </c>
      <c r="C71" s="24">
        <f>421.4-G71</f>
        <v>396.87</v>
      </c>
      <c r="G71" s="126">
        <v>24.53</v>
      </c>
    </row>
    <row r="72" spans="1:12" x14ac:dyDescent="0.3">
      <c r="A72" s="26">
        <v>45989</v>
      </c>
      <c r="B72" s="27" t="s">
        <v>1</v>
      </c>
      <c r="C72" s="24">
        <f>378.3-180-G72</f>
        <v>184.38000000000002</v>
      </c>
      <c r="G72" s="126">
        <v>13.92</v>
      </c>
    </row>
    <row r="73" spans="1:12" x14ac:dyDescent="0.3">
      <c r="A73" s="26">
        <v>45989</v>
      </c>
      <c r="B73" s="27" t="s">
        <v>1</v>
      </c>
      <c r="C73" s="24">
        <f>180-G73</f>
        <v>161.38</v>
      </c>
      <c r="G73" s="126">
        <v>18.62</v>
      </c>
    </row>
    <row r="74" spans="1:12" x14ac:dyDescent="0.3">
      <c r="A74" s="26">
        <v>45989</v>
      </c>
      <c r="B74" s="27" t="s">
        <v>503</v>
      </c>
      <c r="C74" s="24">
        <v>-22.8</v>
      </c>
    </row>
    <row r="75" spans="1:12" x14ac:dyDescent="0.3">
      <c r="A75" s="26">
        <v>45993</v>
      </c>
      <c r="B75" s="27" t="s">
        <v>4</v>
      </c>
      <c r="C75" s="24">
        <v>-17.45</v>
      </c>
      <c r="L75" s="18">
        <f>4014.18/193.2996</f>
        <v>20.766623417741165</v>
      </c>
    </row>
    <row r="76" spans="1:12" x14ac:dyDescent="0.3">
      <c r="A76" s="26">
        <v>45993</v>
      </c>
      <c r="B76" s="27" t="s">
        <v>4</v>
      </c>
      <c r="C76" s="24">
        <v>-245.01</v>
      </c>
      <c r="L76" s="18">
        <f>459.95/228.4796</f>
        <v>2.0130900089110799</v>
      </c>
    </row>
    <row r="77" spans="1:12" x14ac:dyDescent="0.3">
      <c r="A77" s="26">
        <v>45995</v>
      </c>
      <c r="B77" s="27" t="s">
        <v>4</v>
      </c>
      <c r="C77" s="24">
        <v>-197.87</v>
      </c>
      <c r="L77" s="18">
        <f>8755.4/228.4796</f>
        <v>38.320270168540212</v>
      </c>
    </row>
    <row r="78" spans="1:12" x14ac:dyDescent="0.3">
      <c r="A78" s="26">
        <v>45996</v>
      </c>
      <c r="B78" s="27" t="s">
        <v>1</v>
      </c>
      <c r="C78" s="24">
        <f>346.94-G78</f>
        <v>328.06</v>
      </c>
      <c r="G78" s="126">
        <v>18.88</v>
      </c>
      <c r="L78" s="18">
        <f>3995.11/245.6697</f>
        <v>16.262119422948782</v>
      </c>
    </row>
    <row r="79" spans="1:12" x14ac:dyDescent="0.3">
      <c r="A79" s="26">
        <v>46007</v>
      </c>
      <c r="B79" s="27" t="s">
        <v>4</v>
      </c>
      <c r="C79" s="24">
        <v>-393.75</v>
      </c>
      <c r="L79" s="18">
        <f>3421.24/245.6697</f>
        <v>13.926178116389606</v>
      </c>
    </row>
    <row r="80" spans="1:12" x14ac:dyDescent="0.3">
      <c r="A80" s="26">
        <v>46008</v>
      </c>
      <c r="B80" s="27" t="s">
        <v>4</v>
      </c>
      <c r="C80" s="24">
        <v>-202.05</v>
      </c>
      <c r="L80" s="18">
        <f>6693.02/241.578</f>
        <v>27.70542019554761</v>
      </c>
    </row>
    <row r="81" spans="1:12" x14ac:dyDescent="0.3">
      <c r="A81" s="26">
        <v>46010</v>
      </c>
      <c r="B81" s="27" t="s">
        <v>1</v>
      </c>
      <c r="C81" s="24">
        <f>603.03-G81</f>
        <v>563</v>
      </c>
      <c r="G81" s="126">
        <v>40.03</v>
      </c>
      <c r="L81" s="18">
        <f>4761.77/254.8705</f>
        <v>18.683095925185537</v>
      </c>
    </row>
    <row r="82" spans="1:12" x14ac:dyDescent="0.3">
      <c r="A82" s="26">
        <v>46010</v>
      </c>
      <c r="B82" s="27" t="s">
        <v>503</v>
      </c>
      <c r="C82" s="24">
        <v>-19</v>
      </c>
      <c r="L82" s="18">
        <f>13019.93/282.5128</f>
        <v>46.086159635952775</v>
      </c>
    </row>
    <row r="83" spans="1:12" x14ac:dyDescent="0.3">
      <c r="A83" s="26">
        <v>46017</v>
      </c>
      <c r="B83" s="27" t="s">
        <v>4</v>
      </c>
      <c r="C83" s="24">
        <v>-325.63</v>
      </c>
      <c r="L83" s="18">
        <f>16605.78/325.3894</f>
        <v>51.033561634152797</v>
      </c>
    </row>
    <row r="84" spans="1:12" x14ac:dyDescent="0.3">
      <c r="A84" s="26">
        <v>46031</v>
      </c>
      <c r="B84" s="27" t="s">
        <v>4</v>
      </c>
      <c r="C84" s="24">
        <v>-563.11</v>
      </c>
      <c r="L84" s="18">
        <f>-231.27+9.59</f>
        <v>-221.68</v>
      </c>
    </row>
    <row r="85" spans="1:12" x14ac:dyDescent="0.3">
      <c r="A85" s="26">
        <v>46031</v>
      </c>
      <c r="B85" s="27" t="s">
        <v>1</v>
      </c>
      <c r="C85" s="24">
        <f>559.49-G85</f>
        <v>514.79999999999995</v>
      </c>
      <c r="G85" s="126">
        <v>44.69</v>
      </c>
    </row>
    <row r="86" spans="1:12" x14ac:dyDescent="0.3">
      <c r="A86" s="26">
        <v>46031</v>
      </c>
      <c r="B86" s="27" t="s">
        <v>503</v>
      </c>
      <c r="C86" s="24">
        <v>-7.2</v>
      </c>
    </row>
    <row r="87" spans="1:12" x14ac:dyDescent="0.3">
      <c r="A87" s="26">
        <v>46044</v>
      </c>
      <c r="B87" s="27" t="s">
        <v>4</v>
      </c>
      <c r="C87" s="24">
        <v>-509</v>
      </c>
    </row>
    <row r="88" spans="1:12" x14ac:dyDescent="0.3">
      <c r="A88" s="26">
        <v>46045</v>
      </c>
      <c r="B88" s="27" t="s">
        <v>1</v>
      </c>
      <c r="C88" s="24">
        <f>161.22-G88</f>
        <v>151.63</v>
      </c>
      <c r="G88" s="24">
        <v>9.59</v>
      </c>
    </row>
    <row r="89" spans="1:12" x14ac:dyDescent="0.3">
      <c r="A89" s="26">
        <v>46048</v>
      </c>
      <c r="B89" s="27" t="s">
        <v>23</v>
      </c>
      <c r="G89" s="126">
        <v>-221.68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CAE2-349D-4C8D-A373-57AF997F74E2}">
  <sheetPr codeName="Hoja176"/>
  <dimension ref="A1:H59"/>
  <sheetViews>
    <sheetView view="pageBreakPreview" zoomScale="80" zoomScaleNormal="100" zoomScaleSheetLayoutView="80" workbookViewId="0">
      <selection activeCell="C60" sqref="C6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236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237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1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45821</v>
      </c>
      <c r="B5" s="34" t="s">
        <v>21</v>
      </c>
      <c r="C5" s="24">
        <v>49.19</v>
      </c>
      <c r="D5" s="30"/>
      <c r="E5" s="30"/>
      <c r="F5" s="30"/>
      <c r="G5" s="22"/>
    </row>
    <row r="6" spans="1:8" hidden="1" x14ac:dyDescent="0.3">
      <c r="A6" s="21">
        <v>45826</v>
      </c>
      <c r="B6" s="27" t="s">
        <v>4</v>
      </c>
      <c r="C6" s="24">
        <v>-49.2</v>
      </c>
    </row>
    <row r="7" spans="1:8" hidden="1" x14ac:dyDescent="0.3">
      <c r="A7" s="21">
        <v>45827</v>
      </c>
      <c r="B7" s="35" t="s">
        <v>1</v>
      </c>
      <c r="C7" s="24">
        <v>46.65</v>
      </c>
    </row>
    <row r="8" spans="1:8" hidden="1" x14ac:dyDescent="0.3">
      <c r="A8" s="21">
        <v>45827</v>
      </c>
      <c r="B8" s="34" t="s">
        <v>21</v>
      </c>
      <c r="C8" s="24">
        <v>43.44</v>
      </c>
    </row>
    <row r="9" spans="1:8" hidden="1" x14ac:dyDescent="0.3">
      <c r="A9" s="26">
        <v>45834</v>
      </c>
      <c r="B9" s="27" t="s">
        <v>4</v>
      </c>
      <c r="C9" s="24">
        <v>-90.09</v>
      </c>
    </row>
    <row r="10" spans="1:8" hidden="1" x14ac:dyDescent="0.3">
      <c r="A10" s="26">
        <v>45842</v>
      </c>
      <c r="B10" s="35" t="s">
        <v>1</v>
      </c>
      <c r="C10" s="24">
        <v>48.49</v>
      </c>
    </row>
    <row r="11" spans="1:8" hidden="1" x14ac:dyDescent="0.3">
      <c r="A11" s="26">
        <v>45842</v>
      </c>
      <c r="B11" s="34" t="s">
        <v>21</v>
      </c>
      <c r="C11" s="24">
        <v>69.62</v>
      </c>
    </row>
    <row r="12" spans="1:8" hidden="1" x14ac:dyDescent="0.3">
      <c r="A12" s="26">
        <v>45848</v>
      </c>
      <c r="B12" s="31" t="s">
        <v>4</v>
      </c>
      <c r="C12" s="24">
        <v>-118.11</v>
      </c>
    </row>
    <row r="13" spans="1:8" hidden="1" x14ac:dyDescent="0.3">
      <c r="A13" s="26">
        <v>45849</v>
      </c>
      <c r="B13" s="35" t="s">
        <v>1</v>
      </c>
      <c r="C13" s="24">
        <v>9.6</v>
      </c>
    </row>
    <row r="14" spans="1:8" hidden="1" x14ac:dyDescent="0.3">
      <c r="A14" s="26">
        <v>45849</v>
      </c>
      <c r="B14" s="34" t="s">
        <v>21</v>
      </c>
      <c r="C14" s="24">
        <v>53.67</v>
      </c>
    </row>
    <row r="15" spans="1:8" hidden="1" x14ac:dyDescent="0.3">
      <c r="A15" s="26">
        <v>45856</v>
      </c>
      <c r="B15" s="27" t="s">
        <v>4</v>
      </c>
      <c r="C15" s="24">
        <v>-63.27</v>
      </c>
    </row>
    <row r="16" spans="1:8" hidden="1" x14ac:dyDescent="0.3">
      <c r="A16" s="26">
        <v>45856</v>
      </c>
      <c r="B16" s="35" t="s">
        <v>1</v>
      </c>
      <c r="C16" s="24">
        <v>25.69</v>
      </c>
    </row>
    <row r="17" spans="1:3" hidden="1" x14ac:dyDescent="0.3">
      <c r="A17" s="26">
        <v>45856</v>
      </c>
      <c r="B17" s="34" t="s">
        <v>21</v>
      </c>
      <c r="C17" s="24">
        <v>20</v>
      </c>
    </row>
    <row r="18" spans="1:3" hidden="1" x14ac:dyDescent="0.3">
      <c r="A18" s="26">
        <v>45866</v>
      </c>
      <c r="B18" s="27" t="s">
        <v>4</v>
      </c>
      <c r="C18" s="24">
        <v>-45.69</v>
      </c>
    </row>
    <row r="19" spans="1:3" hidden="1" x14ac:dyDescent="0.3">
      <c r="A19" s="26">
        <v>45870</v>
      </c>
      <c r="B19" s="35" t="s">
        <v>1</v>
      </c>
      <c r="C19" s="24">
        <v>51.99</v>
      </c>
    </row>
    <row r="20" spans="1:3" hidden="1" x14ac:dyDescent="0.3">
      <c r="A20" s="26">
        <v>45870</v>
      </c>
      <c r="B20" s="34" t="s">
        <v>21</v>
      </c>
      <c r="C20" s="24">
        <v>96.88</v>
      </c>
    </row>
    <row r="21" spans="1:3" hidden="1" x14ac:dyDescent="0.3">
      <c r="A21" s="26">
        <v>45880</v>
      </c>
      <c r="B21" s="27" t="s">
        <v>4</v>
      </c>
      <c r="C21" s="24">
        <v>-148.88</v>
      </c>
    </row>
    <row r="22" spans="1:3" hidden="1" x14ac:dyDescent="0.3">
      <c r="A22" s="26">
        <v>45883</v>
      </c>
      <c r="B22" s="35" t="s">
        <v>1</v>
      </c>
      <c r="C22" s="24">
        <v>25.45</v>
      </c>
    </row>
    <row r="23" spans="1:3" hidden="1" x14ac:dyDescent="0.3">
      <c r="A23" s="26">
        <v>45893</v>
      </c>
      <c r="B23" s="27" t="s">
        <v>4</v>
      </c>
      <c r="C23" s="24">
        <v>-25.45</v>
      </c>
    </row>
    <row r="24" spans="1:3" hidden="1" x14ac:dyDescent="0.3">
      <c r="A24" s="26">
        <v>45899</v>
      </c>
      <c r="B24" s="35" t="s">
        <v>1</v>
      </c>
      <c r="C24" s="24">
        <v>35.29</v>
      </c>
    </row>
    <row r="25" spans="1:3" hidden="1" x14ac:dyDescent="0.3">
      <c r="A25" s="26">
        <v>45899</v>
      </c>
      <c r="B25" s="34" t="s">
        <v>21</v>
      </c>
      <c r="C25" s="24">
        <v>41.52</v>
      </c>
    </row>
    <row r="26" spans="1:3" hidden="1" x14ac:dyDescent="0.3">
      <c r="A26" s="26">
        <v>45910</v>
      </c>
      <c r="B26" s="27" t="s">
        <v>4</v>
      </c>
      <c r="C26" s="24">
        <v>-76.13</v>
      </c>
    </row>
    <row r="27" spans="1:3" hidden="1" x14ac:dyDescent="0.3">
      <c r="A27" s="26">
        <v>45912</v>
      </c>
      <c r="B27" s="35" t="s">
        <v>1</v>
      </c>
      <c r="C27" s="24">
        <v>57.79</v>
      </c>
    </row>
    <row r="28" spans="1:3" hidden="1" x14ac:dyDescent="0.3">
      <c r="A28" s="26">
        <v>45912</v>
      </c>
      <c r="B28" s="34" t="s">
        <v>21</v>
      </c>
      <c r="C28" s="24">
        <v>19.8</v>
      </c>
    </row>
    <row r="29" spans="1:3" hidden="1" x14ac:dyDescent="0.3">
      <c r="A29" s="26">
        <v>45926</v>
      </c>
      <c r="B29" s="35" t="s">
        <v>1</v>
      </c>
      <c r="C29" s="24">
        <v>40.450000000000003</v>
      </c>
    </row>
    <row r="30" spans="1:3" hidden="1" x14ac:dyDescent="0.3">
      <c r="A30" s="26">
        <v>45933</v>
      </c>
      <c r="B30" s="27" t="s">
        <v>4</v>
      </c>
      <c r="C30" s="24">
        <v>-77.59</v>
      </c>
    </row>
    <row r="31" spans="1:3" hidden="1" x14ac:dyDescent="0.3">
      <c r="A31" s="26">
        <v>45933</v>
      </c>
      <c r="B31" s="35" t="s">
        <v>1</v>
      </c>
      <c r="C31" s="24">
        <v>23.35</v>
      </c>
    </row>
    <row r="32" spans="1:3" hidden="1" x14ac:dyDescent="0.3">
      <c r="A32" s="26">
        <v>45933</v>
      </c>
      <c r="B32" s="34" t="s">
        <v>21</v>
      </c>
      <c r="C32" s="24">
        <v>36.36</v>
      </c>
    </row>
    <row r="33" spans="1:5" hidden="1" x14ac:dyDescent="0.3">
      <c r="A33" s="26">
        <v>45947</v>
      </c>
      <c r="B33" s="27" t="s">
        <v>4</v>
      </c>
      <c r="C33" s="24">
        <v>-40.450000000000003</v>
      </c>
    </row>
    <row r="34" spans="1:5" hidden="1" x14ac:dyDescent="0.3">
      <c r="A34" s="26">
        <v>45948</v>
      </c>
      <c r="B34" s="27" t="s">
        <v>4</v>
      </c>
      <c r="C34" s="24">
        <v>-59.71</v>
      </c>
    </row>
    <row r="35" spans="1:5" hidden="1" x14ac:dyDescent="0.3">
      <c r="A35" s="26">
        <v>45954</v>
      </c>
      <c r="B35" s="35" t="s">
        <v>1</v>
      </c>
      <c r="C35" s="24">
        <v>40.42</v>
      </c>
    </row>
    <row r="36" spans="1:5" hidden="1" x14ac:dyDescent="0.3">
      <c r="A36" s="26">
        <v>45954</v>
      </c>
      <c r="B36" s="34" t="s">
        <v>21</v>
      </c>
      <c r="C36" s="24">
        <v>27</v>
      </c>
    </row>
    <row r="37" spans="1:5" hidden="1" x14ac:dyDescent="0.3">
      <c r="A37" s="26">
        <v>45961</v>
      </c>
      <c r="B37" s="35" t="s">
        <v>1</v>
      </c>
      <c r="C37" s="24">
        <v>16.38</v>
      </c>
    </row>
    <row r="38" spans="1:5" hidden="1" x14ac:dyDescent="0.3">
      <c r="A38" s="26">
        <v>45961</v>
      </c>
      <c r="B38" s="34" t="s">
        <v>21</v>
      </c>
      <c r="C38" s="24">
        <v>27.6</v>
      </c>
    </row>
    <row r="39" spans="1:5" hidden="1" x14ac:dyDescent="0.3">
      <c r="A39" s="26">
        <v>45966</v>
      </c>
      <c r="B39" s="27" t="s">
        <v>4</v>
      </c>
      <c r="C39" s="24">
        <v>-67.42</v>
      </c>
    </row>
    <row r="40" spans="1:5" hidden="1" x14ac:dyDescent="0.3">
      <c r="A40" s="26">
        <v>45973</v>
      </c>
      <c r="B40" s="27" t="s">
        <v>4</v>
      </c>
      <c r="C40" s="24">
        <v>-44.64</v>
      </c>
    </row>
    <row r="41" spans="1:5" x14ac:dyDescent="0.3">
      <c r="A41" s="26">
        <v>45982</v>
      </c>
      <c r="B41" s="27" t="s">
        <v>1</v>
      </c>
      <c r="C41" s="24">
        <v>143.07</v>
      </c>
    </row>
    <row r="42" spans="1:5" x14ac:dyDescent="0.3">
      <c r="A42" s="26">
        <v>45989</v>
      </c>
      <c r="B42" s="27" t="s">
        <v>4</v>
      </c>
      <c r="C42" s="24">
        <v>-26.38</v>
      </c>
    </row>
    <row r="43" spans="1:5" x14ac:dyDescent="0.3">
      <c r="A43" s="26">
        <v>45989</v>
      </c>
      <c r="B43" s="27" t="s">
        <v>1</v>
      </c>
      <c r="C43" s="24">
        <v>26.38</v>
      </c>
    </row>
    <row r="44" spans="1:5" x14ac:dyDescent="0.3">
      <c r="A44" s="26">
        <v>45989</v>
      </c>
      <c r="B44" s="27" t="s">
        <v>1</v>
      </c>
      <c r="C44" s="24">
        <v>90</v>
      </c>
    </row>
    <row r="45" spans="1:5" x14ac:dyDescent="0.3">
      <c r="A45" s="26">
        <v>45989</v>
      </c>
      <c r="B45" s="27" t="s">
        <v>503</v>
      </c>
      <c r="C45" s="24">
        <v>-11.4</v>
      </c>
    </row>
    <row r="46" spans="1:5" x14ac:dyDescent="0.3">
      <c r="A46" s="26">
        <v>45993</v>
      </c>
      <c r="B46" s="27" t="s">
        <v>4</v>
      </c>
      <c r="C46" s="24">
        <v>-143.07</v>
      </c>
    </row>
    <row r="47" spans="1:5" x14ac:dyDescent="0.3">
      <c r="A47" s="26">
        <v>45996</v>
      </c>
      <c r="B47" s="27" t="s">
        <v>1</v>
      </c>
      <c r="C47" s="24">
        <v>150.86000000000001</v>
      </c>
      <c r="E47" s="25">
        <v>1</v>
      </c>
    </row>
    <row r="48" spans="1:5" x14ac:dyDescent="0.3">
      <c r="A48" s="26">
        <v>46003</v>
      </c>
      <c r="B48" s="27" t="s">
        <v>1</v>
      </c>
      <c r="C48" s="24">
        <v>26.22</v>
      </c>
      <c r="E48" s="25">
        <v>-1</v>
      </c>
    </row>
    <row r="49" spans="1:4" x14ac:dyDescent="0.3">
      <c r="A49" s="26">
        <v>46010</v>
      </c>
      <c r="B49" s="27" t="s">
        <v>4</v>
      </c>
      <c r="C49" s="24">
        <v>-25.67</v>
      </c>
    </row>
    <row r="50" spans="1:4" x14ac:dyDescent="0.3">
      <c r="A50" s="26">
        <v>46010</v>
      </c>
      <c r="B50" s="27" t="s">
        <v>1</v>
      </c>
      <c r="C50" s="24">
        <v>115.42</v>
      </c>
    </row>
    <row r="51" spans="1:4" x14ac:dyDescent="0.3">
      <c r="A51" s="26">
        <v>46012</v>
      </c>
      <c r="B51" s="27" t="s">
        <v>4</v>
      </c>
      <c r="C51" s="24">
        <v>-150.86000000000001</v>
      </c>
    </row>
    <row r="52" spans="1:4" x14ac:dyDescent="0.3">
      <c r="A52" s="26">
        <v>46020</v>
      </c>
      <c r="B52" s="27" t="s">
        <v>4</v>
      </c>
      <c r="C52" s="24">
        <v>-78.599999999999994</v>
      </c>
    </row>
    <row r="53" spans="1:4" x14ac:dyDescent="0.3">
      <c r="A53" s="26">
        <v>46021</v>
      </c>
      <c r="B53" s="27" t="s">
        <v>1</v>
      </c>
      <c r="C53" s="24">
        <v>50.83</v>
      </c>
    </row>
    <row r="54" spans="1:4" x14ac:dyDescent="0.3">
      <c r="A54" s="26">
        <v>46024</v>
      </c>
      <c r="B54" s="27" t="s">
        <v>4</v>
      </c>
      <c r="C54" s="24">
        <v>-115.42</v>
      </c>
    </row>
    <row r="55" spans="1:4" x14ac:dyDescent="0.3">
      <c r="A55" s="26">
        <v>46029</v>
      </c>
      <c r="B55" s="27" t="s">
        <v>4</v>
      </c>
      <c r="C55" s="24">
        <v>-50.83</v>
      </c>
    </row>
    <row r="56" spans="1:4" x14ac:dyDescent="0.3">
      <c r="A56" s="26">
        <v>46037</v>
      </c>
      <c r="B56" s="27" t="s">
        <v>1</v>
      </c>
      <c r="C56" s="24">
        <v>85.26</v>
      </c>
    </row>
    <row r="57" spans="1:4" x14ac:dyDescent="0.3">
      <c r="A57" s="26">
        <v>46042</v>
      </c>
      <c r="B57" s="27" t="s">
        <v>4</v>
      </c>
      <c r="C57" s="24">
        <v>-85.81</v>
      </c>
    </row>
    <row r="58" spans="1:4" x14ac:dyDescent="0.3">
      <c r="A58" s="26">
        <v>46045</v>
      </c>
      <c r="B58" s="27" t="s">
        <v>1</v>
      </c>
      <c r="C58" s="24">
        <v>45.16</v>
      </c>
      <c r="D58" s="25">
        <v>1</v>
      </c>
    </row>
    <row r="59" spans="1:4" x14ac:dyDescent="0.3">
      <c r="A59" s="26">
        <v>46049</v>
      </c>
      <c r="B59" s="27" t="s">
        <v>4</v>
      </c>
      <c r="C59" s="24">
        <v>-45.16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E2E34-E7E6-4A89-8F65-B1CECBE616EC}">
  <sheetPr codeName="Hoja107"/>
  <dimension ref="A1:H65"/>
  <sheetViews>
    <sheetView view="pageBreakPreview" zoomScale="80" zoomScaleNormal="100" zoomScaleSheetLayoutView="80" workbookViewId="0">
      <selection activeCell="C66" sqref="C6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165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166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17.440000000000001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45819</v>
      </c>
      <c r="B5" s="32" t="s">
        <v>21</v>
      </c>
      <c r="C5" s="24">
        <v>25.85</v>
      </c>
      <c r="D5" s="30"/>
      <c r="E5" s="30"/>
      <c r="F5" s="30"/>
      <c r="G5" s="22"/>
    </row>
    <row r="6" spans="1:8" hidden="1" x14ac:dyDescent="0.3">
      <c r="A6" s="21">
        <v>45820</v>
      </c>
      <c r="B6" s="27" t="s">
        <v>4</v>
      </c>
      <c r="C6" s="24">
        <v>-25.68</v>
      </c>
    </row>
    <row r="7" spans="1:8" hidden="1" x14ac:dyDescent="0.3">
      <c r="A7" s="21">
        <v>45820</v>
      </c>
      <c r="B7" s="27" t="s">
        <v>4</v>
      </c>
      <c r="C7" s="24">
        <v>-0.01</v>
      </c>
    </row>
    <row r="8" spans="1:8" hidden="1" x14ac:dyDescent="0.3">
      <c r="A8" s="26">
        <v>45826</v>
      </c>
      <c r="B8" s="27" t="s">
        <v>4</v>
      </c>
      <c r="C8" s="24">
        <v>-10</v>
      </c>
    </row>
    <row r="9" spans="1:8" hidden="1" x14ac:dyDescent="0.3">
      <c r="A9" s="26">
        <v>45826</v>
      </c>
      <c r="B9" s="32" t="s">
        <v>21</v>
      </c>
      <c r="C9" s="24">
        <v>9.84</v>
      </c>
    </row>
    <row r="10" spans="1:8" hidden="1" x14ac:dyDescent="0.3">
      <c r="A10" s="26">
        <v>45833</v>
      </c>
      <c r="B10" s="32" t="s">
        <v>21</v>
      </c>
      <c r="C10" s="24">
        <v>25.69</v>
      </c>
    </row>
    <row r="11" spans="1:8" hidden="1" x14ac:dyDescent="0.3">
      <c r="A11" s="26">
        <v>45840</v>
      </c>
      <c r="B11" s="27" t="s">
        <v>4</v>
      </c>
      <c r="C11" s="24">
        <v>-25.69</v>
      </c>
    </row>
    <row r="12" spans="1:8" hidden="1" x14ac:dyDescent="0.3">
      <c r="A12" s="26">
        <v>45840</v>
      </c>
      <c r="B12" s="32" t="s">
        <v>21</v>
      </c>
      <c r="C12" s="24">
        <v>31.54</v>
      </c>
    </row>
    <row r="13" spans="1:8" hidden="1" x14ac:dyDescent="0.3">
      <c r="A13" s="26">
        <v>45854</v>
      </c>
      <c r="B13" s="27" t="s">
        <v>4</v>
      </c>
      <c r="C13" s="24">
        <v>-31.54</v>
      </c>
    </row>
    <row r="14" spans="1:8" hidden="1" x14ac:dyDescent="0.3">
      <c r="A14" s="26">
        <v>45854</v>
      </c>
      <c r="B14" s="32" t="s">
        <v>21</v>
      </c>
      <c r="C14" s="24">
        <v>23.35</v>
      </c>
    </row>
    <row r="15" spans="1:8" hidden="1" x14ac:dyDescent="0.3">
      <c r="A15" s="26">
        <v>45863</v>
      </c>
      <c r="B15" s="27" t="s">
        <v>4</v>
      </c>
      <c r="C15" s="24">
        <v>-23.35</v>
      </c>
    </row>
    <row r="16" spans="1:8" hidden="1" x14ac:dyDescent="0.3">
      <c r="A16" s="26">
        <v>45868</v>
      </c>
      <c r="B16" s="32" t="s">
        <v>21</v>
      </c>
      <c r="C16" s="24">
        <v>34.450000000000003</v>
      </c>
    </row>
    <row r="17" spans="1:3" hidden="1" x14ac:dyDescent="0.3">
      <c r="A17" s="26">
        <v>45875</v>
      </c>
      <c r="B17" s="27" t="s">
        <v>7</v>
      </c>
      <c r="C17" s="24">
        <v>-34.450000000000003</v>
      </c>
    </row>
    <row r="18" spans="1:3" hidden="1" x14ac:dyDescent="0.3">
      <c r="A18" s="26">
        <v>45875</v>
      </c>
      <c r="B18" s="32" t="s">
        <v>21</v>
      </c>
      <c r="C18" s="24">
        <v>32.35</v>
      </c>
    </row>
    <row r="19" spans="1:3" hidden="1" x14ac:dyDescent="0.3">
      <c r="A19" s="26">
        <v>45882</v>
      </c>
      <c r="B19" s="27" t="s">
        <v>7</v>
      </c>
      <c r="C19" s="24">
        <v>-32.35</v>
      </c>
    </row>
    <row r="20" spans="1:3" hidden="1" x14ac:dyDescent="0.3">
      <c r="A20" s="26">
        <v>45882</v>
      </c>
      <c r="B20" s="32" t="s">
        <v>21</v>
      </c>
      <c r="C20" s="24">
        <v>26.94</v>
      </c>
    </row>
    <row r="21" spans="1:3" hidden="1" x14ac:dyDescent="0.3">
      <c r="A21" s="26">
        <v>45889</v>
      </c>
      <c r="B21" s="27" t="s">
        <v>4</v>
      </c>
      <c r="C21" s="24">
        <v>-26.94</v>
      </c>
    </row>
    <row r="22" spans="1:3" hidden="1" x14ac:dyDescent="0.3">
      <c r="A22" s="26">
        <v>45889</v>
      </c>
      <c r="B22" s="32" t="s">
        <v>21</v>
      </c>
      <c r="C22" s="24">
        <v>20.350000000000001</v>
      </c>
    </row>
    <row r="23" spans="1:3" hidden="1" x14ac:dyDescent="0.3">
      <c r="A23" s="26">
        <v>45897</v>
      </c>
      <c r="B23" s="27" t="s">
        <v>4</v>
      </c>
      <c r="C23" s="24">
        <v>-20.350000000000001</v>
      </c>
    </row>
    <row r="24" spans="1:3" hidden="1" x14ac:dyDescent="0.3">
      <c r="A24" s="26">
        <v>45897</v>
      </c>
      <c r="B24" s="32" t="s">
        <v>21</v>
      </c>
      <c r="C24" s="24">
        <v>25.45</v>
      </c>
    </row>
    <row r="25" spans="1:3" hidden="1" x14ac:dyDescent="0.3">
      <c r="A25" s="26">
        <v>45897</v>
      </c>
      <c r="B25" s="34" t="s">
        <v>21</v>
      </c>
      <c r="C25" s="24">
        <v>27.96</v>
      </c>
    </row>
    <row r="26" spans="1:3" hidden="1" x14ac:dyDescent="0.3">
      <c r="A26" s="26">
        <v>45903</v>
      </c>
      <c r="B26" s="27" t="s">
        <v>7</v>
      </c>
      <c r="C26" s="24">
        <v>-53.41</v>
      </c>
    </row>
    <row r="27" spans="1:3" hidden="1" x14ac:dyDescent="0.3">
      <c r="A27" s="26">
        <v>45903</v>
      </c>
      <c r="B27" s="32" t="s">
        <v>21</v>
      </c>
      <c r="C27" s="24">
        <v>27</v>
      </c>
    </row>
    <row r="28" spans="1:3" hidden="1" x14ac:dyDescent="0.3">
      <c r="A28" s="26">
        <v>45910</v>
      </c>
      <c r="B28" s="27" t="s">
        <v>4</v>
      </c>
      <c r="C28" s="24">
        <v>-4.5</v>
      </c>
    </row>
    <row r="29" spans="1:3" hidden="1" x14ac:dyDescent="0.3">
      <c r="A29" s="26">
        <v>45910</v>
      </c>
      <c r="B29" s="27" t="s">
        <v>7</v>
      </c>
      <c r="C29" s="24">
        <v>-22.51</v>
      </c>
    </row>
    <row r="30" spans="1:3" hidden="1" x14ac:dyDescent="0.3">
      <c r="A30" s="26">
        <v>45910</v>
      </c>
      <c r="B30" s="32" t="s">
        <v>21</v>
      </c>
      <c r="C30" s="24">
        <v>25.45</v>
      </c>
    </row>
    <row r="31" spans="1:3" hidden="1" x14ac:dyDescent="0.3">
      <c r="A31" s="26">
        <v>45923</v>
      </c>
      <c r="B31" s="27" t="s">
        <v>4</v>
      </c>
      <c r="C31" s="24">
        <v>-25.45</v>
      </c>
    </row>
    <row r="32" spans="1:3" hidden="1" x14ac:dyDescent="0.3">
      <c r="A32" s="26">
        <v>45923</v>
      </c>
      <c r="B32" s="32" t="s">
        <v>21</v>
      </c>
      <c r="C32" s="24">
        <v>32.950000000000003</v>
      </c>
    </row>
    <row r="33" spans="1:3" hidden="1" x14ac:dyDescent="0.3">
      <c r="A33" s="26">
        <v>45931</v>
      </c>
      <c r="B33" s="27" t="s">
        <v>4</v>
      </c>
      <c r="C33" s="24">
        <v>-32.94</v>
      </c>
    </row>
    <row r="34" spans="1:3" hidden="1" x14ac:dyDescent="0.3">
      <c r="A34" s="26">
        <v>45931</v>
      </c>
      <c r="B34" s="32" t="s">
        <v>21</v>
      </c>
      <c r="C34" s="24">
        <v>37.549999999999997</v>
      </c>
    </row>
    <row r="35" spans="1:3" hidden="1" x14ac:dyDescent="0.3">
      <c r="A35" s="26">
        <v>45938</v>
      </c>
      <c r="B35" s="27" t="s">
        <v>4</v>
      </c>
      <c r="C35" s="24">
        <v>-18.489999999999998</v>
      </c>
    </row>
    <row r="36" spans="1:3" hidden="1" x14ac:dyDescent="0.3">
      <c r="A36" s="26">
        <v>45938</v>
      </c>
      <c r="B36" s="27" t="s">
        <v>7</v>
      </c>
      <c r="C36" s="24">
        <v>-19.23</v>
      </c>
    </row>
    <row r="37" spans="1:3" hidden="1" x14ac:dyDescent="0.3">
      <c r="A37" s="26">
        <v>45938</v>
      </c>
      <c r="B37" s="32" t="s">
        <v>21</v>
      </c>
      <c r="C37" s="24">
        <v>16.38</v>
      </c>
    </row>
    <row r="38" spans="1:3" hidden="1" x14ac:dyDescent="0.3">
      <c r="A38" s="26">
        <v>45944</v>
      </c>
      <c r="B38" s="27" t="s">
        <v>4</v>
      </c>
      <c r="C38" s="24">
        <v>-16.38</v>
      </c>
    </row>
    <row r="39" spans="1:3" hidden="1" x14ac:dyDescent="0.3">
      <c r="A39" s="26">
        <v>45944</v>
      </c>
      <c r="B39" s="32" t="s">
        <v>21</v>
      </c>
      <c r="C39" s="24">
        <v>61.32</v>
      </c>
    </row>
    <row r="40" spans="1:3" hidden="1" x14ac:dyDescent="0.3">
      <c r="A40" s="26">
        <v>45952</v>
      </c>
      <c r="B40" s="27" t="s">
        <v>4</v>
      </c>
      <c r="C40" s="24">
        <v>-61.15</v>
      </c>
    </row>
    <row r="41" spans="1:3" hidden="1" x14ac:dyDescent="0.3">
      <c r="A41" s="26">
        <v>45952</v>
      </c>
      <c r="B41" s="32" t="s">
        <v>21</v>
      </c>
      <c r="C41" s="24">
        <v>12.1</v>
      </c>
    </row>
    <row r="42" spans="1:3" hidden="1" x14ac:dyDescent="0.3">
      <c r="A42" s="26">
        <v>45959</v>
      </c>
      <c r="B42" s="27" t="s">
        <v>4</v>
      </c>
      <c r="C42" s="24">
        <v>-12.1</v>
      </c>
    </row>
    <row r="43" spans="1:3" hidden="1" x14ac:dyDescent="0.3">
      <c r="A43" s="26">
        <v>45959</v>
      </c>
      <c r="B43" s="32" t="s">
        <v>21</v>
      </c>
      <c r="C43" s="24">
        <v>17.5</v>
      </c>
    </row>
    <row r="44" spans="1:3" hidden="1" x14ac:dyDescent="0.3">
      <c r="A44" s="26">
        <v>45966</v>
      </c>
      <c r="B44" s="32" t="s">
        <v>21</v>
      </c>
      <c r="C44" s="24">
        <v>49.78</v>
      </c>
    </row>
    <row r="45" spans="1:3" hidden="1" x14ac:dyDescent="0.3">
      <c r="A45" s="26">
        <v>45968</v>
      </c>
      <c r="B45" s="27" t="s">
        <v>4</v>
      </c>
      <c r="C45" s="24">
        <v>-20</v>
      </c>
    </row>
    <row r="46" spans="1:3" hidden="1" x14ac:dyDescent="0.3">
      <c r="A46" s="26">
        <v>45981</v>
      </c>
      <c r="B46" s="27" t="s">
        <v>4</v>
      </c>
      <c r="C46" s="24">
        <v>-47.28</v>
      </c>
    </row>
    <row r="47" spans="1:3" hidden="1" x14ac:dyDescent="0.3">
      <c r="A47" s="26">
        <v>45980</v>
      </c>
      <c r="B47" s="27" t="s">
        <v>1</v>
      </c>
      <c r="C47" s="24">
        <v>50.58</v>
      </c>
    </row>
    <row r="48" spans="1:3" hidden="1" x14ac:dyDescent="0.3">
      <c r="A48" s="26">
        <v>45987</v>
      </c>
      <c r="B48" s="27" t="s">
        <v>4</v>
      </c>
      <c r="C48" s="24">
        <v>-50.58</v>
      </c>
    </row>
    <row r="49" spans="1:3" x14ac:dyDescent="0.3">
      <c r="A49" s="26">
        <v>45987</v>
      </c>
      <c r="B49" s="27" t="s">
        <v>1</v>
      </c>
      <c r="C49" s="24">
        <v>50.58</v>
      </c>
    </row>
    <row r="50" spans="1:3" x14ac:dyDescent="0.3">
      <c r="A50" s="26">
        <v>45994</v>
      </c>
      <c r="B50" s="27" t="s">
        <v>1</v>
      </c>
      <c r="C50" s="24">
        <v>57.92</v>
      </c>
    </row>
    <row r="51" spans="1:3" x14ac:dyDescent="0.3">
      <c r="A51" s="26">
        <v>46001</v>
      </c>
      <c r="B51" s="27" t="s">
        <v>4</v>
      </c>
      <c r="C51" s="24">
        <v>-43.44</v>
      </c>
    </row>
    <row r="52" spans="1:3" x14ac:dyDescent="0.3">
      <c r="A52" s="26">
        <v>46001</v>
      </c>
      <c r="B52" s="27" t="s">
        <v>4</v>
      </c>
      <c r="C52" s="24">
        <v>-0.44</v>
      </c>
    </row>
    <row r="53" spans="1:3" x14ac:dyDescent="0.3">
      <c r="A53" s="26">
        <v>46001</v>
      </c>
      <c r="B53" s="27" t="s">
        <v>7</v>
      </c>
      <c r="C53" s="24">
        <v>-7.14</v>
      </c>
    </row>
    <row r="54" spans="1:3" x14ac:dyDescent="0.3">
      <c r="A54" s="26">
        <v>46008</v>
      </c>
      <c r="B54" s="27" t="s">
        <v>4</v>
      </c>
      <c r="C54" s="24">
        <v>-57.92</v>
      </c>
    </row>
    <row r="55" spans="1:3" x14ac:dyDescent="0.3">
      <c r="A55" s="26">
        <v>46008</v>
      </c>
      <c r="B55" s="27" t="s">
        <v>1</v>
      </c>
      <c r="C55" s="24">
        <v>62.12</v>
      </c>
    </row>
    <row r="56" spans="1:3" x14ac:dyDescent="0.3">
      <c r="A56" s="26">
        <v>46014</v>
      </c>
      <c r="B56" s="27" t="s">
        <v>4</v>
      </c>
      <c r="C56" s="24">
        <v>-61.68</v>
      </c>
    </row>
    <row r="57" spans="1:3" x14ac:dyDescent="0.3">
      <c r="A57" s="26">
        <v>46020</v>
      </c>
      <c r="B57" s="27" t="s">
        <v>1</v>
      </c>
      <c r="C57" s="24">
        <v>55.18</v>
      </c>
    </row>
    <row r="58" spans="1:3" x14ac:dyDescent="0.3">
      <c r="A58" s="26">
        <v>46029</v>
      </c>
      <c r="B58" s="27" t="s">
        <v>4</v>
      </c>
      <c r="C58" s="24">
        <v>-55.18</v>
      </c>
    </row>
    <row r="59" spans="1:3" x14ac:dyDescent="0.3">
      <c r="A59" s="26">
        <v>46029</v>
      </c>
      <c r="B59" s="27" t="s">
        <v>1</v>
      </c>
      <c r="C59" s="24">
        <v>34.840000000000003</v>
      </c>
    </row>
    <row r="60" spans="1:3" x14ac:dyDescent="0.3">
      <c r="A60" s="26">
        <v>46036</v>
      </c>
      <c r="B60" s="27" t="s">
        <v>4</v>
      </c>
      <c r="C60" s="24">
        <v>-30.32</v>
      </c>
    </row>
    <row r="61" spans="1:3" x14ac:dyDescent="0.3">
      <c r="A61" s="26">
        <v>46036</v>
      </c>
      <c r="B61" s="27" t="s">
        <v>1</v>
      </c>
      <c r="C61" s="24">
        <v>56.08</v>
      </c>
    </row>
    <row r="62" spans="1:3" x14ac:dyDescent="0.3">
      <c r="A62" s="26">
        <v>46036</v>
      </c>
      <c r="B62" s="27" t="s">
        <v>7</v>
      </c>
      <c r="C62" s="24">
        <v>-1.6</v>
      </c>
    </row>
    <row r="63" spans="1:3" x14ac:dyDescent="0.3">
      <c r="A63" s="26">
        <v>46043</v>
      </c>
      <c r="B63" s="27" t="s">
        <v>4</v>
      </c>
      <c r="C63" s="24">
        <v>-43.19</v>
      </c>
    </row>
    <row r="64" spans="1:3" x14ac:dyDescent="0.3">
      <c r="A64" s="26">
        <v>46047</v>
      </c>
      <c r="B64" s="27" t="s">
        <v>4</v>
      </c>
      <c r="C64" s="24">
        <v>-16</v>
      </c>
    </row>
    <row r="65" spans="1:3" x14ac:dyDescent="0.3">
      <c r="A65" s="26">
        <v>46050</v>
      </c>
      <c r="B65" s="27" t="s">
        <v>1</v>
      </c>
      <c r="C65" s="24">
        <v>17.63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C88F-6B8D-494C-AB53-02F3EFC2E9A7}">
  <sheetPr codeName="Hoja109"/>
  <dimension ref="A1:I94"/>
  <sheetViews>
    <sheetView view="pageBreakPreview" zoomScale="80" zoomScaleNormal="100" zoomScaleSheetLayoutView="80" workbookViewId="0">
      <selection activeCell="C94" sqref="C94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44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 t="s">
        <v>45</v>
      </c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0.29999999999999716</v>
      </c>
      <c r="D3" s="20">
        <f>SUM(D$4:D$1048576)</f>
        <v>0</v>
      </c>
      <c r="E3" s="20">
        <f>SUM(E$5:E$1048576)</f>
        <v>1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45814</v>
      </c>
      <c r="B5" s="28" t="s">
        <v>4</v>
      </c>
      <c r="C5" s="24">
        <v>-24.85</v>
      </c>
      <c r="D5" s="30"/>
      <c r="E5" s="30"/>
      <c r="F5" s="30"/>
      <c r="G5" s="22"/>
    </row>
    <row r="6" spans="1:9" hidden="1" x14ac:dyDescent="0.3">
      <c r="A6" s="26">
        <v>45813</v>
      </c>
      <c r="B6" s="32" t="s">
        <v>21</v>
      </c>
      <c r="C6" s="24">
        <v>24.85</v>
      </c>
    </row>
    <row r="7" spans="1:9" hidden="1" x14ac:dyDescent="0.3">
      <c r="A7" s="26">
        <v>45819</v>
      </c>
      <c r="B7" s="32" t="s">
        <v>21</v>
      </c>
      <c r="C7" s="24">
        <v>14.34</v>
      </c>
    </row>
    <row r="8" spans="1:9" hidden="1" x14ac:dyDescent="0.3">
      <c r="A8" s="26">
        <v>45820</v>
      </c>
      <c r="B8" s="27" t="s">
        <v>4</v>
      </c>
      <c r="C8" s="24">
        <v>-14.34</v>
      </c>
    </row>
    <row r="9" spans="1:9" hidden="1" x14ac:dyDescent="0.3">
      <c r="A9" s="26">
        <v>45826</v>
      </c>
      <c r="B9" s="32" t="s">
        <v>21</v>
      </c>
      <c r="C9" s="24">
        <v>51.09</v>
      </c>
      <c r="E9" s="25">
        <v>1</v>
      </c>
      <c r="I9" s="25"/>
    </row>
    <row r="10" spans="1:9" hidden="1" x14ac:dyDescent="0.3">
      <c r="A10" s="26">
        <v>45826</v>
      </c>
      <c r="B10" s="34" t="s">
        <v>21</v>
      </c>
      <c r="C10" s="24">
        <v>44.49</v>
      </c>
    </row>
    <row r="11" spans="1:9" hidden="1" x14ac:dyDescent="0.3">
      <c r="A11" s="26">
        <v>45826</v>
      </c>
      <c r="B11" s="46" t="s">
        <v>21</v>
      </c>
      <c r="C11" s="24">
        <v>5.65</v>
      </c>
    </row>
    <row r="12" spans="1:9" hidden="1" x14ac:dyDescent="0.3">
      <c r="A12" s="26">
        <v>45828</v>
      </c>
      <c r="B12" s="31" t="s">
        <v>4</v>
      </c>
      <c r="C12" s="24">
        <v>-101.29</v>
      </c>
    </row>
    <row r="13" spans="1:9" hidden="1" x14ac:dyDescent="0.3">
      <c r="A13" s="26">
        <v>45840</v>
      </c>
      <c r="B13" s="32" t="s">
        <v>21</v>
      </c>
      <c r="C13" s="24">
        <v>9</v>
      </c>
    </row>
    <row r="14" spans="1:9" hidden="1" x14ac:dyDescent="0.3">
      <c r="A14" s="26">
        <v>45840</v>
      </c>
      <c r="B14" s="34" t="s">
        <v>21</v>
      </c>
      <c r="C14" s="24">
        <v>29.42</v>
      </c>
    </row>
    <row r="15" spans="1:9" hidden="1" x14ac:dyDescent="0.3">
      <c r="A15" s="26">
        <v>45847</v>
      </c>
      <c r="B15" s="27" t="s">
        <v>4</v>
      </c>
      <c r="C15" s="24">
        <v>-38.42</v>
      </c>
    </row>
    <row r="16" spans="1:9" hidden="1" x14ac:dyDescent="0.3">
      <c r="A16" s="26">
        <v>45854</v>
      </c>
      <c r="B16" s="32" t="s">
        <v>21</v>
      </c>
      <c r="C16" s="24">
        <v>16.5</v>
      </c>
    </row>
    <row r="17" spans="1:3" hidden="1" x14ac:dyDescent="0.3">
      <c r="A17" s="26">
        <v>45854</v>
      </c>
      <c r="B17" s="34" t="s">
        <v>21</v>
      </c>
      <c r="C17" s="24">
        <v>17.63</v>
      </c>
    </row>
    <row r="18" spans="1:3" hidden="1" x14ac:dyDescent="0.3">
      <c r="A18" s="26">
        <v>45859</v>
      </c>
      <c r="B18" s="27" t="s">
        <v>4</v>
      </c>
      <c r="C18" s="24">
        <v>-34.130000000000003</v>
      </c>
    </row>
    <row r="19" spans="1:3" hidden="1" x14ac:dyDescent="0.3">
      <c r="A19" s="26">
        <v>45861</v>
      </c>
      <c r="B19" s="32" t="s">
        <v>21</v>
      </c>
      <c r="C19" s="24">
        <v>33.19</v>
      </c>
    </row>
    <row r="20" spans="1:3" hidden="1" x14ac:dyDescent="0.3">
      <c r="A20" s="26">
        <v>45864</v>
      </c>
      <c r="B20" s="27" t="s">
        <v>4</v>
      </c>
      <c r="C20" s="24">
        <v>-33.19</v>
      </c>
    </row>
    <row r="21" spans="1:3" hidden="1" x14ac:dyDescent="0.3">
      <c r="A21" s="26">
        <v>45868</v>
      </c>
      <c r="B21" s="32" t="s">
        <v>21</v>
      </c>
      <c r="C21" s="24">
        <v>12</v>
      </c>
    </row>
    <row r="22" spans="1:3" hidden="1" x14ac:dyDescent="0.3">
      <c r="A22" s="26">
        <v>45868</v>
      </c>
      <c r="B22" s="34" t="s">
        <v>21</v>
      </c>
      <c r="C22" s="24">
        <v>38.03</v>
      </c>
    </row>
    <row r="23" spans="1:3" hidden="1" x14ac:dyDescent="0.3">
      <c r="A23" s="26">
        <v>45873</v>
      </c>
      <c r="B23" s="27" t="s">
        <v>4</v>
      </c>
      <c r="C23" s="24">
        <v>-50.03</v>
      </c>
    </row>
    <row r="24" spans="1:3" hidden="1" x14ac:dyDescent="0.3">
      <c r="A24" s="26">
        <v>45875</v>
      </c>
      <c r="B24" s="32" t="s">
        <v>21</v>
      </c>
      <c r="C24" s="24">
        <v>7.5</v>
      </c>
    </row>
    <row r="25" spans="1:3" hidden="1" x14ac:dyDescent="0.3">
      <c r="A25" s="26">
        <v>45875</v>
      </c>
      <c r="B25" s="34" t="s">
        <v>21</v>
      </c>
      <c r="C25" s="24">
        <v>36.14</v>
      </c>
    </row>
    <row r="26" spans="1:3" hidden="1" x14ac:dyDescent="0.3">
      <c r="A26" s="26">
        <v>45881</v>
      </c>
      <c r="B26" s="27" t="s">
        <v>4</v>
      </c>
      <c r="C26" s="24">
        <v>-28.42</v>
      </c>
    </row>
    <row r="27" spans="1:3" hidden="1" x14ac:dyDescent="0.3">
      <c r="A27" s="26">
        <v>45882</v>
      </c>
      <c r="B27" s="27" t="s">
        <v>7</v>
      </c>
      <c r="C27" s="24">
        <v>-15.16</v>
      </c>
    </row>
    <row r="28" spans="1:3" hidden="1" x14ac:dyDescent="0.3">
      <c r="A28" s="26">
        <v>45882</v>
      </c>
      <c r="B28" s="32" t="s">
        <v>21</v>
      </c>
      <c r="C28" s="24">
        <v>21.84</v>
      </c>
    </row>
    <row r="29" spans="1:3" hidden="1" x14ac:dyDescent="0.3">
      <c r="A29" s="26">
        <v>45882</v>
      </c>
      <c r="B29" s="34" t="s">
        <v>21</v>
      </c>
      <c r="C29" s="24">
        <v>30.5</v>
      </c>
    </row>
    <row r="30" spans="1:3" hidden="1" x14ac:dyDescent="0.3">
      <c r="A30" s="26">
        <v>45888</v>
      </c>
      <c r="B30" s="27" t="s">
        <v>4</v>
      </c>
      <c r="C30" s="24">
        <v>-52.34</v>
      </c>
    </row>
    <row r="31" spans="1:3" hidden="1" x14ac:dyDescent="0.3">
      <c r="A31" s="26">
        <v>45889</v>
      </c>
      <c r="B31" s="27" t="s">
        <v>4</v>
      </c>
      <c r="C31" s="24">
        <v>-23.07</v>
      </c>
    </row>
    <row r="32" spans="1:3" hidden="1" x14ac:dyDescent="0.3">
      <c r="A32" s="26">
        <v>45889</v>
      </c>
      <c r="B32" s="32" t="s">
        <v>21</v>
      </c>
      <c r="C32" s="24">
        <v>4.5</v>
      </c>
    </row>
    <row r="33" spans="1:3" hidden="1" x14ac:dyDescent="0.3">
      <c r="A33" s="26">
        <v>45889</v>
      </c>
      <c r="B33" s="34" t="s">
        <v>21</v>
      </c>
      <c r="C33" s="24">
        <v>34.659999999999997</v>
      </c>
    </row>
    <row r="34" spans="1:3" hidden="1" x14ac:dyDescent="0.3">
      <c r="A34" s="26">
        <v>45893</v>
      </c>
      <c r="B34" s="27" t="s">
        <v>4</v>
      </c>
      <c r="C34" s="24">
        <v>-16.100000000000001</v>
      </c>
    </row>
    <row r="35" spans="1:3" hidden="1" x14ac:dyDescent="0.3">
      <c r="A35" s="26">
        <v>45896</v>
      </c>
      <c r="B35" s="27" t="s">
        <v>1</v>
      </c>
      <c r="C35" s="24">
        <v>60.4</v>
      </c>
    </row>
    <row r="36" spans="1:3" hidden="1" x14ac:dyDescent="0.3">
      <c r="A36" s="26">
        <v>45896</v>
      </c>
      <c r="B36" s="32" t="s">
        <v>21</v>
      </c>
      <c r="C36" s="24">
        <v>30.85</v>
      </c>
    </row>
    <row r="37" spans="1:3" hidden="1" x14ac:dyDescent="0.3">
      <c r="A37" s="26">
        <v>45896</v>
      </c>
      <c r="B37" s="34" t="s">
        <v>21</v>
      </c>
      <c r="C37" s="24">
        <v>27.4</v>
      </c>
    </row>
    <row r="38" spans="1:3" hidden="1" x14ac:dyDescent="0.3">
      <c r="A38" s="26">
        <v>45901</v>
      </c>
      <c r="B38" s="27" t="s">
        <v>4</v>
      </c>
      <c r="C38" s="24">
        <v>-58.25</v>
      </c>
    </row>
    <row r="39" spans="1:3" hidden="1" x14ac:dyDescent="0.3">
      <c r="A39" s="26">
        <v>45903</v>
      </c>
      <c r="B39" s="27" t="s">
        <v>7</v>
      </c>
      <c r="C39" s="24">
        <v>-61.29</v>
      </c>
    </row>
    <row r="40" spans="1:3" hidden="1" x14ac:dyDescent="0.3">
      <c r="A40" s="26">
        <v>45903</v>
      </c>
      <c r="B40" s="32" t="s">
        <v>21</v>
      </c>
      <c r="C40" s="24">
        <v>4.5</v>
      </c>
    </row>
    <row r="41" spans="1:3" hidden="1" x14ac:dyDescent="0.3">
      <c r="A41" s="26">
        <v>45903</v>
      </c>
      <c r="B41" s="34" t="s">
        <v>21</v>
      </c>
      <c r="C41" s="24">
        <v>39.99</v>
      </c>
    </row>
    <row r="42" spans="1:3" hidden="1" x14ac:dyDescent="0.3">
      <c r="A42" s="26">
        <v>45910</v>
      </c>
      <c r="B42" s="32" t="s">
        <v>21</v>
      </c>
      <c r="C42" s="24">
        <v>26.34</v>
      </c>
    </row>
    <row r="43" spans="1:3" hidden="1" x14ac:dyDescent="0.3">
      <c r="A43" s="26">
        <v>45910</v>
      </c>
      <c r="B43" s="34" t="s">
        <v>21</v>
      </c>
      <c r="C43" s="24">
        <v>31.35</v>
      </c>
    </row>
    <row r="44" spans="1:3" hidden="1" x14ac:dyDescent="0.3">
      <c r="A44" s="26">
        <v>45911</v>
      </c>
      <c r="B44" s="27" t="s">
        <v>7</v>
      </c>
      <c r="C44" s="24">
        <v>-43.61</v>
      </c>
    </row>
    <row r="45" spans="1:3" hidden="1" x14ac:dyDescent="0.3">
      <c r="A45" s="26">
        <v>45917</v>
      </c>
      <c r="B45" s="27" t="s">
        <v>7</v>
      </c>
      <c r="C45" s="24">
        <v>-57.67</v>
      </c>
    </row>
    <row r="46" spans="1:3" hidden="1" x14ac:dyDescent="0.3">
      <c r="A46" s="26">
        <v>45917</v>
      </c>
      <c r="B46" s="32" t="s">
        <v>21</v>
      </c>
      <c r="C46" s="24">
        <v>24.85</v>
      </c>
    </row>
    <row r="47" spans="1:3" hidden="1" x14ac:dyDescent="0.3">
      <c r="A47" s="26">
        <v>45924</v>
      </c>
      <c r="B47" s="27" t="s">
        <v>7</v>
      </c>
      <c r="C47" s="24">
        <v>-24.87</v>
      </c>
    </row>
    <row r="48" spans="1:3" hidden="1" x14ac:dyDescent="0.3">
      <c r="A48" s="26">
        <v>45924</v>
      </c>
      <c r="B48" s="32" t="s">
        <v>21</v>
      </c>
      <c r="C48" s="24">
        <v>17.100000000000001</v>
      </c>
    </row>
    <row r="49" spans="1:3" hidden="1" x14ac:dyDescent="0.3">
      <c r="A49" s="26">
        <v>45924</v>
      </c>
      <c r="B49" s="34" t="s">
        <v>21</v>
      </c>
      <c r="C49" s="24">
        <v>22.36</v>
      </c>
    </row>
    <row r="50" spans="1:3" hidden="1" x14ac:dyDescent="0.3">
      <c r="A50" s="26">
        <v>45931</v>
      </c>
      <c r="B50" s="27" t="s">
        <v>4</v>
      </c>
      <c r="C50" s="24">
        <v>-10.66</v>
      </c>
    </row>
    <row r="51" spans="1:3" hidden="1" x14ac:dyDescent="0.3">
      <c r="A51" s="26">
        <v>45931</v>
      </c>
      <c r="B51" s="27" t="s">
        <v>7</v>
      </c>
      <c r="C51" s="24">
        <v>-28.8</v>
      </c>
    </row>
    <row r="52" spans="1:3" hidden="1" x14ac:dyDescent="0.3">
      <c r="A52" s="26">
        <v>45931</v>
      </c>
      <c r="B52" s="32" t="s">
        <v>21</v>
      </c>
      <c r="C52" s="24">
        <v>9.84</v>
      </c>
    </row>
    <row r="53" spans="1:3" hidden="1" x14ac:dyDescent="0.3">
      <c r="A53" s="26">
        <v>45931</v>
      </c>
      <c r="B53" s="34" t="s">
        <v>21</v>
      </c>
      <c r="C53" s="24">
        <v>8.0299999999999994</v>
      </c>
    </row>
    <row r="54" spans="1:3" hidden="1" x14ac:dyDescent="0.3">
      <c r="A54" s="26">
        <v>45933</v>
      </c>
      <c r="B54" s="27" t="s">
        <v>4</v>
      </c>
      <c r="C54" s="24">
        <v>-17.87</v>
      </c>
    </row>
    <row r="55" spans="1:3" hidden="1" x14ac:dyDescent="0.3">
      <c r="A55" s="26">
        <v>45938</v>
      </c>
      <c r="B55" s="32" t="s">
        <v>21</v>
      </c>
      <c r="C55" s="24">
        <v>16.5</v>
      </c>
    </row>
    <row r="56" spans="1:3" hidden="1" x14ac:dyDescent="0.3">
      <c r="A56" s="26">
        <v>45938</v>
      </c>
      <c r="B56" s="34" t="s">
        <v>21</v>
      </c>
      <c r="C56" s="24">
        <v>17.96</v>
      </c>
    </row>
    <row r="57" spans="1:3" hidden="1" x14ac:dyDescent="0.3">
      <c r="A57" s="26">
        <v>45940</v>
      </c>
      <c r="B57" s="27" t="s">
        <v>4</v>
      </c>
      <c r="C57" s="24">
        <v>-34.46</v>
      </c>
    </row>
    <row r="58" spans="1:3" hidden="1" x14ac:dyDescent="0.3">
      <c r="A58" s="26">
        <v>45945</v>
      </c>
      <c r="B58" s="32" t="s">
        <v>21</v>
      </c>
      <c r="C58" s="24">
        <v>17.34</v>
      </c>
    </row>
    <row r="59" spans="1:3" hidden="1" x14ac:dyDescent="0.3">
      <c r="A59" s="26">
        <v>45945</v>
      </c>
      <c r="B59" s="34" t="s">
        <v>21</v>
      </c>
      <c r="C59" s="24">
        <v>19.190000000000001</v>
      </c>
    </row>
    <row r="60" spans="1:3" hidden="1" x14ac:dyDescent="0.3">
      <c r="A60" s="26">
        <v>45951</v>
      </c>
      <c r="B60" s="27" t="s">
        <v>4</v>
      </c>
      <c r="C60" s="24">
        <v>-36.53</v>
      </c>
    </row>
    <row r="61" spans="1:3" hidden="1" x14ac:dyDescent="0.3">
      <c r="A61" s="26">
        <v>45952</v>
      </c>
      <c r="B61" s="32" t="s">
        <v>21</v>
      </c>
      <c r="C61" s="24">
        <v>16.38</v>
      </c>
    </row>
    <row r="62" spans="1:3" hidden="1" x14ac:dyDescent="0.3">
      <c r="A62" s="26">
        <v>45952</v>
      </c>
      <c r="B62" s="34" t="s">
        <v>21</v>
      </c>
      <c r="C62" s="24">
        <v>27.82</v>
      </c>
    </row>
    <row r="63" spans="1:3" hidden="1" x14ac:dyDescent="0.3">
      <c r="A63" s="26">
        <v>45959</v>
      </c>
      <c r="B63" s="27" t="s">
        <v>4</v>
      </c>
      <c r="C63" s="24">
        <v>-44.2</v>
      </c>
    </row>
    <row r="64" spans="1:3" hidden="1" x14ac:dyDescent="0.3">
      <c r="A64" s="26">
        <v>45959</v>
      </c>
      <c r="B64" s="32" t="s">
        <v>21</v>
      </c>
      <c r="C64" s="24">
        <v>9.84</v>
      </c>
    </row>
    <row r="65" spans="1:3" hidden="1" x14ac:dyDescent="0.3">
      <c r="A65" s="26">
        <v>45959</v>
      </c>
      <c r="B65" s="34" t="s">
        <v>21</v>
      </c>
      <c r="C65" s="24">
        <v>9.34</v>
      </c>
    </row>
    <row r="66" spans="1:3" hidden="1" x14ac:dyDescent="0.3">
      <c r="A66" s="26">
        <v>45966</v>
      </c>
      <c r="B66" s="27" t="s">
        <v>4</v>
      </c>
      <c r="C66" s="24">
        <v>-19.18</v>
      </c>
    </row>
    <row r="67" spans="1:3" hidden="1" x14ac:dyDescent="0.3">
      <c r="A67" s="26">
        <v>45966</v>
      </c>
      <c r="B67" s="32" t="s">
        <v>21</v>
      </c>
      <c r="C67" s="24">
        <v>12</v>
      </c>
    </row>
    <row r="68" spans="1:3" hidden="1" x14ac:dyDescent="0.3">
      <c r="A68" s="26">
        <v>45966</v>
      </c>
      <c r="B68" s="34" t="s">
        <v>21</v>
      </c>
      <c r="C68" s="24">
        <v>46.48</v>
      </c>
    </row>
    <row r="69" spans="1:3" hidden="1" x14ac:dyDescent="0.3">
      <c r="A69" s="26">
        <v>45973</v>
      </c>
      <c r="B69" s="27" t="s">
        <v>4</v>
      </c>
      <c r="C69" s="24">
        <v>-21.46</v>
      </c>
    </row>
    <row r="70" spans="1:3" hidden="1" x14ac:dyDescent="0.3">
      <c r="A70" s="26">
        <v>45973</v>
      </c>
      <c r="B70" s="27" t="s">
        <v>1</v>
      </c>
      <c r="C70" s="24">
        <v>46.95</v>
      </c>
    </row>
    <row r="71" spans="1:3" hidden="1" x14ac:dyDescent="0.3">
      <c r="A71" s="26">
        <v>45974</v>
      </c>
      <c r="B71" s="27" t="s">
        <v>4</v>
      </c>
      <c r="C71" s="24">
        <v>-37.03</v>
      </c>
    </row>
    <row r="72" spans="1:3" hidden="1" x14ac:dyDescent="0.3">
      <c r="A72" s="26">
        <v>45979</v>
      </c>
      <c r="B72" s="27" t="s">
        <v>4</v>
      </c>
      <c r="C72" s="24">
        <v>-46.95</v>
      </c>
    </row>
    <row r="73" spans="1:3" hidden="1" x14ac:dyDescent="0.3">
      <c r="A73" s="26">
        <v>45980</v>
      </c>
      <c r="B73" s="27" t="s">
        <v>1</v>
      </c>
      <c r="C73" s="24">
        <v>27.47</v>
      </c>
    </row>
    <row r="74" spans="1:3" hidden="1" x14ac:dyDescent="0.3">
      <c r="A74" s="26">
        <v>45985</v>
      </c>
      <c r="B74" s="27" t="s">
        <v>4</v>
      </c>
      <c r="C74" s="24">
        <v>-27.47</v>
      </c>
    </row>
    <row r="75" spans="1:3" hidden="1" x14ac:dyDescent="0.3">
      <c r="A75" s="26">
        <v>45987</v>
      </c>
      <c r="B75" s="27" t="s">
        <v>1</v>
      </c>
      <c r="C75" s="24">
        <v>34.96</v>
      </c>
    </row>
    <row r="76" spans="1:3" hidden="1" x14ac:dyDescent="0.3">
      <c r="A76" s="26">
        <v>45992</v>
      </c>
      <c r="B76" s="27" t="s">
        <v>4</v>
      </c>
      <c r="C76" s="24">
        <v>-34.96</v>
      </c>
    </row>
    <row r="77" spans="1:3" x14ac:dyDescent="0.3">
      <c r="A77" s="26">
        <v>45994</v>
      </c>
      <c r="B77" s="27" t="s">
        <v>1</v>
      </c>
      <c r="C77" s="24">
        <v>67.319999999999993</v>
      </c>
    </row>
    <row r="78" spans="1:3" x14ac:dyDescent="0.3">
      <c r="A78" s="26">
        <v>46001</v>
      </c>
      <c r="B78" s="27" t="s">
        <v>4</v>
      </c>
      <c r="C78" s="24">
        <v>-67.319999999999993</v>
      </c>
    </row>
    <row r="79" spans="1:3" x14ac:dyDescent="0.3">
      <c r="A79" s="26">
        <v>46001</v>
      </c>
      <c r="B79" s="27" t="s">
        <v>1</v>
      </c>
      <c r="C79" s="24">
        <v>15.77</v>
      </c>
    </row>
    <row r="80" spans="1:3" x14ac:dyDescent="0.3">
      <c r="A80" s="26">
        <v>46008</v>
      </c>
      <c r="B80" s="27" t="s">
        <v>1</v>
      </c>
      <c r="C80" s="24">
        <v>57.43</v>
      </c>
    </row>
    <row r="81" spans="1:3" x14ac:dyDescent="0.3">
      <c r="A81" s="26">
        <v>46014</v>
      </c>
      <c r="B81" s="27" t="s">
        <v>4</v>
      </c>
      <c r="C81" s="24">
        <v>-15.77</v>
      </c>
    </row>
    <row r="82" spans="1:3" x14ac:dyDescent="0.3">
      <c r="A82" s="26">
        <v>46014</v>
      </c>
      <c r="B82" s="27" t="s">
        <v>4</v>
      </c>
      <c r="C82" s="24">
        <v>-57.43</v>
      </c>
    </row>
    <row r="83" spans="1:3" x14ac:dyDescent="0.3">
      <c r="A83" s="26">
        <v>46014</v>
      </c>
      <c r="B83" s="27" t="s">
        <v>1</v>
      </c>
      <c r="C83" s="24">
        <v>69</v>
      </c>
    </row>
    <row r="84" spans="1:3" x14ac:dyDescent="0.3">
      <c r="A84" s="26">
        <v>46020</v>
      </c>
      <c r="B84" s="27" t="s">
        <v>4</v>
      </c>
      <c r="C84" s="24">
        <v>-69</v>
      </c>
    </row>
    <row r="85" spans="1:3" x14ac:dyDescent="0.3">
      <c r="A85" s="26">
        <v>46021</v>
      </c>
      <c r="B85" s="27" t="s">
        <v>1</v>
      </c>
      <c r="C85" s="24">
        <v>7.5</v>
      </c>
    </row>
    <row r="86" spans="1:3" x14ac:dyDescent="0.3">
      <c r="A86" s="26">
        <v>46029</v>
      </c>
      <c r="B86" s="27" t="s">
        <v>4</v>
      </c>
      <c r="C86" s="24">
        <v>-7.5</v>
      </c>
    </row>
    <row r="87" spans="1:3" x14ac:dyDescent="0.3">
      <c r="A87" s="26">
        <v>46029</v>
      </c>
      <c r="B87" s="27" t="s">
        <v>1</v>
      </c>
      <c r="C87" s="24">
        <v>23.18</v>
      </c>
    </row>
    <row r="88" spans="1:3" x14ac:dyDescent="0.3">
      <c r="A88" s="26">
        <v>46031</v>
      </c>
      <c r="B88" s="27" t="s">
        <v>4</v>
      </c>
      <c r="C88" s="24">
        <v>-23.18</v>
      </c>
    </row>
    <row r="89" spans="1:3" x14ac:dyDescent="0.3">
      <c r="A89" s="26">
        <v>46036</v>
      </c>
      <c r="B89" s="27" t="s">
        <v>1</v>
      </c>
      <c r="C89" s="24">
        <v>31.62</v>
      </c>
    </row>
    <row r="90" spans="1:3" x14ac:dyDescent="0.3">
      <c r="A90" s="26">
        <v>46038</v>
      </c>
      <c r="B90" s="27" t="s">
        <v>4</v>
      </c>
      <c r="C90" s="24">
        <v>-31.62</v>
      </c>
    </row>
    <row r="91" spans="1:3" x14ac:dyDescent="0.3">
      <c r="A91" s="26">
        <v>46043</v>
      </c>
      <c r="B91" s="27" t="s">
        <v>1</v>
      </c>
      <c r="C91" s="24">
        <v>35.619999999999997</v>
      </c>
    </row>
    <row r="92" spans="1:3" x14ac:dyDescent="0.3">
      <c r="A92" s="26">
        <v>46049</v>
      </c>
      <c r="B92" s="27" t="s">
        <v>4</v>
      </c>
      <c r="C92" s="24">
        <v>-35.29</v>
      </c>
    </row>
    <row r="93" spans="1:3" x14ac:dyDescent="0.3">
      <c r="A93" s="26">
        <v>46050</v>
      </c>
      <c r="B93" s="27" t="s">
        <v>1</v>
      </c>
      <c r="C93" s="24">
        <v>109.48</v>
      </c>
    </row>
    <row r="94" spans="1:3" x14ac:dyDescent="0.3">
      <c r="A94" s="26">
        <v>46056</v>
      </c>
      <c r="B94" s="27" t="s">
        <v>4</v>
      </c>
      <c r="C94" s="24">
        <v>-109.48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81A33-604A-4F8E-89FE-65755A52D4E7}">
  <sheetPr codeName="Hoja110"/>
  <dimension ref="A1:H44"/>
  <sheetViews>
    <sheetView view="pageBreakPreview" zoomScale="80" zoomScaleNormal="100" zoomScaleSheetLayoutView="80" workbookViewId="0">
      <selection activeCell="C45" sqref="C4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177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11.859999999999998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45819</v>
      </c>
      <c r="B5" s="32" t="s">
        <v>21</v>
      </c>
      <c r="C5" s="24">
        <v>15.85</v>
      </c>
      <c r="D5" s="30"/>
      <c r="E5" s="30"/>
      <c r="F5" s="30"/>
      <c r="G5" s="22"/>
    </row>
    <row r="6" spans="1:8" hidden="1" x14ac:dyDescent="0.3">
      <c r="A6" s="21">
        <v>45838</v>
      </c>
      <c r="B6" s="27" t="s">
        <v>4</v>
      </c>
      <c r="C6" s="24">
        <v>-15.85</v>
      </c>
    </row>
    <row r="7" spans="1:8" hidden="1" x14ac:dyDescent="0.3">
      <c r="A7" s="21">
        <v>45840</v>
      </c>
      <c r="B7" s="32" t="s">
        <v>21</v>
      </c>
      <c r="C7" s="24">
        <v>26.15</v>
      </c>
    </row>
    <row r="8" spans="1:8" hidden="1" x14ac:dyDescent="0.3">
      <c r="A8" s="21">
        <v>45840</v>
      </c>
      <c r="B8" s="34" t="s">
        <v>21</v>
      </c>
      <c r="C8" s="24">
        <v>11.43</v>
      </c>
    </row>
    <row r="9" spans="1:8" hidden="1" x14ac:dyDescent="0.3">
      <c r="A9" s="26">
        <v>45853</v>
      </c>
      <c r="B9" s="27" t="s">
        <v>4</v>
      </c>
      <c r="C9" s="24">
        <v>-37.58</v>
      </c>
    </row>
    <row r="10" spans="1:8" hidden="1" x14ac:dyDescent="0.3">
      <c r="A10" s="26">
        <v>45860</v>
      </c>
      <c r="B10" s="32" t="s">
        <v>21</v>
      </c>
      <c r="C10" s="24">
        <v>23.65</v>
      </c>
    </row>
    <row r="11" spans="1:8" hidden="1" x14ac:dyDescent="0.3">
      <c r="A11" s="26">
        <v>45860</v>
      </c>
      <c r="B11" s="34" t="s">
        <v>21</v>
      </c>
      <c r="C11" s="24">
        <v>3.62</v>
      </c>
    </row>
    <row r="12" spans="1:8" hidden="1" x14ac:dyDescent="0.3">
      <c r="A12" s="26">
        <v>45874</v>
      </c>
      <c r="B12" s="31" t="s">
        <v>4</v>
      </c>
      <c r="C12" s="24">
        <v>-27.27</v>
      </c>
    </row>
    <row r="13" spans="1:8" hidden="1" x14ac:dyDescent="0.3">
      <c r="A13" s="26">
        <v>45888</v>
      </c>
      <c r="B13" s="32" t="s">
        <v>21</v>
      </c>
      <c r="C13" s="24">
        <v>33.49</v>
      </c>
    </row>
    <row r="14" spans="1:8" hidden="1" x14ac:dyDescent="0.3">
      <c r="A14" s="26">
        <v>45888</v>
      </c>
      <c r="B14" s="34" t="s">
        <v>21</v>
      </c>
      <c r="C14" s="24">
        <v>8.57</v>
      </c>
    </row>
    <row r="15" spans="1:8" hidden="1" x14ac:dyDescent="0.3">
      <c r="A15" s="26">
        <v>45895</v>
      </c>
      <c r="B15" s="27" t="s">
        <v>4</v>
      </c>
      <c r="C15" s="24">
        <v>-42.06</v>
      </c>
    </row>
    <row r="16" spans="1:8" hidden="1" x14ac:dyDescent="0.3">
      <c r="A16" s="26">
        <v>45902</v>
      </c>
      <c r="B16" s="32" t="s">
        <v>21</v>
      </c>
      <c r="C16" s="24">
        <v>19.68</v>
      </c>
    </row>
    <row r="17" spans="1:3" hidden="1" x14ac:dyDescent="0.3">
      <c r="A17" s="26">
        <v>45902</v>
      </c>
      <c r="B17" s="34" t="s">
        <v>21</v>
      </c>
      <c r="C17" s="24">
        <v>13.23</v>
      </c>
    </row>
    <row r="18" spans="1:3" hidden="1" x14ac:dyDescent="0.3">
      <c r="A18" s="26">
        <v>45916</v>
      </c>
      <c r="B18" s="27" t="s">
        <v>4</v>
      </c>
      <c r="C18" s="24">
        <v>-19.68</v>
      </c>
    </row>
    <row r="19" spans="1:3" hidden="1" x14ac:dyDescent="0.3">
      <c r="A19" s="26">
        <v>45919</v>
      </c>
      <c r="B19" s="27" t="s">
        <v>4</v>
      </c>
      <c r="C19" s="24">
        <v>-13.23</v>
      </c>
    </row>
    <row r="20" spans="1:3" hidden="1" x14ac:dyDescent="0.3">
      <c r="A20" s="26">
        <v>45923</v>
      </c>
      <c r="B20" s="32" t="s">
        <v>21</v>
      </c>
      <c r="C20" s="24">
        <v>15.85</v>
      </c>
    </row>
    <row r="21" spans="1:3" hidden="1" x14ac:dyDescent="0.3">
      <c r="A21" s="26">
        <v>45923</v>
      </c>
      <c r="B21" s="34" t="s">
        <v>21</v>
      </c>
      <c r="C21" s="24">
        <v>2.14</v>
      </c>
    </row>
    <row r="22" spans="1:3" hidden="1" x14ac:dyDescent="0.3">
      <c r="A22" s="26">
        <v>45930</v>
      </c>
      <c r="B22" s="32" t="s">
        <v>21</v>
      </c>
      <c r="C22" s="24">
        <v>7.5</v>
      </c>
    </row>
    <row r="23" spans="1:3" hidden="1" x14ac:dyDescent="0.3">
      <c r="A23" s="26">
        <v>45930</v>
      </c>
      <c r="B23" s="34" t="s">
        <v>21</v>
      </c>
      <c r="C23" s="24">
        <v>8.2100000000000009</v>
      </c>
    </row>
    <row r="24" spans="1:3" hidden="1" x14ac:dyDescent="0.3">
      <c r="A24" s="26">
        <v>45932</v>
      </c>
      <c r="B24" s="27" t="s">
        <v>4</v>
      </c>
      <c r="C24" s="24">
        <v>-17.989999999999998</v>
      </c>
    </row>
    <row r="25" spans="1:3" hidden="1" x14ac:dyDescent="0.3">
      <c r="A25" s="26">
        <v>45944</v>
      </c>
      <c r="B25" s="27" t="s">
        <v>4</v>
      </c>
      <c r="C25" s="24">
        <v>-15.71</v>
      </c>
    </row>
    <row r="26" spans="1:3" hidden="1" x14ac:dyDescent="0.3">
      <c r="A26" s="26">
        <v>45944</v>
      </c>
      <c r="B26" s="32" t="s">
        <v>21</v>
      </c>
      <c r="C26" s="24">
        <v>33.72</v>
      </c>
    </row>
    <row r="27" spans="1:3" hidden="1" x14ac:dyDescent="0.3">
      <c r="A27" s="26">
        <v>45944</v>
      </c>
      <c r="B27" s="34" t="s">
        <v>21</v>
      </c>
      <c r="C27" s="24">
        <v>10.74</v>
      </c>
    </row>
    <row r="28" spans="1:3" hidden="1" x14ac:dyDescent="0.3">
      <c r="A28" s="26">
        <v>45945</v>
      </c>
      <c r="B28" s="27" t="s">
        <v>4</v>
      </c>
      <c r="C28" s="24">
        <v>-44.46</v>
      </c>
    </row>
    <row r="29" spans="1:3" hidden="1" x14ac:dyDescent="0.3">
      <c r="A29" s="26">
        <v>45958</v>
      </c>
      <c r="B29" s="32" t="s">
        <v>21</v>
      </c>
      <c r="C29" s="24">
        <v>24.18</v>
      </c>
    </row>
    <row r="30" spans="1:3" hidden="1" x14ac:dyDescent="0.3">
      <c r="A30" s="26">
        <v>45958</v>
      </c>
      <c r="B30" s="34" t="s">
        <v>21</v>
      </c>
      <c r="C30" s="24">
        <v>6.75</v>
      </c>
    </row>
    <row r="31" spans="1:3" hidden="1" x14ac:dyDescent="0.3">
      <c r="A31" s="26">
        <v>45972</v>
      </c>
      <c r="B31" s="27" t="s">
        <v>4</v>
      </c>
      <c r="C31" s="24">
        <v>-30.93</v>
      </c>
    </row>
    <row r="32" spans="1:3" x14ac:dyDescent="0.3">
      <c r="A32" s="26">
        <v>45972</v>
      </c>
      <c r="B32" s="27" t="s">
        <v>1</v>
      </c>
      <c r="C32" s="24">
        <v>29.13</v>
      </c>
    </row>
    <row r="33" spans="1:3" x14ac:dyDescent="0.3">
      <c r="A33" s="26">
        <v>45986</v>
      </c>
      <c r="B33" s="27" t="s">
        <v>4</v>
      </c>
      <c r="C33" s="24">
        <v>-30.93</v>
      </c>
    </row>
    <row r="34" spans="1:3" x14ac:dyDescent="0.3">
      <c r="A34" s="26">
        <v>45986</v>
      </c>
      <c r="B34" s="27" t="s">
        <v>1</v>
      </c>
      <c r="C34" s="24">
        <v>23.08</v>
      </c>
    </row>
    <row r="35" spans="1:3" x14ac:dyDescent="0.3">
      <c r="A35" s="26">
        <v>46000</v>
      </c>
      <c r="B35" s="27" t="s">
        <v>4</v>
      </c>
      <c r="C35" s="24">
        <v>-23.08</v>
      </c>
    </row>
    <row r="36" spans="1:3" x14ac:dyDescent="0.3">
      <c r="A36" s="26">
        <v>46000</v>
      </c>
      <c r="B36" s="27" t="s">
        <v>1</v>
      </c>
      <c r="C36" s="24">
        <v>21.46</v>
      </c>
    </row>
    <row r="37" spans="1:3" x14ac:dyDescent="0.3">
      <c r="A37" s="26">
        <v>46010</v>
      </c>
      <c r="B37" s="27" t="s">
        <v>4</v>
      </c>
      <c r="C37" s="24">
        <v>-21.4</v>
      </c>
    </row>
    <row r="38" spans="1:3" x14ac:dyDescent="0.3">
      <c r="A38" s="26">
        <v>46013</v>
      </c>
      <c r="B38" s="27" t="s">
        <v>1</v>
      </c>
      <c r="C38" s="24">
        <v>21.46</v>
      </c>
    </row>
    <row r="39" spans="1:3" x14ac:dyDescent="0.3">
      <c r="A39" s="26">
        <v>46028</v>
      </c>
      <c r="B39" s="27" t="s">
        <v>4</v>
      </c>
      <c r="C39" s="24">
        <v>-21.46</v>
      </c>
    </row>
    <row r="40" spans="1:3" x14ac:dyDescent="0.3">
      <c r="A40" s="26">
        <v>46028</v>
      </c>
      <c r="B40" s="27" t="s">
        <v>1</v>
      </c>
      <c r="C40" s="24">
        <v>42.93</v>
      </c>
    </row>
    <row r="41" spans="1:3" x14ac:dyDescent="0.3">
      <c r="A41" s="26">
        <v>46042</v>
      </c>
      <c r="B41" s="27" t="s">
        <v>4</v>
      </c>
      <c r="C41" s="24">
        <v>-42.93</v>
      </c>
    </row>
    <row r="42" spans="1:3" x14ac:dyDescent="0.3">
      <c r="A42" s="26">
        <v>46042</v>
      </c>
      <c r="B42" s="27" t="s">
        <v>1</v>
      </c>
      <c r="C42" s="24">
        <v>17.28</v>
      </c>
    </row>
    <row r="43" spans="1:3" x14ac:dyDescent="0.3">
      <c r="A43" s="26">
        <v>46056</v>
      </c>
      <c r="B43" s="27" t="s">
        <v>4</v>
      </c>
      <c r="C43" s="24">
        <v>-17.28</v>
      </c>
    </row>
    <row r="44" spans="1:3" x14ac:dyDescent="0.3">
      <c r="A44" s="26">
        <v>46056</v>
      </c>
      <c r="B44" s="27" t="s">
        <v>1</v>
      </c>
      <c r="C44" s="24">
        <v>13.6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00A0-0C5A-4ECB-8A42-F6C6E70541B2}">
  <sheetPr codeName="Hoja111"/>
  <dimension ref="A1:I36"/>
  <sheetViews>
    <sheetView view="pageBreakPreview" zoomScale="80" zoomScaleNormal="100" zoomScaleSheetLayoutView="80" workbookViewId="0">
      <selection activeCell="C36" sqref="C3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161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 t="s">
        <v>162</v>
      </c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34.089999999999989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45819</v>
      </c>
      <c r="B5" s="32" t="s">
        <v>21</v>
      </c>
      <c r="C5" s="24">
        <v>23.55</v>
      </c>
      <c r="D5" s="30"/>
      <c r="E5" s="30"/>
      <c r="F5" s="30"/>
      <c r="G5" s="22"/>
    </row>
    <row r="6" spans="1:9" hidden="1" x14ac:dyDescent="0.3">
      <c r="A6" s="26">
        <v>45832</v>
      </c>
      <c r="B6" s="27" t="s">
        <v>4</v>
      </c>
      <c r="C6" s="24">
        <v>-23.81</v>
      </c>
    </row>
    <row r="7" spans="1:9" hidden="1" x14ac:dyDescent="0.3">
      <c r="A7" s="26">
        <v>45832</v>
      </c>
      <c r="B7" s="32" t="s">
        <v>1</v>
      </c>
      <c r="C7" s="24">
        <v>7.5</v>
      </c>
    </row>
    <row r="8" spans="1:9" hidden="1" x14ac:dyDescent="0.3">
      <c r="A8" s="26">
        <v>45839</v>
      </c>
      <c r="B8" s="27" t="s">
        <v>7</v>
      </c>
      <c r="C8" s="24">
        <v>-7.5</v>
      </c>
    </row>
    <row r="9" spans="1:9" hidden="1" x14ac:dyDescent="0.3">
      <c r="A9" s="26">
        <v>45839</v>
      </c>
      <c r="B9" s="27" t="s">
        <v>1</v>
      </c>
      <c r="C9" s="24">
        <v>20.8</v>
      </c>
      <c r="I9" s="25"/>
    </row>
    <row r="10" spans="1:9" hidden="1" x14ac:dyDescent="0.3">
      <c r="A10" s="26">
        <v>45839</v>
      </c>
      <c r="B10" s="32" t="s">
        <v>1</v>
      </c>
      <c r="C10" s="24">
        <v>23.35</v>
      </c>
    </row>
    <row r="11" spans="1:9" hidden="1" x14ac:dyDescent="0.3">
      <c r="A11" s="26">
        <v>45915</v>
      </c>
      <c r="B11" s="27" t="s">
        <v>4</v>
      </c>
      <c r="C11" s="24">
        <v>-18.7</v>
      </c>
    </row>
    <row r="12" spans="1:9" hidden="1" x14ac:dyDescent="0.3">
      <c r="A12" s="26">
        <v>45937</v>
      </c>
      <c r="B12" s="31" t="s">
        <v>4</v>
      </c>
      <c r="C12" s="24">
        <v>-25.19</v>
      </c>
    </row>
    <row r="13" spans="1:9" hidden="1" x14ac:dyDescent="0.3">
      <c r="A13" s="26">
        <v>45937</v>
      </c>
      <c r="B13" s="32" t="s">
        <v>1</v>
      </c>
      <c r="C13" s="24">
        <v>31.38</v>
      </c>
    </row>
    <row r="14" spans="1:9" hidden="1" x14ac:dyDescent="0.3">
      <c r="A14" s="26">
        <v>45944</v>
      </c>
      <c r="B14" s="27" t="s">
        <v>4</v>
      </c>
      <c r="C14" s="24">
        <v>-31.38</v>
      </c>
    </row>
    <row r="15" spans="1:9" hidden="1" x14ac:dyDescent="0.3">
      <c r="A15" s="26">
        <v>45944</v>
      </c>
      <c r="B15" s="32" t="s">
        <v>1</v>
      </c>
      <c r="C15" s="24">
        <v>19.5</v>
      </c>
    </row>
    <row r="16" spans="1:9" hidden="1" x14ac:dyDescent="0.3">
      <c r="A16" s="26">
        <v>45944</v>
      </c>
      <c r="B16" s="32" t="s">
        <v>1</v>
      </c>
      <c r="C16" s="24">
        <v>64.83</v>
      </c>
    </row>
    <row r="17" spans="1:3" hidden="1" x14ac:dyDescent="0.3">
      <c r="A17" s="26">
        <v>45953</v>
      </c>
      <c r="B17" s="27" t="s">
        <v>4</v>
      </c>
      <c r="C17" s="24">
        <v>-14.12</v>
      </c>
    </row>
    <row r="18" spans="1:3" hidden="1" x14ac:dyDescent="0.3">
      <c r="A18" s="26">
        <v>45958</v>
      </c>
      <c r="B18" s="27" t="s">
        <v>4</v>
      </c>
      <c r="C18" s="24">
        <v>-32.090000000000003</v>
      </c>
    </row>
    <row r="19" spans="1:3" hidden="1" x14ac:dyDescent="0.3">
      <c r="A19" s="26">
        <v>45958</v>
      </c>
      <c r="B19" s="27" t="s">
        <v>4</v>
      </c>
      <c r="C19" s="24">
        <v>-32.090000000000003</v>
      </c>
    </row>
    <row r="20" spans="1:3" hidden="1" x14ac:dyDescent="0.3">
      <c r="A20" s="26">
        <v>45958</v>
      </c>
      <c r="B20" s="32" t="s">
        <v>1</v>
      </c>
      <c r="C20" s="24">
        <v>75.08</v>
      </c>
    </row>
    <row r="21" spans="1:3" hidden="1" x14ac:dyDescent="0.3">
      <c r="A21" s="26">
        <v>45958</v>
      </c>
      <c r="B21" s="34" t="s">
        <v>1</v>
      </c>
      <c r="C21" s="24">
        <v>9.1999999999999993</v>
      </c>
    </row>
    <row r="22" spans="1:3" hidden="1" x14ac:dyDescent="0.3">
      <c r="A22" s="26">
        <v>45965</v>
      </c>
      <c r="B22" s="27" t="s">
        <v>4</v>
      </c>
      <c r="C22" s="24">
        <v>-33.43</v>
      </c>
    </row>
    <row r="23" spans="1:3" hidden="1" x14ac:dyDescent="0.3">
      <c r="A23" s="26">
        <v>45973</v>
      </c>
      <c r="B23" s="27" t="s">
        <v>4</v>
      </c>
      <c r="C23" s="24">
        <v>-30.04</v>
      </c>
    </row>
    <row r="24" spans="1:3" hidden="1" x14ac:dyDescent="0.3">
      <c r="A24" s="26">
        <v>45987</v>
      </c>
      <c r="B24" s="27" t="s">
        <v>4</v>
      </c>
      <c r="C24" s="24">
        <v>-26.84</v>
      </c>
    </row>
    <row r="25" spans="1:3" x14ac:dyDescent="0.3">
      <c r="A25" s="26">
        <v>45993</v>
      </c>
      <c r="B25" s="27" t="s">
        <v>1</v>
      </c>
      <c r="C25" s="24">
        <v>101.99</v>
      </c>
    </row>
    <row r="26" spans="1:3" x14ac:dyDescent="0.3">
      <c r="A26" s="26">
        <v>45999</v>
      </c>
      <c r="B26" s="27" t="s">
        <v>4</v>
      </c>
      <c r="C26" s="24">
        <v>-19.39</v>
      </c>
    </row>
    <row r="27" spans="1:3" x14ac:dyDescent="0.3">
      <c r="A27" s="26">
        <v>46000</v>
      </c>
      <c r="B27" s="27" t="s">
        <v>4</v>
      </c>
      <c r="C27" s="24">
        <v>-19.39</v>
      </c>
    </row>
    <row r="28" spans="1:3" x14ac:dyDescent="0.3">
      <c r="A28" s="26">
        <v>46007</v>
      </c>
      <c r="B28" s="27" t="s">
        <v>4</v>
      </c>
      <c r="C28" s="24">
        <v>-50.44</v>
      </c>
    </row>
    <row r="29" spans="1:3" x14ac:dyDescent="0.3">
      <c r="A29" s="26">
        <v>46007</v>
      </c>
      <c r="B29" s="27" t="s">
        <v>7</v>
      </c>
      <c r="C29" s="24">
        <v>-12.78</v>
      </c>
    </row>
    <row r="30" spans="1:3" x14ac:dyDescent="0.3">
      <c r="A30" s="26">
        <v>46007</v>
      </c>
      <c r="B30" s="27" t="s">
        <v>1</v>
      </c>
      <c r="C30" s="24">
        <v>99.42</v>
      </c>
    </row>
    <row r="31" spans="1:3" x14ac:dyDescent="0.3">
      <c r="A31" s="26">
        <v>46017</v>
      </c>
      <c r="B31" s="27" t="s">
        <v>4</v>
      </c>
      <c r="C31" s="24">
        <v>-51.48</v>
      </c>
    </row>
    <row r="32" spans="1:3" x14ac:dyDescent="0.3">
      <c r="A32" s="26">
        <v>46020</v>
      </c>
      <c r="B32" s="27" t="s">
        <v>4</v>
      </c>
      <c r="C32" s="24">
        <v>-16.95</v>
      </c>
    </row>
    <row r="33" spans="1:3" x14ac:dyDescent="0.3">
      <c r="A33" s="26">
        <v>46020</v>
      </c>
      <c r="B33" s="27" t="s">
        <v>4</v>
      </c>
      <c r="C33" s="24">
        <v>-16.95</v>
      </c>
    </row>
    <row r="34" spans="1:3" x14ac:dyDescent="0.3">
      <c r="A34" s="26">
        <v>46020</v>
      </c>
      <c r="B34" s="27" t="s">
        <v>4</v>
      </c>
      <c r="C34" s="24">
        <v>-13.56</v>
      </c>
    </row>
    <row r="35" spans="1:3" x14ac:dyDescent="0.3">
      <c r="A35" s="26">
        <v>46049</v>
      </c>
      <c r="B35" s="27" t="s">
        <v>1</v>
      </c>
      <c r="C35" s="24">
        <v>73.930000000000007</v>
      </c>
    </row>
    <row r="36" spans="1:3" x14ac:dyDescent="0.3">
      <c r="A36" s="26">
        <v>46056</v>
      </c>
      <c r="B36" s="27" t="s">
        <v>4</v>
      </c>
      <c r="C36" s="24">
        <v>-40.31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C43B1-F364-4F53-A840-6555B0617DA9}">
  <sheetPr codeName="Hoja177"/>
  <dimension ref="A1:P59"/>
  <sheetViews>
    <sheetView view="pageBreakPreview" zoomScale="80" zoomScaleNormal="100" zoomScaleSheetLayoutView="80" workbookViewId="0">
      <selection activeCell="C56" sqref="C5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268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415.49999999999983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45826</v>
      </c>
      <c r="B5" s="32" t="s">
        <v>21</v>
      </c>
      <c r="C5" s="24">
        <v>150.66</v>
      </c>
      <c r="D5" s="30"/>
      <c r="E5" s="30"/>
      <c r="F5" s="30"/>
      <c r="G5" s="22"/>
    </row>
    <row r="6" spans="1:8" hidden="1" x14ac:dyDescent="0.3">
      <c r="A6" s="21">
        <v>45809</v>
      </c>
      <c r="B6" s="27" t="s">
        <v>4</v>
      </c>
      <c r="C6" s="24">
        <v>-150.65</v>
      </c>
    </row>
    <row r="7" spans="1:8" hidden="1" x14ac:dyDescent="0.3">
      <c r="A7" s="26">
        <v>45847</v>
      </c>
      <c r="B7" s="32" t="s">
        <v>21</v>
      </c>
      <c r="C7" s="24">
        <v>49.98</v>
      </c>
    </row>
    <row r="8" spans="1:8" hidden="1" x14ac:dyDescent="0.3">
      <c r="A8" s="26">
        <v>45847</v>
      </c>
      <c r="B8" s="34" t="s">
        <v>21</v>
      </c>
      <c r="C8" s="24">
        <v>49.12</v>
      </c>
    </row>
    <row r="9" spans="1:8" hidden="1" x14ac:dyDescent="0.3">
      <c r="A9" s="26">
        <v>45855</v>
      </c>
      <c r="B9" s="32" t="s">
        <v>21</v>
      </c>
      <c r="C9" s="24">
        <v>24.84</v>
      </c>
    </row>
    <row r="10" spans="1:8" hidden="1" x14ac:dyDescent="0.3">
      <c r="A10" s="26">
        <v>45862</v>
      </c>
      <c r="B10" s="31" t="s">
        <v>4</v>
      </c>
      <c r="C10" s="24">
        <v>-99.1</v>
      </c>
    </row>
    <row r="11" spans="1:8" hidden="1" x14ac:dyDescent="0.3">
      <c r="A11" s="26">
        <v>45862</v>
      </c>
      <c r="B11" s="32" t="s">
        <v>21</v>
      </c>
      <c r="C11" s="24">
        <f>154.76-G11</f>
        <v>138.76</v>
      </c>
      <c r="G11" s="94">
        <v>16</v>
      </c>
    </row>
    <row r="12" spans="1:8" hidden="1" x14ac:dyDescent="0.3">
      <c r="A12" s="26">
        <v>45862</v>
      </c>
      <c r="B12" s="34" t="s">
        <v>21</v>
      </c>
      <c r="C12" s="24">
        <f>104.9-G12</f>
        <v>99.06</v>
      </c>
      <c r="G12" s="94">
        <v>5.84</v>
      </c>
    </row>
    <row r="13" spans="1:8" hidden="1" x14ac:dyDescent="0.3">
      <c r="A13" s="26">
        <v>45867</v>
      </c>
      <c r="B13" s="27" t="s">
        <v>23</v>
      </c>
      <c r="G13" s="94">
        <v>-21.84</v>
      </c>
    </row>
    <row r="14" spans="1:8" hidden="1" x14ac:dyDescent="0.3">
      <c r="A14" s="26">
        <v>45877</v>
      </c>
      <c r="B14" s="27" t="s">
        <v>4</v>
      </c>
      <c r="C14" s="24">
        <v>-237.58</v>
      </c>
    </row>
    <row r="15" spans="1:8" hidden="1" x14ac:dyDescent="0.3">
      <c r="A15" s="26">
        <v>45882</v>
      </c>
      <c r="B15" s="27" t="s">
        <v>4</v>
      </c>
      <c r="C15" s="24">
        <v>-24.66</v>
      </c>
    </row>
    <row r="16" spans="1:8" hidden="1" x14ac:dyDescent="0.3">
      <c r="A16" s="26">
        <v>45883</v>
      </c>
      <c r="B16" s="32" t="s">
        <v>21</v>
      </c>
      <c r="C16" s="24">
        <f>133.3-G16</f>
        <v>119.52000000000001</v>
      </c>
      <c r="G16" s="94">
        <v>13.78</v>
      </c>
      <c r="H16" s="78"/>
    </row>
    <row r="17" spans="1:10" hidden="1" x14ac:dyDescent="0.3">
      <c r="A17" s="26">
        <v>45883</v>
      </c>
      <c r="B17" s="34" t="s">
        <v>21</v>
      </c>
      <c r="C17" s="24">
        <f>73.71-G17</f>
        <v>71.61</v>
      </c>
      <c r="G17" s="94">
        <v>2.1</v>
      </c>
    </row>
    <row r="18" spans="1:10" hidden="1" x14ac:dyDescent="0.3">
      <c r="A18" s="26">
        <v>45888</v>
      </c>
      <c r="B18" s="27" t="s">
        <v>23</v>
      </c>
      <c r="G18" s="94">
        <v>-15.88</v>
      </c>
    </row>
    <row r="19" spans="1:10" hidden="1" x14ac:dyDescent="0.3">
      <c r="A19" s="26">
        <v>45890</v>
      </c>
      <c r="B19" s="27" t="s">
        <v>4</v>
      </c>
      <c r="C19" s="24">
        <v>-191.55</v>
      </c>
    </row>
    <row r="20" spans="1:10" x14ac:dyDescent="0.3">
      <c r="A20" s="26">
        <v>45890</v>
      </c>
      <c r="B20" s="46" t="s">
        <v>21</v>
      </c>
      <c r="C20" s="24">
        <f>6.13-G20</f>
        <v>5.5</v>
      </c>
      <c r="G20" s="94">
        <v>0.63</v>
      </c>
    </row>
    <row r="21" spans="1:10" x14ac:dyDescent="0.3">
      <c r="A21" s="26">
        <v>45890</v>
      </c>
      <c r="B21" s="34" t="s">
        <v>21</v>
      </c>
      <c r="C21" s="24">
        <f>115.57-G21</f>
        <v>114.05</v>
      </c>
      <c r="G21" s="94">
        <v>1.52</v>
      </c>
      <c r="J21" s="17"/>
    </row>
    <row r="22" spans="1:10" x14ac:dyDescent="0.3">
      <c r="A22" s="26">
        <v>45890</v>
      </c>
      <c r="B22" s="32" t="s">
        <v>21</v>
      </c>
      <c r="C22" s="24">
        <f>52.94-G22</f>
        <v>47.47</v>
      </c>
      <c r="G22" s="94">
        <v>5.47</v>
      </c>
      <c r="J22" s="17"/>
    </row>
    <row r="23" spans="1:10" x14ac:dyDescent="0.3">
      <c r="A23" s="26">
        <v>45904</v>
      </c>
      <c r="B23" s="27" t="s">
        <v>4</v>
      </c>
      <c r="C23" s="24">
        <v>-147.59</v>
      </c>
      <c r="G23" s="94">
        <v>-7.62</v>
      </c>
      <c r="J23" s="17"/>
    </row>
    <row r="24" spans="1:10" x14ac:dyDescent="0.3">
      <c r="A24" s="26">
        <v>45905</v>
      </c>
      <c r="B24" s="27" t="s">
        <v>4</v>
      </c>
      <c r="C24" s="24">
        <v>-17.53</v>
      </c>
    </row>
    <row r="25" spans="1:10" x14ac:dyDescent="0.3">
      <c r="A25" s="26">
        <v>45904</v>
      </c>
      <c r="B25" s="32" t="s">
        <v>21</v>
      </c>
      <c r="C25" s="24">
        <f>155.31-G25</f>
        <v>139.25</v>
      </c>
      <c r="G25" s="94">
        <v>16.059999999999999</v>
      </c>
    </row>
    <row r="26" spans="1:10" x14ac:dyDescent="0.3">
      <c r="A26" s="26">
        <v>45904</v>
      </c>
      <c r="B26" s="34" t="s">
        <v>21</v>
      </c>
      <c r="C26" s="24">
        <f>21.56-G26</f>
        <v>19.34</v>
      </c>
      <c r="G26" s="94">
        <v>2.2200000000000002</v>
      </c>
    </row>
    <row r="27" spans="1:10" x14ac:dyDescent="0.3">
      <c r="A27" s="26">
        <v>45912</v>
      </c>
      <c r="B27" s="32" t="s">
        <v>21</v>
      </c>
      <c r="C27" s="24">
        <f>34.46-G27</f>
        <v>30.900000000000002</v>
      </c>
      <c r="G27" s="94">
        <v>3.56</v>
      </c>
    </row>
    <row r="28" spans="1:10" x14ac:dyDescent="0.3">
      <c r="A28" s="26">
        <v>45912</v>
      </c>
      <c r="B28" s="34" t="s">
        <v>21</v>
      </c>
      <c r="C28" s="24">
        <v>38.54</v>
      </c>
    </row>
    <row r="29" spans="1:10" x14ac:dyDescent="0.3">
      <c r="A29" s="26">
        <v>45915</v>
      </c>
      <c r="B29" s="27" t="s">
        <v>4</v>
      </c>
      <c r="C29" s="24">
        <v>-149.99</v>
      </c>
      <c r="G29" s="94">
        <v>-18.29</v>
      </c>
    </row>
    <row r="30" spans="1:10" x14ac:dyDescent="0.3">
      <c r="A30" s="26">
        <v>45919</v>
      </c>
      <c r="B30" s="27" t="s">
        <v>4</v>
      </c>
      <c r="C30" s="24">
        <v>-70.040000000000006</v>
      </c>
      <c r="G30" s="94">
        <v>-3.55</v>
      </c>
    </row>
    <row r="31" spans="1:10" x14ac:dyDescent="0.3">
      <c r="A31" s="26">
        <v>45919</v>
      </c>
      <c r="B31" s="32" t="s">
        <v>21</v>
      </c>
      <c r="C31" s="24">
        <f>177.65-G31</f>
        <v>155.13</v>
      </c>
      <c r="G31" s="94">
        <v>22.52</v>
      </c>
    </row>
    <row r="32" spans="1:10" x14ac:dyDescent="0.3">
      <c r="A32" s="26">
        <v>45919</v>
      </c>
      <c r="B32" s="34" t="s">
        <v>21</v>
      </c>
      <c r="C32" s="24">
        <v>212.88</v>
      </c>
    </row>
    <row r="33" spans="1:10" x14ac:dyDescent="0.3">
      <c r="A33" s="26">
        <v>45932</v>
      </c>
      <c r="B33" s="27" t="s">
        <v>4</v>
      </c>
      <c r="C33" s="24">
        <v>-110.31</v>
      </c>
    </row>
    <row r="34" spans="1:10" x14ac:dyDescent="0.3">
      <c r="A34" s="26">
        <v>45936</v>
      </c>
      <c r="B34" s="27" t="s">
        <v>4</v>
      </c>
      <c r="C34" s="24">
        <v>-226.54</v>
      </c>
    </row>
    <row r="35" spans="1:10" x14ac:dyDescent="0.3">
      <c r="A35" s="26">
        <v>45937</v>
      </c>
      <c r="B35" s="27" t="s">
        <v>4</v>
      </c>
      <c r="C35" s="24">
        <v>-49.52</v>
      </c>
    </row>
    <row r="36" spans="1:10" x14ac:dyDescent="0.3">
      <c r="A36" s="26">
        <v>45946</v>
      </c>
      <c r="B36" s="32" t="s">
        <v>21</v>
      </c>
      <c r="C36" s="24">
        <f>99.54-G36</f>
        <v>89.25</v>
      </c>
      <c r="G36" s="94">
        <v>10.29</v>
      </c>
    </row>
    <row r="37" spans="1:10" x14ac:dyDescent="0.3">
      <c r="A37" s="26">
        <v>45946</v>
      </c>
      <c r="B37" s="34" t="s">
        <v>21</v>
      </c>
      <c r="C37" s="24">
        <f>113.04-G37</f>
        <v>112.26</v>
      </c>
      <c r="G37" s="94">
        <v>0.78</v>
      </c>
    </row>
    <row r="38" spans="1:10" x14ac:dyDescent="0.3">
      <c r="A38" s="26">
        <v>45958</v>
      </c>
      <c r="B38" s="27" t="s">
        <v>4</v>
      </c>
      <c r="C38" s="24">
        <v>-169.46</v>
      </c>
      <c r="G38" s="94">
        <v>-11.07</v>
      </c>
    </row>
    <row r="39" spans="1:10" x14ac:dyDescent="0.3">
      <c r="A39" s="26">
        <v>45961</v>
      </c>
      <c r="B39" s="32" t="s">
        <v>21</v>
      </c>
      <c r="C39" s="24">
        <f>65.97-G39</f>
        <v>59.15</v>
      </c>
      <c r="G39" s="94">
        <v>6.82</v>
      </c>
    </row>
    <row r="40" spans="1:10" x14ac:dyDescent="0.3">
      <c r="A40" s="26">
        <v>45961</v>
      </c>
      <c r="B40" s="34" t="s">
        <v>21</v>
      </c>
      <c r="C40" s="24">
        <f>141.49-G40</f>
        <v>140.22</v>
      </c>
      <c r="G40" s="94">
        <v>1.27</v>
      </c>
    </row>
    <row r="41" spans="1:10" x14ac:dyDescent="0.3">
      <c r="A41" s="26">
        <v>45961</v>
      </c>
      <c r="B41" s="27" t="s">
        <v>23</v>
      </c>
      <c r="G41" s="94">
        <v>-8.09</v>
      </c>
    </row>
    <row r="42" spans="1:10" x14ac:dyDescent="0.3">
      <c r="A42" s="26">
        <v>45969</v>
      </c>
      <c r="B42" s="27" t="s">
        <v>4</v>
      </c>
      <c r="C42" s="24">
        <v>-23.59</v>
      </c>
    </row>
    <row r="43" spans="1:10" x14ac:dyDescent="0.3">
      <c r="A43" s="26">
        <v>45975</v>
      </c>
      <c r="B43" s="27" t="s">
        <v>1</v>
      </c>
      <c r="C43" s="24">
        <f>177.9-G43</f>
        <v>162.82</v>
      </c>
      <c r="G43" s="94">
        <v>15.08</v>
      </c>
    </row>
    <row r="44" spans="1:10" x14ac:dyDescent="0.3">
      <c r="A44" s="26">
        <v>45989</v>
      </c>
      <c r="B44" s="27" t="s">
        <v>23</v>
      </c>
      <c r="G44" s="94">
        <v>-22.52</v>
      </c>
    </row>
    <row r="45" spans="1:10" x14ac:dyDescent="0.3">
      <c r="A45" s="26">
        <v>45992</v>
      </c>
      <c r="B45" s="27" t="s">
        <v>23</v>
      </c>
      <c r="G45" s="94">
        <v>-15.08</v>
      </c>
      <c r="J45" s="18">
        <f>6246.4/249.1989</f>
        <v>25.065921238015093</v>
      </c>
    </row>
    <row r="46" spans="1:10" x14ac:dyDescent="0.3">
      <c r="A46" s="26">
        <v>45994</v>
      </c>
      <c r="B46" s="27" t="s">
        <v>4</v>
      </c>
      <c r="C46" s="24">
        <v>-363.75</v>
      </c>
    </row>
    <row r="47" spans="1:10" x14ac:dyDescent="0.3">
      <c r="A47" s="26">
        <v>45994</v>
      </c>
      <c r="B47" s="27" t="s">
        <v>1</v>
      </c>
      <c r="C47" s="24">
        <f>345.13-G47</f>
        <v>320.40999999999997</v>
      </c>
      <c r="G47" s="94">
        <v>24.72</v>
      </c>
    </row>
    <row r="48" spans="1:10" x14ac:dyDescent="0.3">
      <c r="A48" s="26">
        <v>46007</v>
      </c>
      <c r="B48" s="27" t="s">
        <v>23</v>
      </c>
      <c r="G48" s="94">
        <v>-24.72</v>
      </c>
    </row>
    <row r="49" spans="1:16" x14ac:dyDescent="0.3">
      <c r="A49" s="26">
        <v>46010</v>
      </c>
      <c r="B49" s="27" t="s">
        <v>4</v>
      </c>
      <c r="C49" s="24">
        <v>-298.3</v>
      </c>
    </row>
    <row r="50" spans="1:16" x14ac:dyDescent="0.3">
      <c r="A50" s="26">
        <v>46010</v>
      </c>
      <c r="B50" s="27" t="s">
        <v>1</v>
      </c>
      <c r="C50" s="24">
        <f>424.47-G50</f>
        <v>391.15000000000003</v>
      </c>
      <c r="G50" s="94">
        <v>33.32</v>
      </c>
    </row>
    <row r="51" spans="1:16" x14ac:dyDescent="0.3">
      <c r="A51" s="26">
        <v>46017</v>
      </c>
      <c r="B51" s="27" t="s">
        <v>4</v>
      </c>
      <c r="C51" s="24">
        <v>-390.46</v>
      </c>
      <c r="G51" s="94">
        <v>-33.32</v>
      </c>
      <c r="O51" s="18">
        <f>2165.62/325.3894</f>
        <v>6.6554718746216066</v>
      </c>
    </row>
    <row r="52" spans="1:16" x14ac:dyDescent="0.3">
      <c r="A52" s="26">
        <v>46017</v>
      </c>
      <c r="B52" s="27" t="s">
        <v>503</v>
      </c>
      <c r="C52" s="24">
        <v>-22.8</v>
      </c>
    </row>
    <row r="53" spans="1:16" x14ac:dyDescent="0.3">
      <c r="A53" s="26">
        <v>46017</v>
      </c>
      <c r="B53" s="27" t="s">
        <v>1</v>
      </c>
      <c r="C53" s="24">
        <f>180-G53</f>
        <v>161.38</v>
      </c>
      <c r="G53" s="105">
        <v>18.62</v>
      </c>
    </row>
    <row r="54" spans="1:16" x14ac:dyDescent="0.3">
      <c r="A54" s="26">
        <v>46031</v>
      </c>
      <c r="B54" s="27" t="s">
        <v>1</v>
      </c>
      <c r="C54" s="24">
        <f>227.7-G54</f>
        <v>222.08999999999997</v>
      </c>
      <c r="G54" s="24">
        <v>5.61</v>
      </c>
    </row>
    <row r="55" spans="1:16" x14ac:dyDescent="0.3">
      <c r="A55" s="26">
        <v>46043</v>
      </c>
      <c r="B55" s="27" t="s">
        <v>1</v>
      </c>
      <c r="C55" s="24">
        <v>33.58</v>
      </c>
      <c r="G55" s="24">
        <v>-5.61</v>
      </c>
      <c r="I55" s="18" t="s">
        <v>126</v>
      </c>
      <c r="L55" s="18">
        <f>9909.26/282.5128</f>
        <v>35.07543728992102</v>
      </c>
    </row>
    <row r="56" spans="1:16" x14ac:dyDescent="0.3">
      <c r="A56" s="26">
        <v>46048</v>
      </c>
      <c r="B56" s="27" t="s">
        <v>23</v>
      </c>
      <c r="G56" s="24">
        <v>-18.62</v>
      </c>
    </row>
    <row r="59" spans="1:16" x14ac:dyDescent="0.3">
      <c r="P59" s="18">
        <f>4848.42/294.9699</f>
        <v>16.436999164999548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9CE28-BF91-4D37-84AF-BC81DAC3BBB4}">
  <sheetPr codeName="Hoja178"/>
  <dimension ref="A1:H86"/>
  <sheetViews>
    <sheetView view="pageBreakPreview" zoomScale="80" zoomScaleNormal="100" zoomScaleSheetLayoutView="80" workbookViewId="0">
      <selection activeCell="C56" sqref="C5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279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1453.8599999999994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45827</v>
      </c>
      <c r="B5" s="27" t="s">
        <v>21</v>
      </c>
      <c r="C5" s="24">
        <v>416</v>
      </c>
      <c r="D5" s="30">
        <v>2</v>
      </c>
      <c r="E5" s="30"/>
      <c r="F5" s="30"/>
      <c r="G5" s="22"/>
    </row>
    <row r="6" spans="1:8" hidden="1" x14ac:dyDescent="0.3">
      <c r="A6" s="21">
        <v>45828</v>
      </c>
      <c r="B6" s="35" t="s">
        <v>1</v>
      </c>
      <c r="C6" s="24">
        <v>33.1</v>
      </c>
      <c r="D6" s="25">
        <v>1</v>
      </c>
    </row>
    <row r="7" spans="1:8" hidden="1" x14ac:dyDescent="0.3">
      <c r="A7" s="21">
        <v>45841</v>
      </c>
      <c r="B7" s="27" t="s">
        <v>4</v>
      </c>
      <c r="C7" s="24">
        <v>-416</v>
      </c>
    </row>
    <row r="8" spans="1:8" hidden="1" x14ac:dyDescent="0.3">
      <c r="A8" s="21">
        <v>45841</v>
      </c>
      <c r="B8" s="27" t="s">
        <v>1</v>
      </c>
      <c r="C8" s="24">
        <v>208</v>
      </c>
      <c r="D8" s="25">
        <v>-3</v>
      </c>
    </row>
    <row r="9" spans="1:8" hidden="1" x14ac:dyDescent="0.3">
      <c r="A9" s="26">
        <v>45849</v>
      </c>
      <c r="B9" s="27" t="s">
        <v>4</v>
      </c>
      <c r="C9" s="24">
        <v>-190</v>
      </c>
    </row>
    <row r="10" spans="1:8" hidden="1" x14ac:dyDescent="0.3">
      <c r="A10" s="26">
        <v>45849</v>
      </c>
      <c r="B10" s="27" t="s">
        <v>1</v>
      </c>
      <c r="C10" s="24">
        <v>573.70000000000005</v>
      </c>
    </row>
    <row r="11" spans="1:8" hidden="1" x14ac:dyDescent="0.3">
      <c r="A11" s="26">
        <v>45849</v>
      </c>
      <c r="B11" s="35" t="s">
        <v>1</v>
      </c>
      <c r="C11" s="24">
        <v>45</v>
      </c>
    </row>
    <row r="12" spans="1:8" hidden="1" x14ac:dyDescent="0.3">
      <c r="A12" s="26">
        <v>45859</v>
      </c>
      <c r="B12" s="31" t="s">
        <v>4</v>
      </c>
      <c r="C12" s="24">
        <v>-142.68</v>
      </c>
    </row>
    <row r="13" spans="1:8" hidden="1" x14ac:dyDescent="0.3">
      <c r="A13" s="26">
        <v>45862</v>
      </c>
      <c r="B13" s="27" t="s">
        <v>4</v>
      </c>
      <c r="C13" s="24">
        <v>-164.82</v>
      </c>
    </row>
    <row r="14" spans="1:8" hidden="1" x14ac:dyDescent="0.3">
      <c r="A14" s="26">
        <v>45862</v>
      </c>
      <c r="B14" s="27" t="s">
        <v>4</v>
      </c>
      <c r="C14" s="24">
        <v>-86.53</v>
      </c>
    </row>
    <row r="15" spans="1:8" hidden="1" x14ac:dyDescent="0.3">
      <c r="A15" s="26">
        <v>45862</v>
      </c>
      <c r="B15" s="27" t="s">
        <v>1</v>
      </c>
      <c r="C15" s="24">
        <v>660.8</v>
      </c>
    </row>
    <row r="16" spans="1:8" hidden="1" x14ac:dyDescent="0.3">
      <c r="A16" s="26">
        <v>45873</v>
      </c>
      <c r="B16" s="27" t="s">
        <v>4</v>
      </c>
      <c r="C16" s="24">
        <v>-316.76</v>
      </c>
    </row>
    <row r="17" spans="1:4" hidden="1" x14ac:dyDescent="0.3">
      <c r="A17" s="26">
        <v>45876</v>
      </c>
      <c r="B17" s="27" t="s">
        <v>4</v>
      </c>
      <c r="C17" s="24">
        <v>-170.47</v>
      </c>
    </row>
    <row r="18" spans="1:4" hidden="1" x14ac:dyDescent="0.3">
      <c r="A18" s="26">
        <v>45877</v>
      </c>
      <c r="B18" s="27" t="s">
        <v>1</v>
      </c>
      <c r="C18" s="24">
        <v>573.9</v>
      </c>
    </row>
    <row r="19" spans="1:4" hidden="1" x14ac:dyDescent="0.3">
      <c r="A19" s="26">
        <v>45877</v>
      </c>
      <c r="B19" s="35" t="s">
        <v>1</v>
      </c>
      <c r="C19" s="24">
        <v>46.6</v>
      </c>
    </row>
    <row r="20" spans="1:4" hidden="1" x14ac:dyDescent="0.3">
      <c r="A20" s="26">
        <v>45883</v>
      </c>
      <c r="B20" s="27" t="s">
        <v>4</v>
      </c>
      <c r="C20" s="24">
        <v>-249.11</v>
      </c>
    </row>
    <row r="21" spans="1:4" hidden="1" x14ac:dyDescent="0.3">
      <c r="A21" s="26">
        <v>45890</v>
      </c>
      <c r="B21" s="27" t="s">
        <v>4</v>
      </c>
      <c r="C21" s="24">
        <v>-609.75</v>
      </c>
    </row>
    <row r="22" spans="1:4" hidden="1" x14ac:dyDescent="0.3">
      <c r="A22" s="26">
        <v>45891</v>
      </c>
      <c r="B22" s="27" t="s">
        <v>1</v>
      </c>
      <c r="C22" s="24">
        <v>796.2</v>
      </c>
    </row>
    <row r="23" spans="1:4" hidden="1" x14ac:dyDescent="0.3">
      <c r="A23" s="26">
        <v>45891</v>
      </c>
      <c r="B23" s="35" t="s">
        <v>1</v>
      </c>
      <c r="C23" s="24">
        <v>47.25</v>
      </c>
    </row>
    <row r="24" spans="1:4" hidden="1" x14ac:dyDescent="0.3">
      <c r="A24" s="26">
        <v>45898</v>
      </c>
      <c r="B24" s="27" t="s">
        <v>1</v>
      </c>
      <c r="C24" s="24">
        <v>868</v>
      </c>
      <c r="D24" s="25">
        <v>8</v>
      </c>
    </row>
    <row r="25" spans="1:4" hidden="1" x14ac:dyDescent="0.3">
      <c r="A25" s="26">
        <v>45912</v>
      </c>
      <c r="B25" s="27" t="s">
        <v>4</v>
      </c>
      <c r="C25" s="24">
        <v>-756.8</v>
      </c>
    </row>
    <row r="26" spans="1:4" hidden="1" x14ac:dyDescent="0.3">
      <c r="A26" s="26">
        <v>45912</v>
      </c>
      <c r="B26" s="27" t="s">
        <v>4</v>
      </c>
      <c r="C26" s="24">
        <v>-530.84</v>
      </c>
    </row>
    <row r="27" spans="1:4" hidden="1" x14ac:dyDescent="0.3">
      <c r="A27" s="26">
        <v>45912</v>
      </c>
      <c r="B27" s="27" t="s">
        <v>1</v>
      </c>
      <c r="C27" s="24">
        <v>776</v>
      </c>
      <c r="D27" s="25">
        <f>10-8</f>
        <v>2</v>
      </c>
    </row>
    <row r="28" spans="1:4" hidden="1" x14ac:dyDescent="0.3">
      <c r="A28" s="26">
        <v>45912</v>
      </c>
      <c r="B28" s="35" t="s">
        <v>1</v>
      </c>
      <c r="C28" s="24">
        <v>43.8</v>
      </c>
    </row>
    <row r="29" spans="1:4" hidden="1" x14ac:dyDescent="0.3">
      <c r="A29" s="26">
        <v>45924</v>
      </c>
      <c r="B29" s="27" t="s">
        <v>4</v>
      </c>
      <c r="C29" s="24">
        <v>-594.20000000000005</v>
      </c>
    </row>
    <row r="30" spans="1:4" hidden="1" x14ac:dyDescent="0.3">
      <c r="A30" s="26">
        <v>45926</v>
      </c>
      <c r="B30" s="27" t="s">
        <v>4</v>
      </c>
      <c r="C30" s="24">
        <v>-520.9</v>
      </c>
    </row>
    <row r="31" spans="1:4" hidden="1" x14ac:dyDescent="0.3">
      <c r="A31" s="26">
        <v>45926</v>
      </c>
      <c r="B31" s="27" t="s">
        <v>1</v>
      </c>
      <c r="C31" s="24">
        <v>325</v>
      </c>
      <c r="D31" s="25">
        <v>-10</v>
      </c>
    </row>
    <row r="32" spans="1:4" hidden="1" x14ac:dyDescent="0.3">
      <c r="A32" s="26">
        <v>45926</v>
      </c>
      <c r="B32" s="35" t="s">
        <v>1</v>
      </c>
      <c r="C32" s="24">
        <v>90.15</v>
      </c>
    </row>
    <row r="33" spans="1:4" hidden="1" x14ac:dyDescent="0.3">
      <c r="A33" s="26">
        <v>45944</v>
      </c>
      <c r="B33" s="27" t="s">
        <v>4</v>
      </c>
      <c r="C33" s="24">
        <v>-522.19000000000005</v>
      </c>
    </row>
    <row r="34" spans="1:4" hidden="1" x14ac:dyDescent="0.3">
      <c r="A34" s="26">
        <v>45944</v>
      </c>
      <c r="B34" s="27" t="s">
        <v>4</v>
      </c>
      <c r="C34" s="24">
        <v>-80.099999999999994</v>
      </c>
    </row>
    <row r="35" spans="1:4" hidden="1" x14ac:dyDescent="0.3">
      <c r="A35" s="26">
        <v>45950</v>
      </c>
      <c r="B35" s="27" t="s">
        <v>4</v>
      </c>
      <c r="C35" s="24">
        <v>-151.58000000000001</v>
      </c>
    </row>
    <row r="36" spans="1:4" x14ac:dyDescent="0.3">
      <c r="A36" s="26">
        <v>45952</v>
      </c>
      <c r="B36" s="27" t="s">
        <v>1</v>
      </c>
      <c r="C36" s="24">
        <v>613.04999999999995</v>
      </c>
      <c r="D36" s="25">
        <v>10</v>
      </c>
    </row>
    <row r="37" spans="1:4" x14ac:dyDescent="0.3">
      <c r="A37" s="26">
        <v>45952</v>
      </c>
      <c r="B37" s="35" t="s">
        <v>1</v>
      </c>
      <c r="C37" s="24">
        <v>146.94</v>
      </c>
    </row>
    <row r="38" spans="1:4" x14ac:dyDescent="0.3">
      <c r="A38" s="26">
        <v>45968</v>
      </c>
      <c r="B38" s="27" t="s">
        <v>1</v>
      </c>
      <c r="C38" s="24">
        <v>658.21</v>
      </c>
      <c r="D38" s="25">
        <v>-10</v>
      </c>
    </row>
    <row r="39" spans="1:4" x14ac:dyDescent="0.3">
      <c r="A39" s="26">
        <v>45968</v>
      </c>
      <c r="B39" s="35" t="s">
        <v>1</v>
      </c>
      <c r="C39" s="24">
        <v>53.5</v>
      </c>
    </row>
    <row r="40" spans="1:4" x14ac:dyDescent="0.3">
      <c r="A40" s="26">
        <v>45971</v>
      </c>
      <c r="B40" s="27" t="s">
        <v>4</v>
      </c>
      <c r="C40" s="24">
        <v>-536.69000000000005</v>
      </c>
    </row>
    <row r="41" spans="1:4" x14ac:dyDescent="0.3">
      <c r="A41" s="26">
        <v>45974</v>
      </c>
      <c r="B41" s="27" t="s">
        <v>4</v>
      </c>
      <c r="C41" s="24">
        <v>-115.6</v>
      </c>
    </row>
    <row r="42" spans="1:4" x14ac:dyDescent="0.3">
      <c r="A42" s="26">
        <v>45978</v>
      </c>
      <c r="B42" s="27" t="s">
        <v>4</v>
      </c>
      <c r="C42" s="24">
        <v>-160.69999999999999</v>
      </c>
    </row>
    <row r="43" spans="1:4" x14ac:dyDescent="0.3">
      <c r="A43" s="26">
        <v>45980</v>
      </c>
      <c r="B43" s="27" t="s">
        <v>4</v>
      </c>
      <c r="C43" s="24">
        <v>-400</v>
      </c>
    </row>
    <row r="44" spans="1:4" x14ac:dyDescent="0.3">
      <c r="A44" s="26">
        <v>45982</v>
      </c>
      <c r="B44" s="27" t="s">
        <v>1</v>
      </c>
      <c r="C44" s="24">
        <v>1051.52</v>
      </c>
    </row>
    <row r="45" spans="1:4" x14ac:dyDescent="0.3">
      <c r="A45" s="26">
        <v>45992</v>
      </c>
      <c r="B45" s="27" t="s">
        <v>4</v>
      </c>
      <c r="C45" s="24">
        <v>-444.8</v>
      </c>
    </row>
    <row r="46" spans="1:4" x14ac:dyDescent="0.3">
      <c r="A46" s="26">
        <v>46002</v>
      </c>
      <c r="B46" s="27" t="s">
        <v>4</v>
      </c>
      <c r="C46" s="24">
        <v>-866.2</v>
      </c>
    </row>
    <row r="47" spans="1:4" x14ac:dyDescent="0.3">
      <c r="A47" s="26">
        <v>46003</v>
      </c>
      <c r="B47" s="27" t="s">
        <v>1</v>
      </c>
      <c r="C47" s="24">
        <v>1696.26</v>
      </c>
    </row>
    <row r="48" spans="1:4" x14ac:dyDescent="0.3">
      <c r="A48" s="26">
        <v>46021</v>
      </c>
      <c r="B48" s="27" t="s">
        <v>4</v>
      </c>
      <c r="C48" s="24">
        <v>-1140.3900000000001</v>
      </c>
    </row>
    <row r="49" spans="1:3" x14ac:dyDescent="0.3">
      <c r="A49" s="26">
        <v>46021</v>
      </c>
      <c r="B49" s="27" t="s">
        <v>1</v>
      </c>
      <c r="C49" s="24">
        <v>1430.52</v>
      </c>
    </row>
    <row r="50" spans="1:3" x14ac:dyDescent="0.3">
      <c r="A50" s="26">
        <v>46028</v>
      </c>
      <c r="B50" s="27" t="s">
        <v>4</v>
      </c>
      <c r="C50" s="24">
        <v>-1000</v>
      </c>
    </row>
    <row r="51" spans="1:3" x14ac:dyDescent="0.3">
      <c r="A51" s="26">
        <v>46030</v>
      </c>
      <c r="B51" s="27" t="s">
        <v>4</v>
      </c>
      <c r="C51" s="24">
        <v>-115.25</v>
      </c>
    </row>
    <row r="52" spans="1:3" x14ac:dyDescent="0.3">
      <c r="A52" s="26">
        <v>46034</v>
      </c>
      <c r="B52" s="27" t="s">
        <v>4</v>
      </c>
      <c r="C52" s="24">
        <v>-347.93</v>
      </c>
    </row>
    <row r="53" spans="1:3" x14ac:dyDescent="0.3">
      <c r="A53" s="26">
        <v>46042</v>
      </c>
      <c r="B53" s="27" t="s">
        <v>4</v>
      </c>
      <c r="C53" s="24">
        <v>-519.84</v>
      </c>
    </row>
    <row r="54" spans="1:3" x14ac:dyDescent="0.3">
      <c r="A54" s="26">
        <v>46044</v>
      </c>
      <c r="B54" s="27" t="s">
        <v>1</v>
      </c>
      <c r="C54" s="24">
        <v>1457.69</v>
      </c>
    </row>
    <row r="55" spans="1:3" x14ac:dyDescent="0.3">
      <c r="A55" s="26">
        <v>46044</v>
      </c>
      <c r="B55" s="27" t="s">
        <v>503</v>
      </c>
      <c r="C55" s="24">
        <v>-7.2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5D4F0-6743-4A16-A3DF-99A42A0CCF33}">
  <sheetPr codeName="Hoja179"/>
  <dimension ref="A1:H86"/>
  <sheetViews>
    <sheetView view="pageBreakPreview" zoomScale="80" zoomScaleNormal="100" zoomScaleSheetLayoutView="80" workbookViewId="0">
      <selection activeCell="C26" sqref="C2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299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76.000000000000028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45833</v>
      </c>
      <c r="B5" s="27" t="s">
        <v>21</v>
      </c>
      <c r="C5" s="24">
        <v>127.2</v>
      </c>
      <c r="D5" s="30"/>
      <c r="E5" s="30"/>
      <c r="F5" s="30"/>
      <c r="G5" s="22"/>
    </row>
    <row r="6" spans="1:8" hidden="1" x14ac:dyDescent="0.3">
      <c r="A6" s="21">
        <v>45834</v>
      </c>
      <c r="B6" s="50" t="s">
        <v>1</v>
      </c>
      <c r="C6" s="24">
        <v>66.959999999999994</v>
      </c>
    </row>
    <row r="7" spans="1:8" hidden="1" x14ac:dyDescent="0.3">
      <c r="A7" s="21">
        <v>45845</v>
      </c>
      <c r="B7" s="27" t="s">
        <v>4</v>
      </c>
      <c r="C7" s="24">
        <v>-194.14</v>
      </c>
    </row>
    <row r="8" spans="1:8" hidden="1" x14ac:dyDescent="0.3">
      <c r="A8" s="26">
        <v>45855</v>
      </c>
      <c r="B8" s="27" t="s">
        <v>1</v>
      </c>
      <c r="C8" s="24">
        <v>108.8</v>
      </c>
    </row>
    <row r="9" spans="1:8" hidden="1" x14ac:dyDescent="0.3">
      <c r="A9" s="26">
        <v>45855</v>
      </c>
      <c r="B9" s="50" t="s">
        <v>1</v>
      </c>
      <c r="C9" s="24">
        <v>77.040000000000006</v>
      </c>
    </row>
    <row r="10" spans="1:8" hidden="1" x14ac:dyDescent="0.3">
      <c r="A10" s="26">
        <v>45890</v>
      </c>
      <c r="B10" s="27" t="s">
        <v>4</v>
      </c>
      <c r="C10" s="24">
        <v>-185.86</v>
      </c>
    </row>
    <row r="11" spans="1:8" hidden="1" x14ac:dyDescent="0.3">
      <c r="A11" s="26">
        <v>45891</v>
      </c>
      <c r="B11" s="27" t="s">
        <v>1</v>
      </c>
      <c r="C11" s="24">
        <v>98.4</v>
      </c>
    </row>
    <row r="12" spans="1:8" hidden="1" x14ac:dyDescent="0.3">
      <c r="A12" s="26">
        <v>45897</v>
      </c>
      <c r="B12" s="27" t="s">
        <v>4</v>
      </c>
      <c r="C12" s="24">
        <v>-98.4</v>
      </c>
    </row>
    <row r="13" spans="1:8" hidden="1" x14ac:dyDescent="0.3">
      <c r="A13" s="26">
        <v>45902</v>
      </c>
      <c r="B13" s="27" t="s">
        <v>1</v>
      </c>
      <c r="C13" s="24">
        <f>190.4-G13</f>
        <v>170.71</v>
      </c>
      <c r="G13" s="24">
        <v>19.690000000000001</v>
      </c>
    </row>
    <row r="14" spans="1:8" hidden="1" x14ac:dyDescent="0.3">
      <c r="A14" s="26">
        <v>45922</v>
      </c>
      <c r="B14" s="27" t="s">
        <v>4</v>
      </c>
      <c r="C14" s="24">
        <v>-80</v>
      </c>
    </row>
    <row r="15" spans="1:8" hidden="1" x14ac:dyDescent="0.3">
      <c r="A15" s="26">
        <v>45922</v>
      </c>
      <c r="B15" s="27" t="s">
        <v>4</v>
      </c>
      <c r="C15" s="24">
        <v>-80</v>
      </c>
    </row>
    <row r="16" spans="1:8" hidden="1" x14ac:dyDescent="0.3">
      <c r="A16" s="26">
        <v>45922</v>
      </c>
      <c r="B16" s="27" t="s">
        <v>4</v>
      </c>
      <c r="C16" s="24">
        <v>-31.81</v>
      </c>
      <c r="G16" s="24">
        <v>-19.690000000000001</v>
      </c>
    </row>
    <row r="17" spans="1:7" hidden="1" x14ac:dyDescent="0.3">
      <c r="A17" s="26">
        <v>45925</v>
      </c>
      <c r="B17" s="27" t="s">
        <v>1</v>
      </c>
      <c r="C17" s="24">
        <f>104-G17</f>
        <v>93.25</v>
      </c>
      <c r="G17" s="24">
        <v>10.75</v>
      </c>
    </row>
    <row r="18" spans="1:7" hidden="1" x14ac:dyDescent="0.3">
      <c r="A18" s="26">
        <v>45932</v>
      </c>
      <c r="B18" s="27" t="s">
        <v>4</v>
      </c>
      <c r="C18" s="24">
        <v>-72.150000000000006</v>
      </c>
    </row>
    <row r="19" spans="1:7" x14ac:dyDescent="0.3">
      <c r="A19" s="26">
        <v>45932</v>
      </c>
      <c r="B19" s="50" t="s">
        <v>1</v>
      </c>
      <c r="C19" s="24">
        <v>77.040000000000006</v>
      </c>
    </row>
    <row r="20" spans="1:7" x14ac:dyDescent="0.3">
      <c r="A20" s="26">
        <v>45933</v>
      </c>
      <c r="B20" s="27" t="s">
        <v>1</v>
      </c>
      <c r="C20" s="24">
        <v>184</v>
      </c>
      <c r="G20" s="24">
        <v>-10.75</v>
      </c>
    </row>
    <row r="21" spans="1:7" x14ac:dyDescent="0.3">
      <c r="A21" s="26">
        <v>45958</v>
      </c>
      <c r="B21" s="27" t="s">
        <v>4</v>
      </c>
      <c r="C21" s="24">
        <v>-59.66</v>
      </c>
    </row>
    <row r="22" spans="1:7" x14ac:dyDescent="0.3">
      <c r="A22" s="26">
        <v>45958</v>
      </c>
      <c r="B22" s="27" t="s">
        <v>4</v>
      </c>
      <c r="C22" s="24">
        <v>-138.47999999999999</v>
      </c>
    </row>
    <row r="23" spans="1:7" x14ac:dyDescent="0.3">
      <c r="A23" s="26">
        <v>45982</v>
      </c>
      <c r="B23" s="27" t="s">
        <v>1</v>
      </c>
      <c r="C23" s="24">
        <f>85.28-G23</f>
        <v>79.28</v>
      </c>
      <c r="G23" s="24">
        <v>6</v>
      </c>
    </row>
    <row r="24" spans="1:7" x14ac:dyDescent="0.3">
      <c r="A24" s="26">
        <v>45993</v>
      </c>
      <c r="B24" s="27" t="s">
        <v>23</v>
      </c>
      <c r="G24" s="24">
        <v>-6</v>
      </c>
    </row>
    <row r="25" spans="1:7" x14ac:dyDescent="0.3">
      <c r="A25" s="26">
        <v>46017</v>
      </c>
      <c r="B25" s="27" t="s">
        <v>4</v>
      </c>
      <c r="C25" s="24">
        <v>-66.180000000000007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8AE78-AF61-4AAF-BA8D-2E9C7F7F2D82}">
  <dimension ref="A1:H86"/>
  <sheetViews>
    <sheetView view="pageBreakPreview" zoomScale="80" zoomScaleNormal="100" zoomScaleSheetLayoutView="80" workbookViewId="0">
      <selection activeCell="C44" sqref="C44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351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352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92.997000000000014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45848</v>
      </c>
      <c r="B5" s="32" t="s">
        <v>21</v>
      </c>
      <c r="C5" s="24">
        <v>38.700000000000003</v>
      </c>
      <c r="D5" s="30"/>
      <c r="E5" s="30"/>
      <c r="F5" s="30"/>
      <c r="G5" s="22"/>
    </row>
    <row r="6" spans="1:8" hidden="1" x14ac:dyDescent="0.3">
      <c r="A6" s="21">
        <v>45848</v>
      </c>
      <c r="B6" s="27" t="s">
        <v>1</v>
      </c>
      <c r="C6" s="24">
        <v>44</v>
      </c>
    </row>
    <row r="7" spans="1:8" hidden="1" x14ac:dyDescent="0.3">
      <c r="A7" s="21">
        <v>45855</v>
      </c>
      <c r="B7" s="27" t="s">
        <v>4</v>
      </c>
      <c r="C7" s="24">
        <v>-82.7</v>
      </c>
    </row>
    <row r="8" spans="1:8" hidden="1" x14ac:dyDescent="0.3">
      <c r="A8" s="21">
        <v>45855</v>
      </c>
      <c r="B8" s="32" t="s">
        <v>1</v>
      </c>
      <c r="C8" s="24">
        <v>34.200000000000003</v>
      </c>
    </row>
    <row r="9" spans="1:8" hidden="1" x14ac:dyDescent="0.3">
      <c r="A9" s="21">
        <v>45855</v>
      </c>
      <c r="B9" s="34" t="s">
        <v>1</v>
      </c>
      <c r="C9" s="24">
        <v>20</v>
      </c>
    </row>
    <row r="10" spans="1:8" hidden="1" x14ac:dyDescent="0.3">
      <c r="A10" s="26">
        <v>45862</v>
      </c>
      <c r="B10" s="32" t="s">
        <v>1</v>
      </c>
      <c r="C10" s="24">
        <v>25.2</v>
      </c>
    </row>
    <row r="11" spans="1:8" hidden="1" x14ac:dyDescent="0.3">
      <c r="A11" s="26">
        <v>45862</v>
      </c>
      <c r="B11" s="27" t="s">
        <v>1</v>
      </c>
      <c r="C11" s="24">
        <v>20.8</v>
      </c>
    </row>
    <row r="12" spans="1:8" hidden="1" x14ac:dyDescent="0.3">
      <c r="A12" s="26">
        <v>45863</v>
      </c>
      <c r="B12" s="27" t="s">
        <v>4</v>
      </c>
      <c r="C12" s="24">
        <v>-54.2</v>
      </c>
    </row>
    <row r="13" spans="1:8" hidden="1" x14ac:dyDescent="0.3">
      <c r="A13" s="26">
        <v>45869</v>
      </c>
      <c r="B13" s="27" t="s">
        <v>4</v>
      </c>
      <c r="C13" s="24">
        <v>-46</v>
      </c>
    </row>
    <row r="14" spans="1:8" hidden="1" x14ac:dyDescent="0.3">
      <c r="A14" s="26">
        <v>45869</v>
      </c>
      <c r="B14" s="32" t="s">
        <v>1</v>
      </c>
      <c r="C14" s="24">
        <v>38</v>
      </c>
    </row>
    <row r="15" spans="1:8" hidden="1" x14ac:dyDescent="0.3">
      <c r="A15" s="26">
        <v>45869</v>
      </c>
      <c r="B15" s="34" t="s">
        <v>1</v>
      </c>
      <c r="C15" s="24">
        <v>27.84</v>
      </c>
    </row>
    <row r="16" spans="1:8" hidden="1" x14ac:dyDescent="0.3">
      <c r="A16" s="26">
        <v>45869</v>
      </c>
      <c r="B16" s="27" t="s">
        <v>1</v>
      </c>
      <c r="C16" s="24">
        <v>20.8</v>
      </c>
    </row>
    <row r="17" spans="1:3" hidden="1" x14ac:dyDescent="0.3">
      <c r="A17" s="26">
        <v>45884</v>
      </c>
      <c r="B17" s="27" t="s">
        <v>4</v>
      </c>
      <c r="C17" s="24">
        <v>-78.89</v>
      </c>
    </row>
    <row r="18" spans="1:3" hidden="1" x14ac:dyDescent="0.3">
      <c r="A18" s="26">
        <v>45884</v>
      </c>
      <c r="B18" s="27" t="s">
        <v>1</v>
      </c>
      <c r="C18" s="24">
        <v>41.6</v>
      </c>
    </row>
    <row r="19" spans="1:3" hidden="1" x14ac:dyDescent="0.3">
      <c r="A19" s="26">
        <v>45891</v>
      </c>
      <c r="B19" s="32" t="s">
        <v>1</v>
      </c>
      <c r="C19" s="24">
        <v>23.5</v>
      </c>
    </row>
    <row r="20" spans="1:3" hidden="1" x14ac:dyDescent="0.3">
      <c r="A20" s="26">
        <v>45891</v>
      </c>
      <c r="B20" s="34" t="s">
        <v>1</v>
      </c>
      <c r="C20" s="24">
        <v>41.6</v>
      </c>
    </row>
    <row r="21" spans="1:3" hidden="1" x14ac:dyDescent="0.3">
      <c r="A21" s="26">
        <v>45897</v>
      </c>
      <c r="B21" s="32" t="s">
        <v>1</v>
      </c>
      <c r="C21" s="24">
        <v>28.4</v>
      </c>
    </row>
    <row r="22" spans="1:3" hidden="1" x14ac:dyDescent="0.3">
      <c r="A22" s="26">
        <v>45897</v>
      </c>
      <c r="B22" s="34" t="s">
        <v>1</v>
      </c>
      <c r="C22" s="24">
        <v>19.8</v>
      </c>
    </row>
    <row r="23" spans="1:3" hidden="1" x14ac:dyDescent="0.3">
      <c r="A23" s="26">
        <v>45898</v>
      </c>
      <c r="B23" s="27" t="s">
        <v>4</v>
      </c>
      <c r="C23" s="24">
        <v>-69.38</v>
      </c>
    </row>
    <row r="24" spans="1:3" hidden="1" x14ac:dyDescent="0.3">
      <c r="A24" s="26">
        <v>45905</v>
      </c>
      <c r="B24" s="27" t="s">
        <v>4</v>
      </c>
      <c r="C24" s="24">
        <v>-44.4</v>
      </c>
    </row>
    <row r="25" spans="1:3" hidden="1" x14ac:dyDescent="0.3">
      <c r="A25" s="26">
        <v>45905</v>
      </c>
      <c r="B25" s="27" t="s">
        <v>1</v>
      </c>
      <c r="C25" s="24">
        <v>41.6</v>
      </c>
    </row>
    <row r="26" spans="1:3" hidden="1" x14ac:dyDescent="0.3">
      <c r="A26" s="26">
        <v>45912</v>
      </c>
      <c r="B26" s="27" t="s">
        <v>1</v>
      </c>
      <c r="C26" s="24">
        <v>41.6</v>
      </c>
    </row>
    <row r="27" spans="1:3" hidden="1" x14ac:dyDescent="0.3">
      <c r="A27" s="26">
        <v>45930</v>
      </c>
      <c r="B27" s="27" t="s">
        <v>4</v>
      </c>
      <c r="C27" s="24">
        <v>-87.822999999999993</v>
      </c>
    </row>
    <row r="28" spans="1:3" hidden="1" x14ac:dyDescent="0.3">
      <c r="A28" s="26">
        <v>45936</v>
      </c>
      <c r="B28" s="27" t="s">
        <v>4</v>
      </c>
      <c r="C28" s="24">
        <v>-44.45</v>
      </c>
    </row>
    <row r="29" spans="1:3" x14ac:dyDescent="0.3">
      <c r="A29" s="26">
        <v>45940</v>
      </c>
      <c r="B29" s="32" t="s">
        <v>1</v>
      </c>
      <c r="C29" s="24">
        <v>41.7</v>
      </c>
    </row>
    <row r="30" spans="1:3" x14ac:dyDescent="0.3">
      <c r="A30" s="26">
        <v>45940</v>
      </c>
      <c r="B30" s="34" t="s">
        <v>1</v>
      </c>
      <c r="C30" s="24">
        <v>23.4</v>
      </c>
    </row>
    <row r="31" spans="1:3" x14ac:dyDescent="0.3">
      <c r="A31" s="26">
        <v>45961</v>
      </c>
      <c r="B31" s="32" t="s">
        <v>1</v>
      </c>
      <c r="C31" s="24">
        <v>35.6</v>
      </c>
    </row>
    <row r="32" spans="1:3" x14ac:dyDescent="0.3">
      <c r="A32" s="26">
        <v>45961</v>
      </c>
      <c r="B32" s="34" t="s">
        <v>1</v>
      </c>
      <c r="C32" s="24">
        <v>4.42</v>
      </c>
    </row>
    <row r="33" spans="1:3" x14ac:dyDescent="0.3">
      <c r="A33" s="26">
        <v>45961</v>
      </c>
      <c r="B33" s="27" t="s">
        <v>1</v>
      </c>
      <c r="C33" s="24">
        <v>51.74</v>
      </c>
    </row>
    <row r="34" spans="1:3" x14ac:dyDescent="0.3">
      <c r="A34" s="26">
        <v>45995</v>
      </c>
      <c r="B34" s="27" t="s">
        <v>4</v>
      </c>
      <c r="C34" s="24">
        <v>-54.17</v>
      </c>
    </row>
    <row r="35" spans="1:3" x14ac:dyDescent="0.3">
      <c r="A35" s="26">
        <v>45995</v>
      </c>
      <c r="B35" s="27" t="s">
        <v>4</v>
      </c>
      <c r="C35" s="24">
        <v>-45.33</v>
      </c>
    </row>
    <row r="36" spans="1:3" x14ac:dyDescent="0.3">
      <c r="A36" s="26">
        <v>46017</v>
      </c>
      <c r="B36" s="27" t="s">
        <v>4</v>
      </c>
      <c r="C36" s="24">
        <v>-56.46</v>
      </c>
    </row>
    <row r="37" spans="1:3" x14ac:dyDescent="0.3">
      <c r="A37" s="26">
        <v>46017</v>
      </c>
      <c r="B37" s="27" t="s">
        <v>1</v>
      </c>
      <c r="C37" s="24">
        <v>32.700000000000003</v>
      </c>
    </row>
    <row r="38" spans="1:3" x14ac:dyDescent="0.3">
      <c r="A38" s="26">
        <v>46031</v>
      </c>
      <c r="B38" s="27" t="s">
        <v>4</v>
      </c>
      <c r="C38" s="24">
        <v>-33.409999999999997</v>
      </c>
    </row>
    <row r="39" spans="1:3" x14ac:dyDescent="0.3">
      <c r="A39" s="26">
        <v>46031</v>
      </c>
      <c r="B39" s="27" t="s">
        <v>1</v>
      </c>
      <c r="C39" s="24">
        <v>124.44</v>
      </c>
    </row>
    <row r="40" spans="1:3" x14ac:dyDescent="0.3">
      <c r="A40" s="26">
        <v>46044</v>
      </c>
      <c r="B40" s="27" t="s">
        <v>4</v>
      </c>
      <c r="C40" s="24">
        <v>-124.44</v>
      </c>
    </row>
    <row r="41" spans="1:3" x14ac:dyDescent="0.3">
      <c r="A41" s="26">
        <v>46044</v>
      </c>
      <c r="B41" s="27" t="s">
        <v>1</v>
      </c>
      <c r="C41" s="24">
        <v>58.14</v>
      </c>
    </row>
    <row r="42" spans="1:3" x14ac:dyDescent="0.3">
      <c r="A42" s="26">
        <v>46051</v>
      </c>
      <c r="B42" s="27" t="s">
        <v>1</v>
      </c>
      <c r="C42" s="24">
        <v>92.43</v>
      </c>
    </row>
    <row r="43" spans="1:3" x14ac:dyDescent="0.3">
      <c r="A43" s="26">
        <v>46052</v>
      </c>
      <c r="B43" s="27" t="s">
        <v>4</v>
      </c>
      <c r="C43" s="24">
        <v>-57.56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17602-183B-4F76-BB9D-B1E338C47DFC}">
  <sheetPr codeName="Hoja180"/>
  <dimension ref="A1:H117"/>
  <sheetViews>
    <sheetView view="pageBreakPreview" topLeftCell="A79" zoomScale="85" zoomScaleNormal="100" zoomScaleSheetLayoutView="85" workbookViewId="0">
      <selection activeCell="C118" sqref="C11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8.33203125" style="17" bestFit="1" customWidth="1"/>
    <col min="9" max="16384" width="10.88671875" style="18"/>
  </cols>
  <sheetData>
    <row r="1" spans="1:8" x14ac:dyDescent="0.3">
      <c r="A1" s="16" t="s">
        <v>15</v>
      </c>
      <c r="B1" s="17" t="s">
        <v>261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148.99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45826</v>
      </c>
      <c r="B5" s="32" t="s">
        <v>21</v>
      </c>
      <c r="C5" s="24">
        <v>34.43</v>
      </c>
      <c r="D5" s="30"/>
      <c r="E5" s="30"/>
      <c r="F5" s="30"/>
      <c r="G5" s="22"/>
    </row>
    <row r="6" spans="1:8" hidden="1" x14ac:dyDescent="0.3">
      <c r="A6" s="21">
        <v>45826</v>
      </c>
      <c r="B6" s="34" t="s">
        <v>21</v>
      </c>
      <c r="C6" s="24">
        <v>177.94</v>
      </c>
    </row>
    <row r="7" spans="1:8" hidden="1" x14ac:dyDescent="0.3">
      <c r="A7" s="26">
        <v>45833</v>
      </c>
      <c r="B7" s="27" t="s">
        <v>4</v>
      </c>
      <c r="C7" s="24">
        <v>-75.86</v>
      </c>
    </row>
    <row r="8" spans="1:8" hidden="1" x14ac:dyDescent="0.3">
      <c r="A8" s="26">
        <v>45833</v>
      </c>
      <c r="B8" s="27" t="s">
        <v>7</v>
      </c>
      <c r="C8" s="24">
        <v>-67.56</v>
      </c>
    </row>
    <row r="9" spans="1:8" hidden="1" x14ac:dyDescent="0.3">
      <c r="A9" s="26">
        <v>45833</v>
      </c>
      <c r="B9" s="32" t="s">
        <v>21</v>
      </c>
      <c r="C9" s="24">
        <v>15.85</v>
      </c>
    </row>
    <row r="10" spans="1:8" hidden="1" x14ac:dyDescent="0.3">
      <c r="A10" s="26">
        <v>45833</v>
      </c>
      <c r="B10" s="34" t="s">
        <v>21</v>
      </c>
      <c r="C10" s="24">
        <v>35.520000000000003</v>
      </c>
    </row>
    <row r="11" spans="1:8" hidden="1" x14ac:dyDescent="0.3">
      <c r="A11" s="26">
        <v>45838</v>
      </c>
      <c r="B11" s="27" t="s">
        <v>4</v>
      </c>
      <c r="C11" s="24">
        <v>-50</v>
      </c>
    </row>
    <row r="12" spans="1:8" hidden="1" x14ac:dyDescent="0.3">
      <c r="A12" s="26">
        <v>45840</v>
      </c>
      <c r="B12" s="31" t="s">
        <v>4</v>
      </c>
      <c r="C12" s="24">
        <v>-51.37</v>
      </c>
    </row>
    <row r="13" spans="1:8" hidden="1" x14ac:dyDescent="0.3">
      <c r="A13" s="26">
        <v>45840</v>
      </c>
      <c r="B13" s="32" t="s">
        <v>21</v>
      </c>
      <c r="C13" s="24">
        <v>10.3</v>
      </c>
    </row>
    <row r="14" spans="1:8" hidden="1" x14ac:dyDescent="0.3">
      <c r="A14" s="26">
        <v>45840</v>
      </c>
      <c r="B14" s="34" t="s">
        <v>21</v>
      </c>
      <c r="C14" s="24">
        <v>53.01</v>
      </c>
    </row>
    <row r="15" spans="1:8" hidden="1" x14ac:dyDescent="0.3">
      <c r="A15" s="26">
        <v>45846</v>
      </c>
      <c r="B15" s="27" t="s">
        <v>4</v>
      </c>
      <c r="C15" s="24">
        <v>-18.96</v>
      </c>
    </row>
    <row r="16" spans="1:8" hidden="1" x14ac:dyDescent="0.3">
      <c r="A16" s="26">
        <v>45847</v>
      </c>
      <c r="B16" s="32" t="s">
        <v>21</v>
      </c>
      <c r="C16" s="24">
        <v>15.85</v>
      </c>
    </row>
    <row r="17" spans="1:3" hidden="1" x14ac:dyDescent="0.3">
      <c r="A17" s="26">
        <v>45847</v>
      </c>
      <c r="B17" s="34" t="s">
        <v>21</v>
      </c>
      <c r="C17" s="24">
        <v>83.61</v>
      </c>
    </row>
    <row r="18" spans="1:3" hidden="1" x14ac:dyDescent="0.3">
      <c r="A18" s="26">
        <v>45854</v>
      </c>
      <c r="B18" s="27" t="s">
        <v>4</v>
      </c>
      <c r="C18" s="24">
        <v>-63.31</v>
      </c>
    </row>
    <row r="19" spans="1:3" hidden="1" x14ac:dyDescent="0.3">
      <c r="A19" s="26">
        <v>45854</v>
      </c>
      <c r="B19" s="27" t="s">
        <v>4</v>
      </c>
      <c r="C19" s="24">
        <v>-42.8</v>
      </c>
    </row>
    <row r="20" spans="1:3" hidden="1" x14ac:dyDescent="0.3">
      <c r="A20" s="26">
        <v>45854</v>
      </c>
      <c r="B20" s="32" t="s">
        <v>21</v>
      </c>
      <c r="C20" s="24">
        <v>44.09</v>
      </c>
    </row>
    <row r="21" spans="1:3" hidden="1" x14ac:dyDescent="0.3">
      <c r="A21" s="26">
        <v>45854</v>
      </c>
      <c r="B21" s="34" t="s">
        <v>21</v>
      </c>
      <c r="C21" s="24">
        <v>46.03</v>
      </c>
    </row>
    <row r="22" spans="1:3" hidden="1" x14ac:dyDescent="0.3">
      <c r="A22" s="26">
        <v>45861</v>
      </c>
      <c r="B22" s="27" t="s">
        <v>4</v>
      </c>
      <c r="C22" s="24">
        <v>-56.69</v>
      </c>
    </row>
    <row r="23" spans="1:3" hidden="1" x14ac:dyDescent="0.3">
      <c r="A23" s="26">
        <v>45861</v>
      </c>
      <c r="B23" s="27" t="s">
        <v>7</v>
      </c>
      <c r="C23" s="24">
        <v>-70</v>
      </c>
    </row>
    <row r="24" spans="1:3" hidden="1" x14ac:dyDescent="0.3">
      <c r="A24" s="26">
        <v>45861</v>
      </c>
      <c r="B24" s="32" t="s">
        <v>21</v>
      </c>
      <c r="C24" s="24">
        <v>25.69</v>
      </c>
    </row>
    <row r="25" spans="1:3" hidden="1" x14ac:dyDescent="0.3">
      <c r="A25" s="26">
        <v>45861</v>
      </c>
      <c r="B25" s="34" t="s">
        <v>21</v>
      </c>
      <c r="C25" s="24">
        <v>52.41</v>
      </c>
    </row>
    <row r="26" spans="1:3" hidden="1" x14ac:dyDescent="0.3">
      <c r="A26" s="26">
        <v>45862</v>
      </c>
      <c r="B26" s="27" t="s">
        <v>4</v>
      </c>
      <c r="C26" s="24">
        <v>-20.12</v>
      </c>
    </row>
    <row r="27" spans="1:3" hidden="1" x14ac:dyDescent="0.3">
      <c r="A27" s="26">
        <v>45868</v>
      </c>
      <c r="B27" s="27" t="s">
        <v>4</v>
      </c>
      <c r="C27" s="24">
        <v>-64.58</v>
      </c>
    </row>
    <row r="28" spans="1:3" hidden="1" x14ac:dyDescent="0.3">
      <c r="A28" s="26">
        <v>45868</v>
      </c>
      <c r="B28" s="27" t="s">
        <v>4</v>
      </c>
      <c r="C28" s="24">
        <v>-13.51</v>
      </c>
    </row>
    <row r="29" spans="1:3" x14ac:dyDescent="0.3">
      <c r="A29" s="26">
        <v>45868</v>
      </c>
      <c r="B29" s="27" t="s">
        <v>1</v>
      </c>
      <c r="C29" s="24">
        <v>33.65</v>
      </c>
    </row>
    <row r="30" spans="1:3" x14ac:dyDescent="0.3">
      <c r="A30" s="26">
        <v>45868</v>
      </c>
      <c r="B30" s="34" t="s">
        <v>21</v>
      </c>
      <c r="C30" s="24">
        <v>58.76</v>
      </c>
    </row>
    <row r="31" spans="1:3" x14ac:dyDescent="0.3">
      <c r="A31" s="26">
        <v>45875</v>
      </c>
      <c r="B31" s="27" t="s">
        <v>4</v>
      </c>
      <c r="C31" s="24">
        <v>-73.67</v>
      </c>
    </row>
    <row r="32" spans="1:3" x14ac:dyDescent="0.3">
      <c r="A32" s="26">
        <v>45875</v>
      </c>
      <c r="B32" s="27" t="s">
        <v>7</v>
      </c>
      <c r="C32" s="24">
        <v>-20</v>
      </c>
    </row>
    <row r="33" spans="1:3" x14ac:dyDescent="0.3">
      <c r="A33" s="26">
        <v>45875</v>
      </c>
      <c r="B33" s="32" t="s">
        <v>21</v>
      </c>
      <c r="C33" s="24">
        <v>33.33</v>
      </c>
    </row>
    <row r="34" spans="1:3" x14ac:dyDescent="0.3">
      <c r="A34" s="26">
        <v>45875</v>
      </c>
      <c r="B34" s="34" t="s">
        <v>21</v>
      </c>
      <c r="C34" s="24">
        <v>65.33</v>
      </c>
    </row>
    <row r="35" spans="1:3" x14ac:dyDescent="0.3">
      <c r="A35" s="26">
        <v>45882</v>
      </c>
      <c r="B35" s="27" t="s">
        <v>4</v>
      </c>
      <c r="C35" s="24">
        <v>-20.97</v>
      </c>
    </row>
    <row r="36" spans="1:3" x14ac:dyDescent="0.3">
      <c r="A36" s="26">
        <v>45882</v>
      </c>
      <c r="B36" s="27" t="s">
        <v>7</v>
      </c>
      <c r="C36" s="24">
        <v>-57.71</v>
      </c>
    </row>
    <row r="37" spans="1:3" x14ac:dyDescent="0.3">
      <c r="A37" s="26">
        <v>45882</v>
      </c>
      <c r="B37" s="32" t="s">
        <v>21</v>
      </c>
      <c r="C37" s="24">
        <v>17.48</v>
      </c>
    </row>
    <row r="38" spans="1:3" x14ac:dyDescent="0.3">
      <c r="A38" s="26">
        <v>45882</v>
      </c>
      <c r="B38" s="34" t="s">
        <v>21</v>
      </c>
      <c r="C38" s="24">
        <v>27.03</v>
      </c>
    </row>
    <row r="39" spans="1:3" x14ac:dyDescent="0.3">
      <c r="A39" s="26">
        <v>45889</v>
      </c>
      <c r="B39" s="27" t="s">
        <v>4</v>
      </c>
      <c r="C39" s="24">
        <v>-20</v>
      </c>
    </row>
    <row r="40" spans="1:3" x14ac:dyDescent="0.3">
      <c r="A40" s="26">
        <v>45889</v>
      </c>
      <c r="B40" s="27" t="s">
        <v>4</v>
      </c>
      <c r="C40" s="24">
        <v>-44.51</v>
      </c>
    </row>
    <row r="41" spans="1:3" x14ac:dyDescent="0.3">
      <c r="A41" s="26">
        <v>45889</v>
      </c>
      <c r="B41" s="32" t="s">
        <v>21</v>
      </c>
      <c r="C41" s="24">
        <v>53.83</v>
      </c>
    </row>
    <row r="42" spans="1:3" x14ac:dyDescent="0.3">
      <c r="A42" s="26">
        <v>45889</v>
      </c>
      <c r="B42" s="34" t="s">
        <v>21</v>
      </c>
      <c r="C42" s="24">
        <v>51.66</v>
      </c>
    </row>
    <row r="43" spans="1:3" x14ac:dyDescent="0.3">
      <c r="A43" s="26">
        <v>45896</v>
      </c>
      <c r="B43" s="27" t="s">
        <v>4</v>
      </c>
      <c r="C43" s="24">
        <v>-48.49</v>
      </c>
    </row>
    <row r="44" spans="1:3" x14ac:dyDescent="0.3">
      <c r="A44" s="26">
        <v>45896</v>
      </c>
      <c r="B44" s="32" t="s">
        <v>21</v>
      </c>
      <c r="C44" s="24">
        <v>15.85</v>
      </c>
    </row>
    <row r="45" spans="1:3" x14ac:dyDescent="0.3">
      <c r="A45" s="26">
        <v>45896</v>
      </c>
      <c r="B45" s="34" t="s">
        <v>21</v>
      </c>
      <c r="C45" s="24">
        <v>70.25</v>
      </c>
    </row>
    <row r="46" spans="1:3" x14ac:dyDescent="0.3">
      <c r="A46" s="26">
        <v>45903</v>
      </c>
      <c r="B46" s="27" t="s">
        <v>4</v>
      </c>
      <c r="C46" s="24">
        <v>-36.1</v>
      </c>
    </row>
    <row r="47" spans="1:3" x14ac:dyDescent="0.3">
      <c r="A47" s="26">
        <v>45903</v>
      </c>
      <c r="B47" s="27" t="s">
        <v>4</v>
      </c>
      <c r="C47" s="24">
        <v>-57.01</v>
      </c>
    </row>
    <row r="48" spans="1:3" x14ac:dyDescent="0.3">
      <c r="A48" s="26">
        <v>45903</v>
      </c>
      <c r="B48" s="32" t="s">
        <v>21</v>
      </c>
      <c r="C48" s="24">
        <v>34.43</v>
      </c>
    </row>
    <row r="49" spans="1:3" x14ac:dyDescent="0.3">
      <c r="A49" s="26">
        <v>45903</v>
      </c>
      <c r="B49" s="34" t="s">
        <v>21</v>
      </c>
      <c r="C49" s="24">
        <v>35.22</v>
      </c>
    </row>
    <row r="50" spans="1:3" x14ac:dyDescent="0.3">
      <c r="A50" s="26">
        <v>45910</v>
      </c>
      <c r="B50" s="27" t="s">
        <v>7</v>
      </c>
      <c r="C50" s="24">
        <v>-18.059999999999999</v>
      </c>
    </row>
    <row r="51" spans="1:3" x14ac:dyDescent="0.3">
      <c r="A51" s="26">
        <v>45910</v>
      </c>
      <c r="B51" s="27" t="s">
        <v>7</v>
      </c>
      <c r="C51" s="24">
        <v>-45</v>
      </c>
    </row>
    <row r="52" spans="1:3" x14ac:dyDescent="0.3">
      <c r="A52" s="26">
        <v>45910</v>
      </c>
      <c r="B52" s="32" t="s">
        <v>21</v>
      </c>
      <c r="C52" s="24">
        <v>10.3</v>
      </c>
    </row>
    <row r="53" spans="1:3" x14ac:dyDescent="0.3">
      <c r="A53" s="26">
        <v>45910</v>
      </c>
      <c r="B53" s="34" t="s">
        <v>21</v>
      </c>
      <c r="C53" s="24">
        <v>37.270000000000003</v>
      </c>
    </row>
    <row r="54" spans="1:3" x14ac:dyDescent="0.3">
      <c r="A54" s="26">
        <v>45917</v>
      </c>
      <c r="B54" s="27" t="s">
        <v>4</v>
      </c>
      <c r="C54" s="24">
        <v>-29.84</v>
      </c>
    </row>
    <row r="55" spans="1:3" x14ac:dyDescent="0.3">
      <c r="A55" s="26">
        <v>45917</v>
      </c>
      <c r="B55" s="27" t="s">
        <v>7</v>
      </c>
      <c r="C55" s="24">
        <v>-5.45</v>
      </c>
    </row>
    <row r="56" spans="1:3" x14ac:dyDescent="0.3">
      <c r="A56" s="26">
        <v>45917</v>
      </c>
      <c r="B56" s="32" t="s">
        <v>21</v>
      </c>
      <c r="C56" s="24">
        <v>24.59</v>
      </c>
    </row>
    <row r="57" spans="1:3" x14ac:dyDescent="0.3">
      <c r="A57" s="26">
        <v>45917</v>
      </c>
      <c r="B57" s="34" t="s">
        <v>21</v>
      </c>
      <c r="C57" s="24">
        <v>19.62</v>
      </c>
    </row>
    <row r="58" spans="1:3" x14ac:dyDescent="0.3">
      <c r="A58" s="26">
        <v>45922</v>
      </c>
      <c r="B58" s="27" t="s">
        <v>4</v>
      </c>
      <c r="C58" s="24">
        <v>-20</v>
      </c>
    </row>
    <row r="59" spans="1:3" x14ac:dyDescent="0.3">
      <c r="A59" s="26">
        <v>45924</v>
      </c>
      <c r="B59" s="27" t="s">
        <v>4</v>
      </c>
      <c r="C59" s="24">
        <v>-47.57</v>
      </c>
    </row>
    <row r="60" spans="1:3" x14ac:dyDescent="0.3">
      <c r="A60" s="26">
        <v>45924</v>
      </c>
      <c r="B60" s="32" t="s">
        <v>21</v>
      </c>
      <c r="C60" s="24">
        <v>33.33</v>
      </c>
    </row>
    <row r="61" spans="1:3" x14ac:dyDescent="0.3">
      <c r="A61" s="26">
        <v>45924</v>
      </c>
      <c r="B61" s="34" t="s">
        <v>21</v>
      </c>
      <c r="C61" s="24">
        <v>62.51</v>
      </c>
    </row>
    <row r="62" spans="1:3" x14ac:dyDescent="0.3">
      <c r="A62" s="26">
        <v>45931</v>
      </c>
      <c r="B62" s="27" t="s">
        <v>4</v>
      </c>
      <c r="C62" s="24">
        <v>-44.21</v>
      </c>
    </row>
    <row r="63" spans="1:3" x14ac:dyDescent="0.3">
      <c r="A63" s="26">
        <v>45931</v>
      </c>
      <c r="B63" s="27" t="s">
        <v>7</v>
      </c>
      <c r="C63" s="24">
        <v>-57.69</v>
      </c>
    </row>
    <row r="64" spans="1:3" x14ac:dyDescent="0.3">
      <c r="A64" s="26">
        <v>45931</v>
      </c>
      <c r="B64" s="32" t="s">
        <v>21</v>
      </c>
      <c r="C64" s="24">
        <v>8.74</v>
      </c>
    </row>
    <row r="65" spans="1:3" x14ac:dyDescent="0.3">
      <c r="A65" s="26">
        <v>45931</v>
      </c>
      <c r="B65" s="34" t="s">
        <v>21</v>
      </c>
      <c r="C65" s="24">
        <v>31.17</v>
      </c>
    </row>
    <row r="66" spans="1:3" x14ac:dyDescent="0.3">
      <c r="A66" s="26">
        <v>45938</v>
      </c>
      <c r="B66" s="27" t="s">
        <v>4</v>
      </c>
      <c r="C66" s="24">
        <v>-38.130000000000003</v>
      </c>
    </row>
    <row r="67" spans="1:3" x14ac:dyDescent="0.3">
      <c r="A67" s="26">
        <v>45938</v>
      </c>
      <c r="B67" s="32" t="s">
        <v>21</v>
      </c>
      <c r="C67" s="24">
        <v>25.12</v>
      </c>
    </row>
    <row r="68" spans="1:3" x14ac:dyDescent="0.3">
      <c r="A68" s="26">
        <v>45938</v>
      </c>
      <c r="B68" s="34" t="s">
        <v>21</v>
      </c>
      <c r="C68" s="24">
        <v>83.21</v>
      </c>
    </row>
    <row r="69" spans="1:3" x14ac:dyDescent="0.3">
      <c r="A69" s="26">
        <v>45945</v>
      </c>
      <c r="B69" s="27" t="s">
        <v>4</v>
      </c>
      <c r="C69" s="24">
        <v>-39.909999999999997</v>
      </c>
    </row>
    <row r="70" spans="1:3" x14ac:dyDescent="0.3">
      <c r="A70" s="26">
        <v>45945</v>
      </c>
      <c r="B70" s="27" t="s">
        <v>4</v>
      </c>
      <c r="C70" s="24">
        <v>-35.159999999999997</v>
      </c>
    </row>
    <row r="71" spans="1:3" x14ac:dyDescent="0.3">
      <c r="A71" s="26">
        <v>45945</v>
      </c>
      <c r="B71" s="27" t="s">
        <v>7</v>
      </c>
      <c r="C71" s="24">
        <v>-54.19</v>
      </c>
    </row>
    <row r="72" spans="1:3" x14ac:dyDescent="0.3">
      <c r="A72" s="26">
        <v>45945</v>
      </c>
      <c r="B72" s="32" t="s">
        <v>21</v>
      </c>
      <c r="C72" s="24">
        <v>25.12</v>
      </c>
    </row>
    <row r="73" spans="1:3" x14ac:dyDescent="0.3">
      <c r="A73" s="26">
        <v>45945</v>
      </c>
      <c r="B73" s="34" t="s">
        <v>21</v>
      </c>
      <c r="C73" s="24">
        <v>37.92</v>
      </c>
    </row>
    <row r="74" spans="1:3" x14ac:dyDescent="0.3">
      <c r="A74" s="26">
        <v>45952</v>
      </c>
      <c r="B74" s="27" t="s">
        <v>4</v>
      </c>
      <c r="C74" s="24">
        <v>-18.98</v>
      </c>
    </row>
    <row r="75" spans="1:3" x14ac:dyDescent="0.3">
      <c r="A75" s="26">
        <v>45952</v>
      </c>
      <c r="B75" s="27" t="s">
        <v>7</v>
      </c>
      <c r="C75" s="24">
        <v>-39.5</v>
      </c>
    </row>
    <row r="76" spans="1:3" x14ac:dyDescent="0.3">
      <c r="A76" s="26">
        <v>45952</v>
      </c>
      <c r="B76" s="32" t="s">
        <v>21</v>
      </c>
      <c r="C76" s="24">
        <v>25.12</v>
      </c>
    </row>
    <row r="77" spans="1:3" x14ac:dyDescent="0.3">
      <c r="A77" s="26">
        <v>45952</v>
      </c>
      <c r="B77" s="34" t="s">
        <v>21</v>
      </c>
      <c r="C77" s="24">
        <v>62.76</v>
      </c>
    </row>
    <row r="78" spans="1:3" x14ac:dyDescent="0.3">
      <c r="A78" s="26">
        <v>45959</v>
      </c>
      <c r="B78" s="27" t="s">
        <v>4</v>
      </c>
      <c r="C78" s="24">
        <v>-25.01</v>
      </c>
    </row>
    <row r="79" spans="1:3" x14ac:dyDescent="0.3">
      <c r="A79" s="26">
        <v>45959</v>
      </c>
      <c r="B79" s="27" t="s">
        <v>4</v>
      </c>
      <c r="C79" s="24">
        <v>-59.12</v>
      </c>
    </row>
    <row r="80" spans="1:3" x14ac:dyDescent="0.3">
      <c r="A80" s="26">
        <v>45959</v>
      </c>
      <c r="B80" s="27" t="s">
        <v>7</v>
      </c>
      <c r="C80" s="24">
        <v>-28.78</v>
      </c>
    </row>
    <row r="81" spans="1:8" x14ac:dyDescent="0.3">
      <c r="A81" s="26">
        <v>45959</v>
      </c>
      <c r="B81" s="32" t="s">
        <v>21</v>
      </c>
      <c r="C81" s="24">
        <v>44.18</v>
      </c>
    </row>
    <row r="82" spans="1:8" x14ac:dyDescent="0.3">
      <c r="A82" s="26">
        <v>45959</v>
      </c>
      <c r="B82" s="34" t="s">
        <v>21</v>
      </c>
      <c r="C82" s="24">
        <v>40.56</v>
      </c>
    </row>
    <row r="83" spans="1:8" x14ac:dyDescent="0.3">
      <c r="A83" s="26">
        <v>45966</v>
      </c>
      <c r="B83" s="27" t="s">
        <v>4</v>
      </c>
      <c r="C83" s="24">
        <v>-24.03</v>
      </c>
    </row>
    <row r="84" spans="1:8" x14ac:dyDescent="0.3">
      <c r="A84" s="26">
        <v>45966</v>
      </c>
      <c r="B84" s="27" t="s">
        <v>7</v>
      </c>
      <c r="C84" s="24">
        <v>-62.03</v>
      </c>
    </row>
    <row r="85" spans="1:8" x14ac:dyDescent="0.3">
      <c r="A85" s="26">
        <v>45966</v>
      </c>
      <c r="B85" s="32" t="s">
        <v>21</v>
      </c>
      <c r="C85" s="24">
        <v>64.66</v>
      </c>
    </row>
    <row r="86" spans="1:8" x14ac:dyDescent="0.3">
      <c r="A86" s="26">
        <v>45966</v>
      </c>
      <c r="B86" s="34" t="s">
        <v>21</v>
      </c>
      <c r="C86" s="24">
        <v>79.62</v>
      </c>
    </row>
    <row r="87" spans="1:8" x14ac:dyDescent="0.3">
      <c r="A87" s="26">
        <v>45973</v>
      </c>
      <c r="B87" s="27" t="s">
        <v>4</v>
      </c>
      <c r="C87" s="24">
        <v>-42.91</v>
      </c>
    </row>
    <row r="88" spans="1:8" x14ac:dyDescent="0.3">
      <c r="A88" s="26">
        <v>45973</v>
      </c>
      <c r="B88" s="27" t="s">
        <v>1</v>
      </c>
      <c r="C88" s="24">
        <v>64.790000000000006</v>
      </c>
    </row>
    <row r="89" spans="1:8" x14ac:dyDescent="0.3">
      <c r="A89" s="26">
        <v>45980</v>
      </c>
      <c r="B89" s="27" t="s">
        <v>4</v>
      </c>
      <c r="C89" s="24">
        <v>-63.09</v>
      </c>
    </row>
    <row r="90" spans="1:8" x14ac:dyDescent="0.3">
      <c r="A90" s="26">
        <v>45980</v>
      </c>
      <c r="B90" s="27" t="s">
        <v>7</v>
      </c>
      <c r="C90" s="24">
        <v>-15.11</v>
      </c>
    </row>
    <row r="91" spans="1:8" x14ac:dyDescent="0.3">
      <c r="A91" s="26">
        <v>45980</v>
      </c>
      <c r="B91" s="27" t="s">
        <v>1</v>
      </c>
      <c r="C91" s="24">
        <v>72.58</v>
      </c>
    </row>
    <row r="92" spans="1:8" x14ac:dyDescent="0.3">
      <c r="A92" s="26">
        <v>45987</v>
      </c>
      <c r="B92" s="27" t="s">
        <v>4</v>
      </c>
      <c r="C92" s="24">
        <v>-64.790000000000006</v>
      </c>
    </row>
    <row r="93" spans="1:8" x14ac:dyDescent="0.3">
      <c r="A93" s="26">
        <v>45987</v>
      </c>
      <c r="B93" s="27" t="s">
        <v>1</v>
      </c>
      <c r="C93" s="24">
        <v>88.07</v>
      </c>
      <c r="H93" s="78"/>
    </row>
    <row r="94" spans="1:8" x14ac:dyDescent="0.3">
      <c r="A94" s="26">
        <v>45994</v>
      </c>
      <c r="B94" s="27" t="s">
        <v>4</v>
      </c>
      <c r="C94" s="24">
        <v>-72.58</v>
      </c>
    </row>
    <row r="95" spans="1:8" x14ac:dyDescent="0.3">
      <c r="A95" s="26">
        <v>45994</v>
      </c>
      <c r="B95" s="27" t="s">
        <v>4</v>
      </c>
      <c r="C95" s="24">
        <v>-38.07</v>
      </c>
    </row>
    <row r="96" spans="1:8" x14ac:dyDescent="0.3">
      <c r="A96" s="26">
        <v>45994</v>
      </c>
      <c r="B96" s="27" t="s">
        <v>1</v>
      </c>
      <c r="C96" s="24">
        <v>143.76</v>
      </c>
    </row>
    <row r="97" spans="1:3" x14ac:dyDescent="0.3">
      <c r="A97" s="26">
        <v>46001</v>
      </c>
      <c r="B97" s="27" t="s">
        <v>4</v>
      </c>
      <c r="C97" s="24">
        <v>-50</v>
      </c>
    </row>
    <row r="98" spans="1:3" x14ac:dyDescent="0.3">
      <c r="A98" s="26">
        <v>46001</v>
      </c>
      <c r="B98" s="27" t="s">
        <v>4</v>
      </c>
      <c r="C98" s="24">
        <v>-50</v>
      </c>
    </row>
    <row r="99" spans="1:3" x14ac:dyDescent="0.3">
      <c r="A99" s="26">
        <v>46001</v>
      </c>
      <c r="B99" s="27" t="s">
        <v>7</v>
      </c>
      <c r="C99" s="24">
        <v>-17.86</v>
      </c>
    </row>
    <row r="100" spans="1:3" x14ac:dyDescent="0.3">
      <c r="A100" s="26">
        <v>46001</v>
      </c>
      <c r="B100" s="27" t="s">
        <v>1</v>
      </c>
      <c r="C100" s="24">
        <v>97.48</v>
      </c>
    </row>
    <row r="101" spans="1:3" x14ac:dyDescent="0.3">
      <c r="A101" s="26">
        <v>46008</v>
      </c>
      <c r="B101" s="27" t="s">
        <v>4</v>
      </c>
      <c r="C101" s="24">
        <v>-93.76</v>
      </c>
    </row>
    <row r="102" spans="1:3" x14ac:dyDescent="0.3">
      <c r="A102" s="26">
        <v>46008</v>
      </c>
      <c r="B102" s="27" t="s">
        <v>4</v>
      </c>
      <c r="C102" s="24">
        <v>-97.48</v>
      </c>
    </row>
    <row r="103" spans="1:3" x14ac:dyDescent="0.3">
      <c r="A103" s="26">
        <v>46008</v>
      </c>
      <c r="B103" s="27" t="s">
        <v>1</v>
      </c>
      <c r="C103" s="24">
        <v>324.3</v>
      </c>
    </row>
    <row r="104" spans="1:3" x14ac:dyDescent="0.3">
      <c r="A104" s="26">
        <v>46017</v>
      </c>
      <c r="B104" s="27" t="s">
        <v>4</v>
      </c>
      <c r="C104" s="24">
        <v>-120.13</v>
      </c>
    </row>
    <row r="105" spans="1:3" x14ac:dyDescent="0.3">
      <c r="A105" s="26">
        <v>46020</v>
      </c>
      <c r="B105" s="27" t="s">
        <v>4</v>
      </c>
      <c r="C105" s="24">
        <v>-100</v>
      </c>
    </row>
    <row r="106" spans="1:3" x14ac:dyDescent="0.3">
      <c r="A106" s="26">
        <v>46020</v>
      </c>
      <c r="B106" s="27" t="s">
        <v>1</v>
      </c>
      <c r="C106" s="24">
        <v>100.24</v>
      </c>
    </row>
    <row r="107" spans="1:3" x14ac:dyDescent="0.3">
      <c r="A107" s="26">
        <v>46028</v>
      </c>
      <c r="B107" s="27" t="s">
        <v>4</v>
      </c>
      <c r="C107" s="24">
        <v>-104.18</v>
      </c>
    </row>
    <row r="108" spans="1:3" x14ac:dyDescent="0.3">
      <c r="A108" s="26">
        <v>46029</v>
      </c>
      <c r="B108" s="27" t="s">
        <v>4</v>
      </c>
      <c r="C108" s="24">
        <v>-100.14</v>
      </c>
    </row>
    <row r="109" spans="1:3" x14ac:dyDescent="0.3">
      <c r="A109" s="26">
        <v>46029</v>
      </c>
      <c r="B109" s="27" t="s">
        <v>1</v>
      </c>
      <c r="C109" s="24">
        <v>100.26</v>
      </c>
    </row>
    <row r="110" spans="1:3" x14ac:dyDescent="0.3">
      <c r="A110" s="26">
        <v>46036</v>
      </c>
      <c r="B110" s="27" t="s">
        <v>4</v>
      </c>
      <c r="C110" s="24">
        <v>-50</v>
      </c>
    </row>
    <row r="111" spans="1:3" x14ac:dyDescent="0.3">
      <c r="A111" s="26">
        <v>46036</v>
      </c>
      <c r="B111" s="27" t="s">
        <v>1</v>
      </c>
      <c r="C111" s="24">
        <v>26.96</v>
      </c>
    </row>
    <row r="112" spans="1:3" x14ac:dyDescent="0.3">
      <c r="A112" s="26">
        <v>46043</v>
      </c>
      <c r="B112" s="27" t="s">
        <v>4</v>
      </c>
      <c r="C112" s="24">
        <v>-26.98</v>
      </c>
    </row>
    <row r="113" spans="1:3" x14ac:dyDescent="0.3">
      <c r="A113" s="26">
        <v>46043</v>
      </c>
      <c r="B113" s="27" t="s">
        <v>1</v>
      </c>
      <c r="C113" s="24">
        <v>99.5</v>
      </c>
    </row>
    <row r="114" spans="1:3" x14ac:dyDescent="0.3">
      <c r="A114" s="26">
        <v>46050</v>
      </c>
      <c r="B114" s="27" t="s">
        <v>4</v>
      </c>
      <c r="C114" s="24">
        <v>-22.13</v>
      </c>
    </row>
    <row r="115" spans="1:3" x14ac:dyDescent="0.3">
      <c r="A115" s="26">
        <v>46050</v>
      </c>
      <c r="B115" s="27" t="s">
        <v>4</v>
      </c>
      <c r="C115" s="24">
        <v>-28.13</v>
      </c>
    </row>
    <row r="116" spans="1:3" x14ac:dyDescent="0.3">
      <c r="A116" s="26">
        <v>46050</v>
      </c>
      <c r="B116" s="27" t="s">
        <v>4</v>
      </c>
      <c r="C116" s="24">
        <v>-22.13</v>
      </c>
    </row>
    <row r="117" spans="1:3" x14ac:dyDescent="0.3">
      <c r="A117" s="26">
        <v>46050</v>
      </c>
      <c r="B117" s="27" t="s">
        <v>1</v>
      </c>
      <c r="C117" s="24">
        <v>69.05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E072-AC09-4682-868E-484A13CDB495}">
  <dimension ref="A1:H93"/>
  <sheetViews>
    <sheetView view="pageBreakPreview" zoomScale="85" zoomScaleNormal="100" zoomScaleSheetLayoutView="85" workbookViewId="0">
      <selection activeCell="C10" sqref="C1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8.33203125" style="17" bestFit="1" customWidth="1"/>
    <col min="9" max="16384" width="10.88671875" style="18"/>
  </cols>
  <sheetData>
    <row r="1" spans="1:8" x14ac:dyDescent="0.3">
      <c r="A1" s="16" t="s">
        <v>15</v>
      </c>
      <c r="B1" s="17" t="s">
        <v>544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48.13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46042</v>
      </c>
      <c r="B5" s="71" t="s">
        <v>21</v>
      </c>
      <c r="C5" s="24">
        <v>82.04</v>
      </c>
      <c r="D5" s="30"/>
      <c r="E5" s="30"/>
      <c r="F5" s="30"/>
      <c r="G5" s="22"/>
    </row>
    <row r="6" spans="1:8" x14ac:dyDescent="0.3">
      <c r="A6" s="21">
        <v>46048</v>
      </c>
      <c r="B6" s="71" t="s">
        <v>4</v>
      </c>
      <c r="C6" s="24">
        <v>-82.04</v>
      </c>
    </row>
    <row r="7" spans="1:8" x14ac:dyDescent="0.3">
      <c r="A7" s="21">
        <v>46049</v>
      </c>
      <c r="B7" s="27" t="s">
        <v>1</v>
      </c>
      <c r="C7" s="24">
        <v>26.58</v>
      </c>
    </row>
    <row r="8" spans="1:8" x14ac:dyDescent="0.3">
      <c r="A8" s="26">
        <v>46056</v>
      </c>
      <c r="B8" s="27" t="s">
        <v>4</v>
      </c>
      <c r="C8" s="24">
        <v>-26.58</v>
      </c>
    </row>
    <row r="9" spans="1:8" x14ac:dyDescent="0.3">
      <c r="A9" s="26">
        <v>46056</v>
      </c>
      <c r="B9" s="71" t="s">
        <v>1</v>
      </c>
      <c r="C9" s="24">
        <v>48.13</v>
      </c>
    </row>
    <row r="10" spans="1:8" x14ac:dyDescent="0.3">
      <c r="B10" s="71"/>
    </row>
    <row r="12" spans="1:8" x14ac:dyDescent="0.3">
      <c r="B12" s="31"/>
    </row>
    <row r="13" spans="1:8" x14ac:dyDescent="0.3">
      <c r="B13" s="71"/>
    </row>
    <row r="14" spans="1:8" x14ac:dyDescent="0.3">
      <c r="B14" s="71"/>
    </row>
    <row r="16" spans="1:8" x14ac:dyDescent="0.3">
      <c r="B16" s="71"/>
    </row>
    <row r="17" spans="2:2" x14ac:dyDescent="0.3">
      <c r="B17" s="71"/>
    </row>
    <row r="20" spans="2:2" x14ac:dyDescent="0.3">
      <c r="B20" s="71"/>
    </row>
    <row r="21" spans="2:2" x14ac:dyDescent="0.3">
      <c r="B21" s="71"/>
    </row>
    <row r="24" spans="2:2" x14ac:dyDescent="0.3">
      <c r="B24" s="71"/>
    </row>
    <row r="25" spans="2:2" x14ac:dyDescent="0.3">
      <c r="B25" s="71"/>
    </row>
    <row r="30" spans="2:2" x14ac:dyDescent="0.3">
      <c r="B30" s="71"/>
    </row>
    <row r="33" spans="2:2" x14ac:dyDescent="0.3">
      <c r="B33" s="71"/>
    </row>
    <row r="34" spans="2:2" x14ac:dyDescent="0.3">
      <c r="B34" s="71"/>
    </row>
    <row r="37" spans="2:2" x14ac:dyDescent="0.3">
      <c r="B37" s="71"/>
    </row>
    <row r="38" spans="2:2" x14ac:dyDescent="0.3">
      <c r="B38" s="71"/>
    </row>
    <row r="41" spans="2:2" x14ac:dyDescent="0.3">
      <c r="B41" s="71"/>
    </row>
    <row r="42" spans="2:2" x14ac:dyDescent="0.3">
      <c r="B42" s="71"/>
    </row>
    <row r="44" spans="2:2" x14ac:dyDescent="0.3">
      <c r="B44" s="71"/>
    </row>
    <row r="45" spans="2:2" x14ac:dyDescent="0.3">
      <c r="B45" s="71"/>
    </row>
    <row r="48" spans="2:2" x14ac:dyDescent="0.3">
      <c r="B48" s="71"/>
    </row>
    <row r="49" spans="2:2" x14ac:dyDescent="0.3">
      <c r="B49" s="71"/>
    </row>
    <row r="52" spans="2:2" x14ac:dyDescent="0.3">
      <c r="B52" s="71"/>
    </row>
    <row r="53" spans="2:2" x14ac:dyDescent="0.3">
      <c r="B53" s="71"/>
    </row>
    <row r="56" spans="2:2" x14ac:dyDescent="0.3">
      <c r="B56" s="71"/>
    </row>
    <row r="57" spans="2:2" x14ac:dyDescent="0.3">
      <c r="B57" s="71"/>
    </row>
    <row r="60" spans="2:2" x14ac:dyDescent="0.3">
      <c r="B60" s="71"/>
    </row>
    <row r="61" spans="2:2" x14ac:dyDescent="0.3">
      <c r="B61" s="71"/>
    </row>
    <row r="64" spans="2:2" x14ac:dyDescent="0.3">
      <c r="B64" s="71"/>
    </row>
    <row r="65" spans="2:2" x14ac:dyDescent="0.3">
      <c r="B65" s="71"/>
    </row>
    <row r="67" spans="2:2" x14ac:dyDescent="0.3">
      <c r="B67" s="71"/>
    </row>
    <row r="68" spans="2:2" x14ac:dyDescent="0.3">
      <c r="B68" s="71"/>
    </row>
    <row r="72" spans="2:2" x14ac:dyDescent="0.3">
      <c r="B72" s="71"/>
    </row>
    <row r="73" spans="2:2" x14ac:dyDescent="0.3">
      <c r="B73" s="71"/>
    </row>
    <row r="76" spans="2:2" x14ac:dyDescent="0.3">
      <c r="B76" s="71"/>
    </row>
    <row r="77" spans="2:2" x14ac:dyDescent="0.3">
      <c r="B77" s="71"/>
    </row>
    <row r="81" spans="2:8" x14ac:dyDescent="0.3">
      <c r="B81" s="71"/>
    </row>
    <row r="82" spans="2:8" x14ac:dyDescent="0.3">
      <c r="B82" s="71"/>
    </row>
    <row r="85" spans="2:8" x14ac:dyDescent="0.3">
      <c r="B85" s="71"/>
    </row>
    <row r="86" spans="2:8" x14ac:dyDescent="0.3">
      <c r="B86" s="71"/>
    </row>
    <row r="93" spans="2:8" x14ac:dyDescent="0.3">
      <c r="H93" s="78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89F5-09A1-445E-ADC8-F919C02F2AD6}">
  <sheetPr codeName="Hoja112"/>
  <dimension ref="A1:I63"/>
  <sheetViews>
    <sheetView view="pageBreakPreview" zoomScale="85" zoomScaleNormal="100" zoomScaleSheetLayoutView="85" workbookViewId="0">
      <selection activeCell="C64" sqref="C64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28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68.999999999999943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45812</v>
      </c>
      <c r="B5" s="32" t="s">
        <v>21</v>
      </c>
      <c r="C5" s="24">
        <v>39.36</v>
      </c>
      <c r="D5" s="30"/>
      <c r="E5" s="30"/>
      <c r="F5" s="30"/>
      <c r="G5" s="22"/>
    </row>
    <row r="6" spans="1:9" hidden="1" x14ac:dyDescent="0.3">
      <c r="A6" s="21">
        <v>45820</v>
      </c>
      <c r="B6" s="31" t="s">
        <v>4</v>
      </c>
      <c r="C6" s="24">
        <v>-39.36</v>
      </c>
    </row>
    <row r="7" spans="1:9" hidden="1" x14ac:dyDescent="0.3">
      <c r="A7" s="21">
        <v>45820</v>
      </c>
      <c r="B7" s="32" t="s">
        <v>21</v>
      </c>
      <c r="C7" s="24">
        <v>88.52</v>
      </c>
    </row>
    <row r="8" spans="1:9" hidden="1" x14ac:dyDescent="0.3">
      <c r="A8" s="26">
        <v>45825</v>
      </c>
      <c r="B8" s="27" t="s">
        <v>4</v>
      </c>
      <c r="C8" s="24">
        <v>-88.52</v>
      </c>
    </row>
    <row r="9" spans="1:9" hidden="1" x14ac:dyDescent="0.3">
      <c r="A9" s="26">
        <v>45827</v>
      </c>
      <c r="B9" s="32" t="s">
        <v>21</v>
      </c>
      <c r="C9" s="24">
        <v>74.64</v>
      </c>
      <c r="I9" s="25"/>
    </row>
    <row r="10" spans="1:9" hidden="1" x14ac:dyDescent="0.3">
      <c r="A10" s="26">
        <v>45834</v>
      </c>
      <c r="B10" s="32" t="s">
        <v>21</v>
      </c>
      <c r="C10" s="24">
        <v>50.31</v>
      </c>
    </row>
    <row r="11" spans="1:9" hidden="1" x14ac:dyDescent="0.3">
      <c r="A11" s="26">
        <v>45835</v>
      </c>
      <c r="B11" s="27" t="s">
        <v>4</v>
      </c>
      <c r="C11" s="24">
        <v>-74.64</v>
      </c>
    </row>
    <row r="12" spans="1:9" hidden="1" x14ac:dyDescent="0.3">
      <c r="A12" s="26">
        <v>45842</v>
      </c>
      <c r="B12" s="31" t="s">
        <v>4</v>
      </c>
      <c r="C12" s="24">
        <v>-50.31</v>
      </c>
    </row>
    <row r="13" spans="1:9" hidden="1" x14ac:dyDescent="0.3">
      <c r="A13" s="26">
        <v>45842</v>
      </c>
      <c r="B13" s="32" t="s">
        <v>21</v>
      </c>
      <c r="C13" s="24">
        <v>49.2</v>
      </c>
    </row>
    <row r="14" spans="1:9" hidden="1" x14ac:dyDescent="0.3">
      <c r="A14" s="26">
        <v>45849</v>
      </c>
      <c r="B14" s="27" t="s">
        <v>4</v>
      </c>
      <c r="C14" s="24">
        <v>-49.2</v>
      </c>
      <c r="D14" s="25">
        <v>2</v>
      </c>
    </row>
    <row r="15" spans="1:9" hidden="1" x14ac:dyDescent="0.3">
      <c r="A15" s="26">
        <v>45849</v>
      </c>
      <c r="B15" s="32" t="s">
        <v>21</v>
      </c>
      <c r="C15" s="24">
        <v>29.2</v>
      </c>
    </row>
    <row r="16" spans="1:9" hidden="1" x14ac:dyDescent="0.3">
      <c r="A16" s="26">
        <v>45859</v>
      </c>
      <c r="B16" s="27" t="s">
        <v>4</v>
      </c>
      <c r="C16" s="24">
        <v>-29.2</v>
      </c>
    </row>
    <row r="17" spans="1:4" hidden="1" x14ac:dyDescent="0.3">
      <c r="A17" s="26">
        <v>45856</v>
      </c>
      <c r="B17" s="32" t="s">
        <v>21</v>
      </c>
      <c r="C17" s="24">
        <v>39.36</v>
      </c>
      <c r="D17" s="25">
        <v>-1</v>
      </c>
    </row>
    <row r="18" spans="1:4" hidden="1" x14ac:dyDescent="0.3">
      <c r="A18" s="26">
        <v>45870</v>
      </c>
      <c r="B18" s="32" t="s">
        <v>21</v>
      </c>
      <c r="C18" s="24">
        <v>51.26</v>
      </c>
    </row>
    <row r="19" spans="1:4" hidden="1" x14ac:dyDescent="0.3">
      <c r="A19" s="26">
        <v>45873</v>
      </c>
      <c r="B19" s="27" t="s">
        <v>4</v>
      </c>
      <c r="C19" s="24">
        <v>-39.090000000000003</v>
      </c>
    </row>
    <row r="20" spans="1:4" hidden="1" x14ac:dyDescent="0.3">
      <c r="A20" s="26">
        <v>45877</v>
      </c>
      <c r="B20" s="27" t="s">
        <v>4</v>
      </c>
      <c r="C20" s="24">
        <v>-51.53</v>
      </c>
    </row>
    <row r="21" spans="1:4" hidden="1" x14ac:dyDescent="0.3">
      <c r="A21" s="26">
        <v>45884</v>
      </c>
      <c r="B21" s="32" t="s">
        <v>21</v>
      </c>
      <c r="C21" s="24">
        <v>74.64</v>
      </c>
      <c r="D21" s="25">
        <v>-1</v>
      </c>
    </row>
    <row r="22" spans="1:4" hidden="1" x14ac:dyDescent="0.3">
      <c r="A22" s="26">
        <v>45893</v>
      </c>
      <c r="B22" s="27" t="s">
        <v>4</v>
      </c>
      <c r="C22" s="24">
        <v>-74</v>
      </c>
    </row>
    <row r="23" spans="1:4" hidden="1" x14ac:dyDescent="0.3">
      <c r="A23" s="26">
        <v>45891</v>
      </c>
      <c r="B23" s="32" t="s">
        <v>21</v>
      </c>
      <c r="C23" s="24">
        <v>29.52</v>
      </c>
    </row>
    <row r="24" spans="1:4" hidden="1" x14ac:dyDescent="0.3">
      <c r="A24" s="26">
        <v>45899</v>
      </c>
      <c r="B24" s="32" t="s">
        <v>21</v>
      </c>
      <c r="C24" s="24">
        <v>47.16</v>
      </c>
    </row>
    <row r="25" spans="1:4" hidden="1" x14ac:dyDescent="0.3">
      <c r="A25" s="26">
        <v>45905</v>
      </c>
      <c r="B25" s="27" t="s">
        <v>4</v>
      </c>
      <c r="C25" s="24">
        <v>-77.319999999999993</v>
      </c>
    </row>
    <row r="26" spans="1:4" hidden="1" x14ac:dyDescent="0.3">
      <c r="A26" s="26">
        <v>45905</v>
      </c>
      <c r="B26" s="32" t="s">
        <v>21</v>
      </c>
      <c r="C26" s="24">
        <v>29.52</v>
      </c>
    </row>
    <row r="27" spans="1:4" hidden="1" x14ac:dyDescent="0.3">
      <c r="A27" s="26">
        <v>45917</v>
      </c>
      <c r="B27" s="27" t="s">
        <v>4</v>
      </c>
      <c r="C27" s="24">
        <v>-29.52</v>
      </c>
    </row>
    <row r="28" spans="1:4" hidden="1" x14ac:dyDescent="0.3">
      <c r="A28" s="26">
        <v>45919</v>
      </c>
      <c r="B28" s="32" t="s">
        <v>21</v>
      </c>
      <c r="C28" s="24">
        <v>47.16</v>
      </c>
    </row>
    <row r="29" spans="1:4" hidden="1" x14ac:dyDescent="0.3">
      <c r="A29" s="26">
        <v>45919</v>
      </c>
      <c r="B29" s="32" t="s">
        <v>21</v>
      </c>
      <c r="C29" s="24">
        <v>3.83</v>
      </c>
    </row>
    <row r="30" spans="1:4" hidden="1" x14ac:dyDescent="0.3">
      <c r="A30" s="26">
        <v>45926</v>
      </c>
      <c r="B30" s="27" t="s">
        <v>4</v>
      </c>
      <c r="C30" s="24">
        <v>-51</v>
      </c>
    </row>
    <row r="31" spans="1:4" hidden="1" x14ac:dyDescent="0.3">
      <c r="A31" s="26">
        <v>45933</v>
      </c>
      <c r="B31" s="32" t="s">
        <v>21</v>
      </c>
      <c r="C31" s="24">
        <v>59.88</v>
      </c>
    </row>
    <row r="32" spans="1:4" hidden="1" x14ac:dyDescent="0.3">
      <c r="A32" s="26">
        <v>45940</v>
      </c>
      <c r="B32" s="32" t="s">
        <v>21</v>
      </c>
      <c r="C32" s="24">
        <v>39.36</v>
      </c>
    </row>
    <row r="33" spans="1:3" hidden="1" x14ac:dyDescent="0.3">
      <c r="A33" s="26">
        <v>45942</v>
      </c>
      <c r="B33" s="27" t="s">
        <v>4</v>
      </c>
      <c r="C33" s="24">
        <v>-59.27</v>
      </c>
    </row>
    <row r="34" spans="1:3" hidden="1" x14ac:dyDescent="0.3">
      <c r="A34" s="26">
        <v>45947</v>
      </c>
      <c r="B34" s="32" t="s">
        <v>21</v>
      </c>
      <c r="C34" s="24">
        <v>37.68</v>
      </c>
    </row>
    <row r="35" spans="1:3" hidden="1" x14ac:dyDescent="0.3">
      <c r="A35" s="26">
        <v>45947</v>
      </c>
      <c r="B35" s="32" t="s">
        <v>21</v>
      </c>
      <c r="C35" s="24">
        <v>3.3</v>
      </c>
    </row>
    <row r="36" spans="1:3" hidden="1" x14ac:dyDescent="0.3">
      <c r="A36" s="26">
        <v>45950</v>
      </c>
      <c r="B36" s="27" t="s">
        <v>4</v>
      </c>
      <c r="C36" s="24">
        <v>-39.96</v>
      </c>
    </row>
    <row r="37" spans="1:3" hidden="1" x14ac:dyDescent="0.3">
      <c r="A37" s="26">
        <v>45951</v>
      </c>
      <c r="B37" s="27" t="s">
        <v>4</v>
      </c>
      <c r="C37" s="24">
        <v>-40.98</v>
      </c>
    </row>
    <row r="38" spans="1:3" hidden="1" x14ac:dyDescent="0.3">
      <c r="A38" s="26">
        <v>45954</v>
      </c>
      <c r="B38" s="32" t="s">
        <v>21</v>
      </c>
      <c r="C38" s="24">
        <v>47.16</v>
      </c>
    </row>
    <row r="39" spans="1:3" hidden="1" x14ac:dyDescent="0.3">
      <c r="A39" s="26">
        <v>45961</v>
      </c>
      <c r="B39" s="32" t="s">
        <v>21</v>
      </c>
      <c r="C39" s="24">
        <v>44.46</v>
      </c>
    </row>
    <row r="40" spans="1:3" hidden="1" x14ac:dyDescent="0.3">
      <c r="A40" s="26">
        <v>45965</v>
      </c>
      <c r="B40" s="27" t="s">
        <v>4</v>
      </c>
      <c r="C40" s="24">
        <v>-47.16</v>
      </c>
    </row>
    <row r="41" spans="1:3" hidden="1" x14ac:dyDescent="0.3">
      <c r="A41" s="26">
        <v>45968</v>
      </c>
      <c r="B41" s="32" t="s">
        <v>21</v>
      </c>
      <c r="C41" s="24">
        <v>49.2</v>
      </c>
    </row>
    <row r="42" spans="1:3" hidden="1" x14ac:dyDescent="0.3">
      <c r="A42" s="26">
        <v>45971</v>
      </c>
      <c r="B42" s="27" t="s">
        <v>4</v>
      </c>
      <c r="C42" s="24">
        <v>-44.46</v>
      </c>
    </row>
    <row r="43" spans="1:3" hidden="1" x14ac:dyDescent="0.3">
      <c r="A43" s="26">
        <v>45975</v>
      </c>
      <c r="B43" s="27" t="s">
        <v>4</v>
      </c>
      <c r="C43" s="24">
        <v>-49.2</v>
      </c>
    </row>
    <row r="44" spans="1:3" x14ac:dyDescent="0.3">
      <c r="A44" s="26">
        <v>45975</v>
      </c>
      <c r="B44" s="27" t="s">
        <v>1</v>
      </c>
      <c r="C44" s="24">
        <v>57.36</v>
      </c>
    </row>
    <row r="45" spans="1:3" x14ac:dyDescent="0.3">
      <c r="A45" s="26">
        <v>45982</v>
      </c>
      <c r="B45" s="27" t="s">
        <v>1</v>
      </c>
      <c r="C45" s="24">
        <v>73.739999999999995</v>
      </c>
    </row>
    <row r="46" spans="1:3" x14ac:dyDescent="0.3">
      <c r="A46" s="26">
        <v>45985</v>
      </c>
      <c r="B46" s="27" t="s">
        <v>4</v>
      </c>
      <c r="C46" s="24">
        <v>-57.36</v>
      </c>
    </row>
    <row r="47" spans="1:3" x14ac:dyDescent="0.3">
      <c r="A47" s="26">
        <v>45989</v>
      </c>
      <c r="B47" s="27" t="s">
        <v>1</v>
      </c>
      <c r="C47" s="24">
        <v>19.68</v>
      </c>
    </row>
    <row r="48" spans="1:3" x14ac:dyDescent="0.3">
      <c r="A48" s="26">
        <v>45992</v>
      </c>
      <c r="B48" s="27" t="s">
        <v>4</v>
      </c>
      <c r="C48" s="24">
        <v>-73.73</v>
      </c>
    </row>
    <row r="49" spans="1:4" x14ac:dyDescent="0.3">
      <c r="A49" s="26">
        <v>45996</v>
      </c>
      <c r="B49" s="27" t="s">
        <v>1</v>
      </c>
      <c r="C49" s="24">
        <v>29.88</v>
      </c>
    </row>
    <row r="50" spans="1:4" x14ac:dyDescent="0.3">
      <c r="A50" s="26">
        <v>46003</v>
      </c>
      <c r="B50" s="27" t="s">
        <v>4</v>
      </c>
      <c r="C50" s="24">
        <v>-49.57</v>
      </c>
    </row>
    <row r="51" spans="1:4" x14ac:dyDescent="0.3">
      <c r="A51" s="26">
        <v>46003</v>
      </c>
      <c r="B51" s="27" t="s">
        <v>1</v>
      </c>
      <c r="C51" s="24">
        <v>47.16</v>
      </c>
      <c r="D51" s="25">
        <v>1</v>
      </c>
    </row>
    <row r="52" spans="1:4" x14ac:dyDescent="0.3">
      <c r="A52" s="26">
        <v>46010</v>
      </c>
      <c r="B52" s="27" t="s">
        <v>4</v>
      </c>
      <c r="C52" s="24">
        <v>-47.16</v>
      </c>
    </row>
    <row r="53" spans="1:4" x14ac:dyDescent="0.3">
      <c r="A53" s="26">
        <v>46010</v>
      </c>
      <c r="B53" s="27" t="s">
        <v>1</v>
      </c>
      <c r="C53" s="24">
        <v>140.28</v>
      </c>
      <c r="D53" s="25">
        <v>-1</v>
      </c>
    </row>
    <row r="54" spans="1:4" x14ac:dyDescent="0.3">
      <c r="A54" s="26">
        <v>46017</v>
      </c>
      <c r="B54" s="27" t="s">
        <v>4</v>
      </c>
      <c r="C54" s="24">
        <v>-140.28</v>
      </c>
    </row>
    <row r="55" spans="1:4" x14ac:dyDescent="0.3">
      <c r="A55" s="26">
        <v>46017</v>
      </c>
      <c r="B55" s="27" t="s">
        <v>1</v>
      </c>
      <c r="C55" s="24">
        <v>100.44</v>
      </c>
    </row>
    <row r="56" spans="1:4" x14ac:dyDescent="0.3">
      <c r="A56" s="26">
        <v>46031</v>
      </c>
      <c r="B56" s="27" t="s">
        <v>4</v>
      </c>
      <c r="C56" s="24">
        <v>-100.44</v>
      </c>
    </row>
    <row r="57" spans="1:4" x14ac:dyDescent="0.3">
      <c r="A57" s="26">
        <v>46031</v>
      </c>
      <c r="B57" s="27" t="s">
        <v>1</v>
      </c>
      <c r="C57" s="24">
        <v>69.239999999999995</v>
      </c>
    </row>
    <row r="58" spans="1:4" x14ac:dyDescent="0.3">
      <c r="A58" s="26">
        <v>46038</v>
      </c>
      <c r="B58" s="27" t="s">
        <v>4</v>
      </c>
      <c r="C58" s="24">
        <v>-69.239999999999995</v>
      </c>
    </row>
    <row r="59" spans="1:4" x14ac:dyDescent="0.3">
      <c r="A59" s="26">
        <v>46038</v>
      </c>
      <c r="B59" s="27" t="s">
        <v>1</v>
      </c>
      <c r="C59" s="24">
        <v>60</v>
      </c>
    </row>
    <row r="60" spans="1:4" x14ac:dyDescent="0.3">
      <c r="A60" s="26">
        <v>46045</v>
      </c>
      <c r="B60" s="27" t="s">
        <v>1</v>
      </c>
      <c r="C60" s="24">
        <v>85.44</v>
      </c>
    </row>
    <row r="61" spans="1:4" x14ac:dyDescent="0.3">
      <c r="A61" s="26">
        <v>46049</v>
      </c>
      <c r="B61" s="27" t="s">
        <v>4</v>
      </c>
      <c r="C61" s="24">
        <v>-60.84</v>
      </c>
    </row>
    <row r="62" spans="1:4" x14ac:dyDescent="0.3">
      <c r="A62" s="26">
        <v>46052</v>
      </c>
      <c r="B62" s="27" t="s">
        <v>4</v>
      </c>
      <c r="C62" s="24">
        <v>-85.44</v>
      </c>
    </row>
    <row r="63" spans="1:4" x14ac:dyDescent="0.3">
      <c r="A63" s="26">
        <v>46052</v>
      </c>
      <c r="B63" s="27" t="s">
        <v>1</v>
      </c>
      <c r="C63" s="24">
        <v>69.84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0233-8350-46D5-AEAC-46A2E66F1158}">
  <sheetPr codeName="Hoja113"/>
  <dimension ref="A1:H12"/>
  <sheetViews>
    <sheetView view="pageBreakPreview" zoomScale="80" zoomScaleNormal="100" zoomScaleSheetLayoutView="8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203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204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-9.9999999999980105E-3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45855</v>
      </c>
      <c r="B5" s="32" t="s">
        <v>21</v>
      </c>
      <c r="C5" s="24">
        <v>25.69</v>
      </c>
      <c r="D5" s="30"/>
      <c r="E5" s="30"/>
      <c r="F5" s="30"/>
      <c r="G5" s="22"/>
    </row>
    <row r="6" spans="1:8" x14ac:dyDescent="0.3">
      <c r="A6" s="21">
        <v>45862</v>
      </c>
      <c r="B6" s="27" t="s">
        <v>4</v>
      </c>
      <c r="C6" s="24">
        <v>-25.71</v>
      </c>
    </row>
    <row r="7" spans="1:8" x14ac:dyDescent="0.3">
      <c r="A7" s="21">
        <v>45877</v>
      </c>
      <c r="B7" s="32" t="s">
        <v>21</v>
      </c>
      <c r="C7" s="24">
        <v>19.440000000000001</v>
      </c>
    </row>
    <row r="8" spans="1:8" x14ac:dyDescent="0.3">
      <c r="A8" s="26">
        <v>45899</v>
      </c>
      <c r="B8" s="27" t="s">
        <v>7</v>
      </c>
      <c r="C8" s="24">
        <v>-19.41</v>
      </c>
    </row>
    <row r="9" spans="1:8" x14ac:dyDescent="0.3">
      <c r="A9" s="26">
        <v>45909</v>
      </c>
      <c r="B9" s="32" t="s">
        <v>21</v>
      </c>
      <c r="C9" s="24">
        <v>15.85</v>
      </c>
    </row>
    <row r="10" spans="1:8" x14ac:dyDescent="0.3">
      <c r="A10" s="26">
        <v>45916</v>
      </c>
      <c r="B10" s="31" t="s">
        <v>7</v>
      </c>
      <c r="C10" s="24">
        <v>-15.87</v>
      </c>
    </row>
    <row r="12" spans="1:8" x14ac:dyDescent="0.3">
      <c r="B12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F1EA-B099-49B5-B538-27A8E0C42DA0}">
  <dimension ref="A1:H41"/>
  <sheetViews>
    <sheetView view="pageBreakPreview" zoomScale="80" zoomScaleNormal="100" zoomScaleSheetLayoutView="80" workbookViewId="0">
      <selection activeCell="C42" sqref="C4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460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9.0000000000060254E-2</v>
      </c>
      <c r="D3" s="20">
        <f>SUM(D$4:D$1048576)</f>
        <v>2</v>
      </c>
      <c r="E3" s="20">
        <f>SUM(E$5:E$1048576)</f>
        <v>2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45930</v>
      </c>
      <c r="B5" s="32" t="s">
        <v>21</v>
      </c>
      <c r="C5" s="24">
        <v>43.8</v>
      </c>
      <c r="D5" s="30"/>
      <c r="E5" s="30"/>
      <c r="F5" s="30"/>
      <c r="G5" s="22"/>
    </row>
    <row r="6" spans="1:8" hidden="1" x14ac:dyDescent="0.3">
      <c r="A6" s="21">
        <v>45930</v>
      </c>
      <c r="B6" s="34" t="s">
        <v>1</v>
      </c>
      <c r="C6" s="24">
        <v>60.1</v>
      </c>
    </row>
    <row r="7" spans="1:8" hidden="1" x14ac:dyDescent="0.3">
      <c r="A7" s="21">
        <v>45937</v>
      </c>
      <c r="B7" s="32" t="s">
        <v>1</v>
      </c>
      <c r="C7" s="24">
        <v>9.1999999999999993</v>
      </c>
    </row>
    <row r="8" spans="1:8" hidden="1" x14ac:dyDescent="0.3">
      <c r="A8" s="21">
        <v>45937</v>
      </c>
      <c r="B8" s="34" t="s">
        <v>1</v>
      </c>
      <c r="C8" s="24">
        <v>62.7</v>
      </c>
    </row>
    <row r="9" spans="1:8" hidden="1" x14ac:dyDescent="0.3">
      <c r="A9" s="26">
        <v>45938</v>
      </c>
      <c r="B9" s="34" t="s">
        <v>1</v>
      </c>
      <c r="C9" s="24">
        <v>69</v>
      </c>
    </row>
    <row r="10" spans="1:8" hidden="1" x14ac:dyDescent="0.3">
      <c r="A10" s="26">
        <v>45939</v>
      </c>
      <c r="B10" s="31" t="s">
        <v>4</v>
      </c>
      <c r="C10" s="24">
        <v>-103.9</v>
      </c>
    </row>
    <row r="11" spans="1:8" hidden="1" x14ac:dyDescent="0.3">
      <c r="A11" s="26">
        <v>45942</v>
      </c>
      <c r="B11" s="27" t="s">
        <v>4</v>
      </c>
      <c r="C11" s="24">
        <v>-139.49</v>
      </c>
    </row>
    <row r="12" spans="1:8" hidden="1" x14ac:dyDescent="0.3">
      <c r="A12" s="26">
        <v>45944</v>
      </c>
      <c r="B12" s="32" t="s">
        <v>1</v>
      </c>
      <c r="C12" s="24">
        <v>16.7</v>
      </c>
    </row>
    <row r="13" spans="1:8" hidden="1" x14ac:dyDescent="0.3">
      <c r="A13" s="26">
        <v>45944</v>
      </c>
      <c r="B13" s="34" t="s">
        <v>1</v>
      </c>
      <c r="C13" s="24">
        <v>62.7</v>
      </c>
    </row>
    <row r="14" spans="1:8" hidden="1" x14ac:dyDescent="0.3">
      <c r="A14" s="26">
        <v>45950</v>
      </c>
      <c r="B14" s="27" t="s">
        <v>4</v>
      </c>
      <c r="C14" s="24">
        <v>-78.66</v>
      </c>
    </row>
    <row r="15" spans="1:8" hidden="1" x14ac:dyDescent="0.3">
      <c r="A15" s="26">
        <v>45951</v>
      </c>
      <c r="B15" s="32" t="s">
        <v>1</v>
      </c>
      <c r="C15" s="24">
        <v>47.76</v>
      </c>
    </row>
    <row r="16" spans="1:8" hidden="1" x14ac:dyDescent="0.3">
      <c r="A16" s="26">
        <v>45951</v>
      </c>
      <c r="B16" s="34" t="s">
        <v>1</v>
      </c>
      <c r="C16" s="24">
        <v>63.9</v>
      </c>
    </row>
    <row r="17" spans="1:5" hidden="1" x14ac:dyDescent="0.3">
      <c r="A17" s="26">
        <v>45954</v>
      </c>
      <c r="B17" s="34" t="s">
        <v>1</v>
      </c>
      <c r="C17" s="24">
        <v>73</v>
      </c>
    </row>
    <row r="18" spans="1:5" hidden="1" x14ac:dyDescent="0.3">
      <c r="A18" s="26">
        <v>45962</v>
      </c>
      <c r="B18" s="27" t="s">
        <v>4</v>
      </c>
      <c r="C18" s="24">
        <v>-111.51</v>
      </c>
    </row>
    <row r="19" spans="1:5" hidden="1" x14ac:dyDescent="0.3">
      <c r="A19" s="26">
        <v>45967</v>
      </c>
      <c r="B19" s="27" t="s">
        <v>4</v>
      </c>
      <c r="C19" s="24">
        <v>-73</v>
      </c>
    </row>
    <row r="20" spans="1:5" hidden="1" x14ac:dyDescent="0.3">
      <c r="A20" s="26">
        <v>45972</v>
      </c>
      <c r="B20" s="27" t="s">
        <v>1</v>
      </c>
      <c r="C20" s="24">
        <v>123.18</v>
      </c>
    </row>
    <row r="21" spans="1:5" hidden="1" x14ac:dyDescent="0.3">
      <c r="A21" s="26">
        <v>45973</v>
      </c>
      <c r="B21" s="27" t="s">
        <v>1</v>
      </c>
      <c r="C21" s="24">
        <v>73</v>
      </c>
    </row>
    <row r="22" spans="1:5" hidden="1" x14ac:dyDescent="0.3">
      <c r="A22" s="26">
        <v>45978</v>
      </c>
      <c r="B22" s="27" t="s">
        <v>4</v>
      </c>
      <c r="C22" s="24">
        <v>-123.18</v>
      </c>
    </row>
    <row r="23" spans="1:5" hidden="1" x14ac:dyDescent="0.3">
      <c r="A23" s="26">
        <v>45980</v>
      </c>
      <c r="B23" s="27" t="s">
        <v>4</v>
      </c>
      <c r="C23" s="24">
        <v>-75</v>
      </c>
    </row>
    <row r="24" spans="1:5" x14ac:dyDescent="0.3">
      <c r="A24" s="26">
        <v>45981</v>
      </c>
      <c r="B24" s="27" t="s">
        <v>1</v>
      </c>
      <c r="C24" s="24">
        <v>71.42</v>
      </c>
    </row>
    <row r="25" spans="1:5" x14ac:dyDescent="0.3">
      <c r="A25" s="26">
        <v>45986</v>
      </c>
      <c r="B25" s="27" t="s">
        <v>4</v>
      </c>
      <c r="C25" s="24">
        <v>-71.319999999999993</v>
      </c>
    </row>
    <row r="26" spans="1:5" x14ac:dyDescent="0.3">
      <c r="A26" s="26">
        <v>45993</v>
      </c>
      <c r="B26" s="27" t="s">
        <v>1</v>
      </c>
      <c r="C26" s="24">
        <v>202.76</v>
      </c>
      <c r="D26" s="25">
        <v>2</v>
      </c>
    </row>
    <row r="27" spans="1:5" x14ac:dyDescent="0.3">
      <c r="A27" s="26">
        <v>46007</v>
      </c>
      <c r="B27" s="27" t="s">
        <v>4</v>
      </c>
      <c r="C27" s="24">
        <v>-200.36</v>
      </c>
    </row>
    <row r="28" spans="1:5" x14ac:dyDescent="0.3">
      <c r="A28" s="26">
        <v>46007</v>
      </c>
      <c r="B28" s="27" t="s">
        <v>1</v>
      </c>
      <c r="C28" s="24">
        <v>177.8</v>
      </c>
    </row>
    <row r="29" spans="1:5" x14ac:dyDescent="0.3">
      <c r="A29" s="26">
        <v>46010</v>
      </c>
      <c r="B29" s="27" t="s">
        <v>1</v>
      </c>
      <c r="C29" s="24">
        <v>137.46</v>
      </c>
      <c r="E29" s="25">
        <v>1</v>
      </c>
    </row>
    <row r="30" spans="1:5" x14ac:dyDescent="0.3">
      <c r="A30" s="26">
        <v>46013</v>
      </c>
      <c r="B30" s="27" t="s">
        <v>4</v>
      </c>
      <c r="C30" s="24">
        <v>-180.6</v>
      </c>
    </row>
    <row r="31" spans="1:5" x14ac:dyDescent="0.3">
      <c r="A31" s="26">
        <v>46014</v>
      </c>
      <c r="B31" s="27" t="s">
        <v>1</v>
      </c>
      <c r="C31" s="24">
        <v>69.03</v>
      </c>
      <c r="E31" s="25">
        <v>1</v>
      </c>
    </row>
    <row r="32" spans="1:5" x14ac:dyDescent="0.3">
      <c r="A32" s="26">
        <v>46017</v>
      </c>
      <c r="B32" s="27" t="s">
        <v>4</v>
      </c>
      <c r="C32" s="24">
        <v>-137.46</v>
      </c>
    </row>
    <row r="33" spans="1:3" x14ac:dyDescent="0.3">
      <c r="A33" s="26">
        <v>46020</v>
      </c>
      <c r="B33" s="27" t="s">
        <v>1</v>
      </c>
      <c r="C33" s="24">
        <v>32.76</v>
      </c>
    </row>
    <row r="34" spans="1:3" x14ac:dyDescent="0.3">
      <c r="A34" s="26">
        <v>46024</v>
      </c>
      <c r="B34" s="27" t="s">
        <v>4</v>
      </c>
      <c r="C34" s="24">
        <v>-32.76</v>
      </c>
    </row>
    <row r="35" spans="1:3" x14ac:dyDescent="0.3">
      <c r="A35" s="26">
        <v>46028</v>
      </c>
      <c r="B35" s="27" t="s">
        <v>4</v>
      </c>
      <c r="C35" s="24">
        <v>-71.83</v>
      </c>
    </row>
    <row r="36" spans="1:3" x14ac:dyDescent="0.3">
      <c r="A36" s="26">
        <v>46035</v>
      </c>
      <c r="B36" s="27" t="s">
        <v>1</v>
      </c>
      <c r="C36" s="24">
        <v>148.66999999999999</v>
      </c>
    </row>
    <row r="37" spans="1:3" x14ac:dyDescent="0.3">
      <c r="A37" s="26">
        <v>46042</v>
      </c>
      <c r="B37" s="27" t="s">
        <v>4</v>
      </c>
      <c r="C37" s="24">
        <v>-148.66999999999999</v>
      </c>
    </row>
    <row r="38" spans="1:3" x14ac:dyDescent="0.3">
      <c r="A38" s="26">
        <v>46042</v>
      </c>
      <c r="B38" s="27" t="s">
        <v>1</v>
      </c>
      <c r="C38" s="24">
        <v>56.28</v>
      </c>
    </row>
    <row r="39" spans="1:3" x14ac:dyDescent="0.3">
      <c r="A39" s="26">
        <v>46048</v>
      </c>
      <c r="B39" s="27" t="s">
        <v>4</v>
      </c>
      <c r="C39" s="24">
        <v>-56.28</v>
      </c>
    </row>
    <row r="40" spans="1:3" x14ac:dyDescent="0.3">
      <c r="A40" s="26">
        <v>46050</v>
      </c>
      <c r="B40" s="27" t="s">
        <v>1</v>
      </c>
      <c r="C40" s="24">
        <v>140.88999999999999</v>
      </c>
    </row>
    <row r="41" spans="1:3" x14ac:dyDescent="0.3">
      <c r="A41" s="26">
        <v>46051</v>
      </c>
      <c r="B41" s="27" t="s">
        <v>4</v>
      </c>
      <c r="C41" s="24">
        <v>-138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4E347-3F28-442A-9C8E-A72FFD0B3A88}">
  <sheetPr codeName="Hoja181"/>
  <dimension ref="A1:H86"/>
  <sheetViews>
    <sheetView view="pageBreakPreview" zoomScale="80" zoomScaleNormal="100" zoomScaleSheetLayoutView="8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275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276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-0.30000000000005045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45827</v>
      </c>
      <c r="B5" s="32" t="s">
        <v>21</v>
      </c>
      <c r="C5" s="24">
        <v>19.68</v>
      </c>
      <c r="D5" s="30"/>
      <c r="E5" s="30"/>
      <c r="F5" s="30"/>
      <c r="G5" s="22"/>
    </row>
    <row r="6" spans="1:8" x14ac:dyDescent="0.3">
      <c r="A6" s="21">
        <v>45827</v>
      </c>
      <c r="B6" s="34" t="s">
        <v>1</v>
      </c>
      <c r="C6" s="24">
        <v>279.29000000000002</v>
      </c>
    </row>
    <row r="7" spans="1:8" x14ac:dyDescent="0.3">
      <c r="A7" s="21">
        <v>45834</v>
      </c>
      <c r="B7" s="27" t="s">
        <v>4</v>
      </c>
      <c r="C7" s="24">
        <v>-298.97000000000003</v>
      </c>
    </row>
    <row r="8" spans="1:8" x14ac:dyDescent="0.3">
      <c r="A8" s="21">
        <v>45834</v>
      </c>
      <c r="B8" s="32" t="s">
        <v>1</v>
      </c>
      <c r="C8" s="24">
        <v>19.600000000000001</v>
      </c>
    </row>
    <row r="9" spans="1:8" x14ac:dyDescent="0.3">
      <c r="A9" s="21">
        <v>45834</v>
      </c>
      <c r="B9" s="34" t="s">
        <v>1</v>
      </c>
      <c r="C9" s="24">
        <v>373.84</v>
      </c>
    </row>
    <row r="10" spans="1:8" x14ac:dyDescent="0.3">
      <c r="A10" s="26">
        <v>45841</v>
      </c>
      <c r="B10" s="27" t="s">
        <v>4</v>
      </c>
      <c r="C10" s="24">
        <v>-393.43</v>
      </c>
    </row>
    <row r="11" spans="1:8" x14ac:dyDescent="0.3">
      <c r="A11" s="26">
        <v>45848</v>
      </c>
      <c r="B11" s="34" t="s">
        <v>1</v>
      </c>
      <c r="C11" s="24">
        <v>267.83</v>
      </c>
    </row>
    <row r="12" spans="1:8" x14ac:dyDescent="0.3">
      <c r="A12" s="26">
        <v>45856</v>
      </c>
      <c r="B12" s="34" t="s">
        <v>1</v>
      </c>
      <c r="C12" s="24">
        <v>251.51</v>
      </c>
    </row>
    <row r="13" spans="1:8" x14ac:dyDescent="0.3">
      <c r="A13" s="26">
        <v>45862</v>
      </c>
      <c r="B13" s="27" t="s">
        <v>4</v>
      </c>
      <c r="C13" s="24">
        <v>-245.17</v>
      </c>
    </row>
    <row r="14" spans="1:8" x14ac:dyDescent="0.3">
      <c r="A14" s="26">
        <v>45862</v>
      </c>
      <c r="B14" s="34" t="s">
        <v>1</v>
      </c>
      <c r="C14" s="24">
        <v>200.44</v>
      </c>
    </row>
    <row r="15" spans="1:8" x14ac:dyDescent="0.3">
      <c r="A15" s="26">
        <v>45862</v>
      </c>
      <c r="B15" s="32" t="s">
        <v>1</v>
      </c>
      <c r="C15" s="24">
        <v>7.8</v>
      </c>
    </row>
    <row r="16" spans="1:8" x14ac:dyDescent="0.3">
      <c r="A16" s="26">
        <v>45864</v>
      </c>
      <c r="B16" s="27" t="s">
        <v>4</v>
      </c>
      <c r="C16" s="24">
        <v>-263.16000000000003</v>
      </c>
    </row>
    <row r="17" spans="1:3" x14ac:dyDescent="0.3">
      <c r="A17" s="26">
        <v>45863</v>
      </c>
      <c r="B17" s="34" t="s">
        <v>1</v>
      </c>
      <c r="C17" s="24">
        <v>11.65</v>
      </c>
    </row>
    <row r="18" spans="1:3" x14ac:dyDescent="0.3">
      <c r="A18" s="26">
        <v>45870</v>
      </c>
      <c r="B18" s="27" t="s">
        <v>4</v>
      </c>
      <c r="C18" s="24">
        <v>-42</v>
      </c>
    </row>
    <row r="19" spans="1:3" x14ac:dyDescent="0.3">
      <c r="A19" s="26">
        <v>45888</v>
      </c>
      <c r="B19" s="27" t="s">
        <v>4</v>
      </c>
      <c r="C19" s="24">
        <v>-209.01</v>
      </c>
    </row>
    <row r="20" spans="1:3" x14ac:dyDescent="0.3">
      <c r="A20" s="26">
        <v>45890</v>
      </c>
      <c r="B20" s="34" t="s">
        <v>1</v>
      </c>
      <c r="C20" s="24">
        <v>19.8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93849-EF88-4AB1-AC2B-C1AE47B29EA7}">
  <sheetPr codeName="Hoja114"/>
  <dimension ref="A1:I45"/>
  <sheetViews>
    <sheetView view="pageBreakPreview" zoomScale="80" zoomScaleNormal="100" zoomScaleSheetLayoutView="80" workbookViewId="0">
      <selection activeCell="C46" sqref="C4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160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 t="s">
        <v>54</v>
      </c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0.36000000000000654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45813</v>
      </c>
      <c r="B5" s="34" t="s">
        <v>21</v>
      </c>
      <c r="C5" s="24">
        <v>29.16</v>
      </c>
      <c r="D5" s="30"/>
      <c r="E5" s="30"/>
      <c r="F5" s="30"/>
      <c r="G5" s="22"/>
    </row>
    <row r="6" spans="1:9" hidden="1" x14ac:dyDescent="0.3">
      <c r="A6" s="21">
        <v>45819</v>
      </c>
      <c r="B6" s="32" t="s">
        <v>21</v>
      </c>
      <c r="C6" s="24">
        <v>9.84</v>
      </c>
    </row>
    <row r="7" spans="1:9" hidden="1" x14ac:dyDescent="0.3">
      <c r="A7" s="21">
        <v>45819</v>
      </c>
      <c r="B7" s="34" t="s">
        <v>21</v>
      </c>
      <c r="C7" s="24">
        <v>50.43</v>
      </c>
    </row>
    <row r="8" spans="1:9" hidden="1" x14ac:dyDescent="0.3">
      <c r="A8" s="21">
        <v>45819</v>
      </c>
      <c r="B8" s="27" t="s">
        <v>174</v>
      </c>
      <c r="C8" s="24">
        <v>-29.18</v>
      </c>
    </row>
    <row r="9" spans="1:9" hidden="1" x14ac:dyDescent="0.3">
      <c r="A9" s="26">
        <v>45833</v>
      </c>
      <c r="B9" s="27" t="s">
        <v>4</v>
      </c>
      <c r="C9" s="24">
        <v>-60.27</v>
      </c>
      <c r="I9" s="25"/>
    </row>
    <row r="10" spans="1:9" hidden="1" x14ac:dyDescent="0.3">
      <c r="A10" s="26">
        <v>45833</v>
      </c>
      <c r="B10" s="32" t="s">
        <v>21</v>
      </c>
      <c r="C10" s="24">
        <v>27.95</v>
      </c>
    </row>
    <row r="11" spans="1:9" hidden="1" x14ac:dyDescent="0.3">
      <c r="A11" s="26">
        <v>45833</v>
      </c>
      <c r="B11" s="34" t="s">
        <v>21</v>
      </c>
      <c r="C11" s="24">
        <v>16.420000000000002</v>
      </c>
    </row>
    <row r="12" spans="1:9" hidden="1" x14ac:dyDescent="0.3">
      <c r="A12" s="26">
        <v>45847</v>
      </c>
      <c r="B12" s="31" t="s">
        <v>7</v>
      </c>
      <c r="C12" s="24">
        <v>-44.37</v>
      </c>
    </row>
    <row r="13" spans="1:9" hidden="1" x14ac:dyDescent="0.3">
      <c r="A13" s="26">
        <v>45847</v>
      </c>
      <c r="B13" s="32" t="s">
        <v>21</v>
      </c>
      <c r="C13" s="24">
        <v>12.1</v>
      </c>
    </row>
    <row r="14" spans="1:9" hidden="1" x14ac:dyDescent="0.3">
      <c r="A14" s="26">
        <v>45847</v>
      </c>
      <c r="B14" s="34" t="s">
        <v>21</v>
      </c>
      <c r="C14" s="24">
        <v>14.97</v>
      </c>
    </row>
    <row r="15" spans="1:9" hidden="1" x14ac:dyDescent="0.3">
      <c r="A15" s="26">
        <v>45854</v>
      </c>
      <c r="B15" s="27" t="s">
        <v>7</v>
      </c>
      <c r="C15" s="24">
        <v>-27.06</v>
      </c>
    </row>
    <row r="16" spans="1:9" hidden="1" x14ac:dyDescent="0.3">
      <c r="A16" s="26">
        <v>45854</v>
      </c>
      <c r="B16" s="32" t="s">
        <v>21</v>
      </c>
      <c r="C16" s="24">
        <v>18.100000000000001</v>
      </c>
    </row>
    <row r="17" spans="1:3" hidden="1" x14ac:dyDescent="0.3">
      <c r="A17" s="26">
        <v>45854</v>
      </c>
      <c r="B17" s="34" t="s">
        <v>21</v>
      </c>
      <c r="C17" s="24">
        <v>15.06</v>
      </c>
    </row>
    <row r="18" spans="1:3" hidden="1" x14ac:dyDescent="0.3">
      <c r="A18" s="26">
        <v>45861</v>
      </c>
      <c r="B18" s="27" t="s">
        <v>7</v>
      </c>
      <c r="C18" s="24">
        <v>-23.62</v>
      </c>
    </row>
    <row r="19" spans="1:3" hidden="1" x14ac:dyDescent="0.3">
      <c r="A19" s="26">
        <v>45861</v>
      </c>
      <c r="B19" s="32" t="s">
        <v>21</v>
      </c>
      <c r="C19" s="24">
        <v>15</v>
      </c>
    </row>
    <row r="20" spans="1:3" hidden="1" x14ac:dyDescent="0.3">
      <c r="A20" s="26">
        <v>45861</v>
      </c>
      <c r="B20" s="34" t="s">
        <v>21</v>
      </c>
      <c r="C20" s="24">
        <v>12.42</v>
      </c>
    </row>
    <row r="21" spans="1:3" hidden="1" x14ac:dyDescent="0.3">
      <c r="A21" s="26">
        <v>45868</v>
      </c>
      <c r="B21" s="27" t="s">
        <v>4</v>
      </c>
      <c r="C21" s="24">
        <v>-31.1</v>
      </c>
    </row>
    <row r="22" spans="1:3" hidden="1" x14ac:dyDescent="0.3">
      <c r="A22" s="26">
        <v>45868</v>
      </c>
      <c r="B22" s="32" t="s">
        <v>21</v>
      </c>
      <c r="C22" s="24">
        <v>12</v>
      </c>
    </row>
    <row r="23" spans="1:3" hidden="1" x14ac:dyDescent="0.3">
      <c r="A23" s="26">
        <v>45868</v>
      </c>
      <c r="B23" s="34" t="s">
        <v>21</v>
      </c>
      <c r="C23" s="24">
        <v>37.83</v>
      </c>
    </row>
    <row r="24" spans="1:3" hidden="1" x14ac:dyDescent="0.3">
      <c r="A24" s="26">
        <v>45873</v>
      </c>
      <c r="B24" s="27" t="s">
        <v>4</v>
      </c>
      <c r="C24" s="24">
        <v>-55.77</v>
      </c>
    </row>
    <row r="25" spans="1:3" hidden="1" x14ac:dyDescent="0.3">
      <c r="A25" s="26">
        <v>45882</v>
      </c>
      <c r="B25" s="32" t="s">
        <v>21</v>
      </c>
      <c r="C25" s="24">
        <v>17.34</v>
      </c>
    </row>
    <row r="26" spans="1:3" hidden="1" x14ac:dyDescent="0.3">
      <c r="A26" s="26">
        <v>45896</v>
      </c>
      <c r="B26" s="27" t="s">
        <v>7</v>
      </c>
      <c r="C26" s="24">
        <v>-17.25</v>
      </c>
    </row>
    <row r="27" spans="1:3" hidden="1" x14ac:dyDescent="0.3">
      <c r="A27" s="26">
        <v>45896</v>
      </c>
      <c r="B27" s="34" t="s">
        <v>21</v>
      </c>
      <c r="C27" s="24">
        <v>47.99</v>
      </c>
    </row>
    <row r="28" spans="1:3" hidden="1" x14ac:dyDescent="0.3">
      <c r="A28" s="26">
        <v>45896</v>
      </c>
      <c r="B28" s="46" t="s">
        <v>21</v>
      </c>
      <c r="C28" s="24">
        <v>8.69</v>
      </c>
    </row>
    <row r="29" spans="1:3" hidden="1" x14ac:dyDescent="0.3">
      <c r="A29" s="26">
        <v>45903</v>
      </c>
      <c r="B29" s="27" t="s">
        <v>4</v>
      </c>
      <c r="C29" s="24">
        <v>-56.68</v>
      </c>
    </row>
    <row r="30" spans="1:3" hidden="1" x14ac:dyDescent="0.3">
      <c r="A30" s="26">
        <v>45903</v>
      </c>
      <c r="B30" s="32" t="s">
        <v>21</v>
      </c>
      <c r="C30" s="24">
        <v>14.44</v>
      </c>
    </row>
    <row r="31" spans="1:3" hidden="1" x14ac:dyDescent="0.3">
      <c r="A31" s="26">
        <v>45903</v>
      </c>
      <c r="B31" s="34" t="s">
        <v>21</v>
      </c>
      <c r="C31" s="24">
        <v>16.43</v>
      </c>
    </row>
    <row r="32" spans="1:3" hidden="1" x14ac:dyDescent="0.3">
      <c r="A32" s="26">
        <v>45916</v>
      </c>
      <c r="B32" s="27" t="s">
        <v>4</v>
      </c>
      <c r="C32" s="24">
        <v>-30.87</v>
      </c>
    </row>
    <row r="33" spans="1:3" x14ac:dyDescent="0.3">
      <c r="A33" s="26">
        <v>45917</v>
      </c>
      <c r="B33" s="32" t="s">
        <v>21</v>
      </c>
      <c r="C33" s="24">
        <v>21.84</v>
      </c>
    </row>
    <row r="34" spans="1:3" x14ac:dyDescent="0.3">
      <c r="A34" s="26">
        <v>45917</v>
      </c>
      <c r="B34" s="34" t="s">
        <v>21</v>
      </c>
      <c r="C34" s="24">
        <v>40.9</v>
      </c>
    </row>
    <row r="35" spans="1:3" x14ac:dyDescent="0.3">
      <c r="A35" s="26">
        <v>45931</v>
      </c>
      <c r="B35" s="27" t="s">
        <v>4</v>
      </c>
      <c r="C35" s="24">
        <v>-62</v>
      </c>
    </row>
    <row r="36" spans="1:3" x14ac:dyDescent="0.3">
      <c r="A36" s="26">
        <v>45938</v>
      </c>
      <c r="B36" s="32" t="s">
        <v>21</v>
      </c>
      <c r="C36" s="24">
        <v>24.1</v>
      </c>
    </row>
    <row r="37" spans="1:3" x14ac:dyDescent="0.3">
      <c r="A37" s="26">
        <v>45946</v>
      </c>
      <c r="B37" s="27" t="s">
        <v>4</v>
      </c>
      <c r="C37" s="24">
        <v>-24.02</v>
      </c>
    </row>
    <row r="38" spans="1:3" x14ac:dyDescent="0.3">
      <c r="A38" s="26">
        <v>45987</v>
      </c>
      <c r="B38" s="27" t="s">
        <v>1</v>
      </c>
      <c r="C38" s="24">
        <v>107.29</v>
      </c>
    </row>
    <row r="39" spans="1:3" x14ac:dyDescent="0.3">
      <c r="A39" s="26">
        <v>45994</v>
      </c>
      <c r="B39" s="27" t="s">
        <v>4</v>
      </c>
      <c r="C39" s="24">
        <v>-24.4</v>
      </c>
    </row>
    <row r="40" spans="1:3" x14ac:dyDescent="0.3">
      <c r="A40" s="26">
        <v>46000</v>
      </c>
      <c r="B40" s="27" t="s">
        <v>4</v>
      </c>
      <c r="C40" s="24">
        <v>-54.89</v>
      </c>
    </row>
    <row r="41" spans="1:3" x14ac:dyDescent="0.3">
      <c r="A41" s="26">
        <v>46001</v>
      </c>
      <c r="B41" s="27" t="s">
        <v>1</v>
      </c>
      <c r="C41" s="24">
        <v>31.28</v>
      </c>
    </row>
    <row r="42" spans="1:3" x14ac:dyDescent="0.3">
      <c r="A42" s="26">
        <v>46006</v>
      </c>
      <c r="B42" s="27" t="s">
        <v>4</v>
      </c>
      <c r="C42" s="24">
        <v>-28</v>
      </c>
    </row>
    <row r="43" spans="1:3" x14ac:dyDescent="0.3">
      <c r="A43" s="26">
        <v>46014</v>
      </c>
      <c r="B43" s="27" t="s">
        <v>4</v>
      </c>
      <c r="C43" s="24">
        <v>-32.1</v>
      </c>
    </row>
    <row r="44" spans="1:3" x14ac:dyDescent="0.3">
      <c r="A44" s="26">
        <v>46043</v>
      </c>
      <c r="B44" s="27" t="s">
        <v>1</v>
      </c>
      <c r="C44" s="24">
        <v>48.24</v>
      </c>
    </row>
    <row r="45" spans="1:3" x14ac:dyDescent="0.3">
      <c r="A45" s="26">
        <v>46056</v>
      </c>
      <c r="B45" s="27" t="s">
        <v>4</v>
      </c>
      <c r="C45" s="24">
        <v>-47.88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9A41-B76B-4FA2-902D-9A04128E2F97}">
  <sheetPr codeName="Hoja115"/>
  <dimension ref="A1:H83"/>
  <sheetViews>
    <sheetView view="pageBreakPreview" zoomScale="80" zoomScaleNormal="100" zoomScaleSheetLayoutView="80" workbookViewId="0">
      <selection activeCell="A83" sqref="A83:B8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196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148.36999999999998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45820</v>
      </c>
      <c r="B5" s="32" t="s">
        <v>21</v>
      </c>
      <c r="C5" s="24">
        <v>35.53</v>
      </c>
      <c r="D5" s="30"/>
      <c r="E5" s="30"/>
      <c r="F5" s="30"/>
      <c r="G5" s="22"/>
    </row>
    <row r="6" spans="1:8" hidden="1" x14ac:dyDescent="0.3">
      <c r="A6" s="21">
        <v>45820</v>
      </c>
      <c r="B6" s="34" t="s">
        <v>21</v>
      </c>
      <c r="C6" s="24">
        <v>44.48</v>
      </c>
    </row>
    <row r="7" spans="1:8" hidden="1" x14ac:dyDescent="0.3">
      <c r="A7" s="21">
        <v>45820</v>
      </c>
      <c r="B7" s="46" t="s">
        <v>21</v>
      </c>
      <c r="C7" s="24">
        <v>97.67</v>
      </c>
    </row>
    <row r="8" spans="1:8" hidden="1" x14ac:dyDescent="0.3">
      <c r="A8" s="26">
        <v>45825</v>
      </c>
      <c r="B8" s="27" t="s">
        <v>4</v>
      </c>
      <c r="C8" s="24">
        <v>-120.4</v>
      </c>
    </row>
    <row r="9" spans="1:8" hidden="1" x14ac:dyDescent="0.3">
      <c r="A9" s="26">
        <v>45826</v>
      </c>
      <c r="B9" s="27" t="s">
        <v>4</v>
      </c>
      <c r="C9" s="24">
        <v>-48.94</v>
      </c>
    </row>
    <row r="10" spans="1:8" hidden="1" x14ac:dyDescent="0.3">
      <c r="A10" s="26">
        <v>45826</v>
      </c>
      <c r="B10" s="31" t="s">
        <v>4</v>
      </c>
      <c r="C10" s="24">
        <v>-8.34</v>
      </c>
    </row>
    <row r="11" spans="1:8" hidden="1" x14ac:dyDescent="0.3">
      <c r="A11" s="26">
        <v>45826</v>
      </c>
      <c r="B11" s="32" t="s">
        <v>21</v>
      </c>
      <c r="C11" s="24">
        <v>54.2</v>
      </c>
    </row>
    <row r="12" spans="1:8" hidden="1" x14ac:dyDescent="0.3">
      <c r="A12" s="26">
        <v>45826</v>
      </c>
      <c r="B12" s="34" t="s">
        <v>21</v>
      </c>
      <c r="C12" s="24">
        <v>31.18</v>
      </c>
    </row>
    <row r="13" spans="1:8" hidden="1" x14ac:dyDescent="0.3">
      <c r="A13" s="26">
        <v>45826</v>
      </c>
      <c r="B13" s="46" t="s">
        <v>21</v>
      </c>
      <c r="C13" s="24">
        <v>37.83</v>
      </c>
    </row>
    <row r="14" spans="1:8" hidden="1" x14ac:dyDescent="0.3">
      <c r="A14" s="26">
        <v>45826</v>
      </c>
      <c r="B14" s="27" t="s">
        <v>1</v>
      </c>
      <c r="C14" s="24">
        <v>62.4</v>
      </c>
    </row>
    <row r="15" spans="1:8" hidden="1" x14ac:dyDescent="0.3">
      <c r="A15" s="26">
        <v>45833</v>
      </c>
      <c r="B15" s="27" t="s">
        <v>4</v>
      </c>
      <c r="C15" s="24">
        <v>-59.74</v>
      </c>
    </row>
    <row r="16" spans="1:8" hidden="1" x14ac:dyDescent="0.3">
      <c r="A16" s="26">
        <v>45833</v>
      </c>
      <c r="B16" s="27" t="s">
        <v>1</v>
      </c>
      <c r="C16" s="24">
        <v>23.8</v>
      </c>
    </row>
    <row r="17" spans="1:3" hidden="1" x14ac:dyDescent="0.3">
      <c r="A17" s="26">
        <v>45833</v>
      </c>
      <c r="B17" s="32" t="s">
        <v>21</v>
      </c>
      <c r="C17" s="24">
        <v>15.85</v>
      </c>
    </row>
    <row r="18" spans="1:3" hidden="1" x14ac:dyDescent="0.3">
      <c r="A18" s="26">
        <v>45833</v>
      </c>
      <c r="B18" s="34" t="s">
        <v>21</v>
      </c>
      <c r="C18" s="24">
        <v>31.04</v>
      </c>
    </row>
    <row r="19" spans="1:3" hidden="1" x14ac:dyDescent="0.3">
      <c r="A19" s="26">
        <v>45834</v>
      </c>
      <c r="B19" s="27" t="s">
        <v>4</v>
      </c>
      <c r="C19" s="24">
        <v>-125.87</v>
      </c>
    </row>
    <row r="20" spans="1:3" hidden="1" x14ac:dyDescent="0.3">
      <c r="A20" s="26">
        <v>45841</v>
      </c>
      <c r="B20" s="27" t="s">
        <v>4</v>
      </c>
      <c r="C20" s="24">
        <v>-70.69</v>
      </c>
    </row>
    <row r="21" spans="1:3" hidden="1" x14ac:dyDescent="0.3">
      <c r="A21" s="26">
        <v>45847</v>
      </c>
      <c r="B21" s="32" t="s">
        <v>21</v>
      </c>
      <c r="C21" s="24">
        <v>55.99</v>
      </c>
    </row>
    <row r="22" spans="1:3" hidden="1" x14ac:dyDescent="0.3">
      <c r="A22" s="26">
        <v>45847</v>
      </c>
      <c r="B22" s="34" t="s">
        <v>21</v>
      </c>
      <c r="C22" s="24">
        <v>105.85</v>
      </c>
    </row>
    <row r="23" spans="1:3" hidden="1" x14ac:dyDescent="0.3">
      <c r="A23" s="26">
        <v>45847</v>
      </c>
      <c r="B23" s="46" t="s">
        <v>21</v>
      </c>
      <c r="C23" s="24">
        <v>41.36</v>
      </c>
    </row>
    <row r="24" spans="1:3" hidden="1" x14ac:dyDescent="0.3">
      <c r="A24" s="26">
        <v>45847</v>
      </c>
      <c r="B24" s="27" t="s">
        <v>1</v>
      </c>
      <c r="C24" s="24">
        <v>20.8</v>
      </c>
    </row>
    <row r="25" spans="1:3" hidden="1" x14ac:dyDescent="0.3">
      <c r="A25" s="26">
        <v>45855</v>
      </c>
      <c r="B25" s="27" t="s">
        <v>4</v>
      </c>
      <c r="C25" s="24">
        <v>-42.59</v>
      </c>
    </row>
    <row r="26" spans="1:3" hidden="1" x14ac:dyDescent="0.3">
      <c r="A26" s="26">
        <v>45855</v>
      </c>
      <c r="B26" s="27" t="s">
        <v>4</v>
      </c>
      <c r="C26" s="24">
        <v>-42.59</v>
      </c>
    </row>
    <row r="27" spans="1:3" hidden="1" x14ac:dyDescent="0.3">
      <c r="A27" s="26">
        <v>45861</v>
      </c>
      <c r="B27" s="27" t="s">
        <v>4</v>
      </c>
      <c r="C27" s="24">
        <v>-42.8</v>
      </c>
    </row>
    <row r="28" spans="1:3" hidden="1" x14ac:dyDescent="0.3">
      <c r="A28" s="26">
        <v>45861</v>
      </c>
      <c r="B28" s="27" t="s">
        <v>4</v>
      </c>
      <c r="C28" s="24">
        <v>-95.69</v>
      </c>
    </row>
    <row r="29" spans="1:3" hidden="1" x14ac:dyDescent="0.3">
      <c r="A29" s="26">
        <v>45861</v>
      </c>
      <c r="B29" s="32" t="s">
        <v>21</v>
      </c>
      <c r="C29" s="24">
        <v>39.28</v>
      </c>
    </row>
    <row r="30" spans="1:3" hidden="1" x14ac:dyDescent="0.3">
      <c r="A30" s="26">
        <v>45861</v>
      </c>
      <c r="B30" s="34" t="s">
        <v>21</v>
      </c>
      <c r="C30" s="24">
        <v>329.77</v>
      </c>
    </row>
    <row r="31" spans="1:3" hidden="1" x14ac:dyDescent="0.3">
      <c r="A31" s="26">
        <v>45861</v>
      </c>
      <c r="B31" s="46" t="s">
        <v>21</v>
      </c>
      <c r="C31" s="24">
        <v>66.5</v>
      </c>
    </row>
    <row r="32" spans="1:3" hidden="1" x14ac:dyDescent="0.3">
      <c r="A32" s="26">
        <v>45861</v>
      </c>
      <c r="B32" s="27" t="s">
        <v>1</v>
      </c>
      <c r="C32" s="24">
        <v>41.6</v>
      </c>
    </row>
    <row r="33" spans="1:3" hidden="1" x14ac:dyDescent="0.3">
      <c r="A33" s="26">
        <v>45866</v>
      </c>
      <c r="B33" s="27" t="s">
        <v>4</v>
      </c>
      <c r="C33" s="24">
        <v>-122.78</v>
      </c>
    </row>
    <row r="34" spans="1:3" hidden="1" x14ac:dyDescent="0.3">
      <c r="A34" s="26">
        <v>45874</v>
      </c>
      <c r="B34" s="27" t="s">
        <v>4</v>
      </c>
      <c r="C34" s="24">
        <v>-144.57</v>
      </c>
    </row>
    <row r="35" spans="1:3" hidden="1" x14ac:dyDescent="0.3">
      <c r="A35" s="26">
        <v>45875</v>
      </c>
      <c r="B35" s="27" t="s">
        <v>4</v>
      </c>
      <c r="C35" s="24">
        <v>-18.03</v>
      </c>
    </row>
    <row r="36" spans="1:3" hidden="1" x14ac:dyDescent="0.3">
      <c r="A36" s="26">
        <v>45875</v>
      </c>
      <c r="B36" s="27" t="s">
        <v>4</v>
      </c>
      <c r="C36" s="24">
        <v>-144.26</v>
      </c>
    </row>
    <row r="37" spans="1:3" hidden="1" x14ac:dyDescent="0.3">
      <c r="A37" s="26">
        <v>45875</v>
      </c>
      <c r="B37" s="27" t="s">
        <v>4</v>
      </c>
      <c r="C37" s="24">
        <v>-47.51</v>
      </c>
    </row>
    <row r="38" spans="1:3" hidden="1" x14ac:dyDescent="0.3">
      <c r="A38" s="26">
        <v>45875</v>
      </c>
      <c r="B38" s="32" t="s">
        <v>21</v>
      </c>
      <c r="C38" s="24">
        <v>55.25</v>
      </c>
    </row>
    <row r="39" spans="1:3" hidden="1" x14ac:dyDescent="0.3">
      <c r="A39" s="26">
        <v>45875</v>
      </c>
      <c r="B39" s="34" t="s">
        <v>21</v>
      </c>
      <c r="C39" s="24">
        <v>259.51</v>
      </c>
    </row>
    <row r="40" spans="1:3" hidden="1" x14ac:dyDescent="0.3">
      <c r="A40" s="26">
        <v>45875</v>
      </c>
      <c r="B40" s="27" t="s">
        <v>1</v>
      </c>
      <c r="C40" s="24">
        <v>41.6</v>
      </c>
    </row>
    <row r="41" spans="1:3" hidden="1" x14ac:dyDescent="0.3">
      <c r="A41" s="26">
        <v>45888</v>
      </c>
      <c r="B41" s="27" t="s">
        <v>4</v>
      </c>
      <c r="C41" s="24">
        <v>-80.349999999999994</v>
      </c>
    </row>
    <row r="42" spans="1:3" hidden="1" x14ac:dyDescent="0.3">
      <c r="A42" s="26">
        <v>45888</v>
      </c>
      <c r="B42" s="27" t="s">
        <v>4</v>
      </c>
      <c r="C42" s="24">
        <v>-43.83</v>
      </c>
    </row>
    <row r="43" spans="1:3" hidden="1" x14ac:dyDescent="0.3">
      <c r="A43" s="26">
        <v>45889</v>
      </c>
      <c r="B43" s="32" t="s">
        <v>21</v>
      </c>
      <c r="C43" s="24">
        <v>15.3</v>
      </c>
    </row>
    <row r="44" spans="1:3" hidden="1" x14ac:dyDescent="0.3">
      <c r="A44" s="26">
        <v>45889</v>
      </c>
      <c r="B44" s="34" t="s">
        <v>21</v>
      </c>
      <c r="C44" s="24">
        <v>131.1</v>
      </c>
    </row>
    <row r="45" spans="1:3" hidden="1" x14ac:dyDescent="0.3">
      <c r="A45" s="26">
        <v>45889</v>
      </c>
      <c r="B45" s="27" t="s">
        <v>1</v>
      </c>
      <c r="C45" s="24">
        <v>41.6</v>
      </c>
    </row>
    <row r="46" spans="1:3" hidden="1" x14ac:dyDescent="0.3">
      <c r="A46" s="26">
        <v>45898</v>
      </c>
      <c r="B46" s="27" t="s">
        <v>4</v>
      </c>
      <c r="C46" s="24">
        <v>-61.19</v>
      </c>
    </row>
    <row r="47" spans="1:3" hidden="1" x14ac:dyDescent="0.3">
      <c r="A47" s="26">
        <v>45900</v>
      </c>
      <c r="B47" s="27" t="s">
        <v>4</v>
      </c>
      <c r="C47" s="24">
        <v>-126.81</v>
      </c>
    </row>
    <row r="48" spans="1:3" hidden="1" x14ac:dyDescent="0.3">
      <c r="A48" s="26">
        <v>45903</v>
      </c>
      <c r="B48" s="27" t="s">
        <v>4</v>
      </c>
      <c r="C48" s="24">
        <v>-232.51</v>
      </c>
    </row>
    <row r="49" spans="1:3" hidden="1" x14ac:dyDescent="0.3">
      <c r="A49" s="26">
        <v>45903</v>
      </c>
      <c r="B49" s="32" t="s">
        <v>21</v>
      </c>
      <c r="C49" s="24">
        <v>40.450000000000003</v>
      </c>
    </row>
    <row r="50" spans="1:3" hidden="1" x14ac:dyDescent="0.3">
      <c r="A50" s="26">
        <v>45903</v>
      </c>
      <c r="B50" s="34" t="s">
        <v>21</v>
      </c>
      <c r="C50" s="24">
        <v>99.35</v>
      </c>
    </row>
    <row r="51" spans="1:3" hidden="1" x14ac:dyDescent="0.3">
      <c r="A51" s="26">
        <v>45916</v>
      </c>
      <c r="B51" s="27" t="s">
        <v>4</v>
      </c>
      <c r="C51" s="24">
        <v>-139.80000000000001</v>
      </c>
    </row>
    <row r="52" spans="1:3" hidden="1" x14ac:dyDescent="0.3">
      <c r="A52" s="26">
        <v>45931</v>
      </c>
      <c r="B52" s="32" t="s">
        <v>21</v>
      </c>
      <c r="C52" s="24">
        <v>44.04</v>
      </c>
    </row>
    <row r="53" spans="1:3" hidden="1" x14ac:dyDescent="0.3">
      <c r="A53" s="26">
        <v>45931</v>
      </c>
      <c r="B53" s="34" t="s">
        <v>21</v>
      </c>
      <c r="C53" s="24">
        <v>135.9</v>
      </c>
    </row>
    <row r="54" spans="1:3" hidden="1" x14ac:dyDescent="0.3">
      <c r="A54" s="26">
        <v>45931</v>
      </c>
      <c r="B54" s="27" t="s">
        <v>1</v>
      </c>
      <c r="C54" s="24">
        <v>20.8</v>
      </c>
    </row>
    <row r="55" spans="1:3" hidden="1" x14ac:dyDescent="0.3">
      <c r="A55" s="26">
        <v>45945</v>
      </c>
      <c r="B55" s="27" t="s">
        <v>7</v>
      </c>
      <c r="C55" s="24">
        <v>-149.54</v>
      </c>
    </row>
    <row r="56" spans="1:3" hidden="1" x14ac:dyDescent="0.3">
      <c r="A56" s="26">
        <v>45945</v>
      </c>
      <c r="B56" s="34" t="s">
        <v>21</v>
      </c>
      <c r="C56" s="24">
        <v>123.29</v>
      </c>
    </row>
    <row r="57" spans="1:3" hidden="1" x14ac:dyDescent="0.3">
      <c r="A57" s="26">
        <v>45945</v>
      </c>
      <c r="B57" s="34" t="s">
        <v>21</v>
      </c>
      <c r="C57" s="24">
        <v>38.28</v>
      </c>
    </row>
    <row r="58" spans="1:3" hidden="1" x14ac:dyDescent="0.3">
      <c r="A58" s="26">
        <v>45945</v>
      </c>
      <c r="B58" s="27" t="s">
        <v>1</v>
      </c>
      <c r="C58" s="24">
        <v>41.1</v>
      </c>
    </row>
    <row r="59" spans="1:3" hidden="1" x14ac:dyDescent="0.3">
      <c r="A59" s="26">
        <v>45959</v>
      </c>
      <c r="B59" s="27" t="s">
        <v>4</v>
      </c>
      <c r="C59" s="24">
        <v>-202.67</v>
      </c>
    </row>
    <row r="60" spans="1:3" hidden="1" x14ac:dyDescent="0.3">
      <c r="A60" s="26">
        <v>45959</v>
      </c>
      <c r="B60" s="32" t="s">
        <v>21</v>
      </c>
      <c r="C60" s="24">
        <v>51.06</v>
      </c>
    </row>
    <row r="61" spans="1:3" hidden="1" x14ac:dyDescent="0.3">
      <c r="A61" s="26">
        <v>45959</v>
      </c>
      <c r="B61" s="34" t="s">
        <v>21</v>
      </c>
      <c r="C61" s="24">
        <v>228.61</v>
      </c>
    </row>
    <row r="62" spans="1:3" hidden="1" x14ac:dyDescent="0.3">
      <c r="A62" s="26">
        <v>45959</v>
      </c>
      <c r="B62" s="46" t="s">
        <v>21</v>
      </c>
      <c r="C62" s="24">
        <v>12.78</v>
      </c>
    </row>
    <row r="63" spans="1:3" hidden="1" x14ac:dyDescent="0.3">
      <c r="A63" s="26">
        <v>45959</v>
      </c>
      <c r="B63" s="27" t="s">
        <v>1</v>
      </c>
      <c r="C63" s="24">
        <v>36.71</v>
      </c>
    </row>
    <row r="64" spans="1:3" hidden="1" x14ac:dyDescent="0.3">
      <c r="A64" s="26">
        <v>45966</v>
      </c>
      <c r="B64" s="34" t="s">
        <v>21</v>
      </c>
      <c r="C64" s="24">
        <v>25.4</v>
      </c>
    </row>
    <row r="65" spans="1:3" hidden="1" x14ac:dyDescent="0.3">
      <c r="A65" s="26">
        <v>45967</v>
      </c>
      <c r="B65" s="27" t="s">
        <v>4</v>
      </c>
      <c r="C65" s="24">
        <v>-25.4</v>
      </c>
    </row>
    <row r="66" spans="1:3" hidden="1" x14ac:dyDescent="0.3">
      <c r="A66" s="26">
        <v>45973</v>
      </c>
      <c r="B66" s="27" t="s">
        <v>4</v>
      </c>
      <c r="C66" s="24">
        <v>-51.23</v>
      </c>
    </row>
    <row r="67" spans="1:3" hidden="1" x14ac:dyDescent="0.3">
      <c r="A67" s="26">
        <v>45973</v>
      </c>
      <c r="B67" s="27" t="s">
        <v>4</v>
      </c>
      <c r="C67" s="24">
        <v>-193.1</v>
      </c>
    </row>
    <row r="68" spans="1:3" hidden="1" x14ac:dyDescent="0.3">
      <c r="A68" s="26">
        <v>45973</v>
      </c>
      <c r="B68" s="27" t="s">
        <v>1</v>
      </c>
      <c r="C68" s="24">
        <v>317.82</v>
      </c>
    </row>
    <row r="69" spans="1:3" hidden="1" x14ac:dyDescent="0.3">
      <c r="A69" s="26">
        <v>45974</v>
      </c>
      <c r="B69" s="27" t="s">
        <v>4</v>
      </c>
      <c r="C69" s="24">
        <v>-136.07</v>
      </c>
    </row>
    <row r="70" spans="1:3" hidden="1" x14ac:dyDescent="0.3">
      <c r="A70" s="26">
        <v>45979</v>
      </c>
      <c r="B70" s="27" t="s">
        <v>4</v>
      </c>
      <c r="C70" s="24">
        <v>-317.82</v>
      </c>
    </row>
    <row r="71" spans="1:3" x14ac:dyDescent="0.3">
      <c r="A71" s="26">
        <v>45980</v>
      </c>
      <c r="B71" s="27" t="s">
        <v>1</v>
      </c>
      <c r="C71" s="24">
        <v>297.45</v>
      </c>
    </row>
    <row r="72" spans="1:3" x14ac:dyDescent="0.3">
      <c r="A72" s="26">
        <v>45986</v>
      </c>
      <c r="B72" s="27" t="s">
        <v>4</v>
      </c>
      <c r="C72" s="24">
        <v>-78.150000000000006</v>
      </c>
    </row>
    <row r="73" spans="1:3" x14ac:dyDescent="0.3">
      <c r="A73" s="26">
        <v>45987</v>
      </c>
      <c r="B73" s="27" t="s">
        <v>4</v>
      </c>
      <c r="C73" s="24">
        <v>-219.3</v>
      </c>
    </row>
    <row r="74" spans="1:3" x14ac:dyDescent="0.3">
      <c r="A74" s="26">
        <v>45995</v>
      </c>
      <c r="B74" s="27" t="s">
        <v>1</v>
      </c>
      <c r="C74" s="24">
        <v>352.56</v>
      </c>
    </row>
    <row r="75" spans="1:3" x14ac:dyDescent="0.3">
      <c r="A75" s="26">
        <v>46007</v>
      </c>
      <c r="B75" s="27" t="s">
        <v>4</v>
      </c>
      <c r="C75" s="24">
        <v>-82.54</v>
      </c>
    </row>
    <row r="76" spans="1:3" x14ac:dyDescent="0.3">
      <c r="A76" s="26">
        <v>46007</v>
      </c>
      <c r="B76" s="27" t="s">
        <v>4</v>
      </c>
      <c r="C76" s="24">
        <v>-116.97</v>
      </c>
    </row>
    <row r="77" spans="1:3" x14ac:dyDescent="0.3">
      <c r="A77" s="26">
        <v>46008</v>
      </c>
      <c r="B77" s="27" t="s">
        <v>4</v>
      </c>
      <c r="C77" s="24">
        <v>-153.01</v>
      </c>
    </row>
    <row r="78" spans="1:3" x14ac:dyDescent="0.3">
      <c r="A78" s="26">
        <v>46008</v>
      </c>
      <c r="B78" s="27" t="s">
        <v>1</v>
      </c>
      <c r="C78" s="24">
        <v>351.29</v>
      </c>
    </row>
    <row r="79" spans="1:3" x14ac:dyDescent="0.3">
      <c r="A79" s="26">
        <v>46024</v>
      </c>
      <c r="B79" s="27" t="s">
        <v>4</v>
      </c>
      <c r="C79" s="24">
        <v>-350.69</v>
      </c>
    </row>
    <row r="80" spans="1:3" x14ac:dyDescent="0.3">
      <c r="A80" s="26">
        <v>46029</v>
      </c>
      <c r="B80" s="27" t="s">
        <v>1</v>
      </c>
      <c r="C80" s="24">
        <v>407.42</v>
      </c>
    </row>
    <row r="81" spans="1:3" x14ac:dyDescent="0.3">
      <c r="A81" s="26">
        <v>46048</v>
      </c>
      <c r="B81" s="27" t="s">
        <v>4</v>
      </c>
      <c r="C81" s="24">
        <v>-149.06</v>
      </c>
    </row>
    <row r="82" spans="1:3" x14ac:dyDescent="0.3">
      <c r="A82" s="26">
        <v>46056</v>
      </c>
      <c r="B82" s="27" t="s">
        <v>4</v>
      </c>
      <c r="C82" s="24">
        <v>-81.03</v>
      </c>
    </row>
    <row r="83" spans="1:3" x14ac:dyDescent="0.3">
      <c r="A83" s="26">
        <v>46056</v>
      </c>
      <c r="B83" s="27" t="s">
        <v>4</v>
      </c>
      <c r="C83" s="24">
        <v>-29.56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2E59D-F6C2-4E1C-9F37-082ECE93CA1B}">
  <dimension ref="A1:H86"/>
  <sheetViews>
    <sheetView view="pageBreakPreview" zoomScale="80" zoomScaleNormal="100" zoomScaleSheetLayoutView="80" workbookViewId="0">
      <selection activeCell="C19" sqref="C1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370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371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42.04999999999999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45855</v>
      </c>
      <c r="B5" s="32" t="s">
        <v>21</v>
      </c>
      <c r="C5" s="24">
        <v>15.85</v>
      </c>
      <c r="D5" s="30"/>
      <c r="E5" s="30"/>
      <c r="F5" s="30"/>
      <c r="G5" s="22"/>
    </row>
    <row r="6" spans="1:8" x14ac:dyDescent="0.3">
      <c r="A6" s="26">
        <v>45862</v>
      </c>
      <c r="B6" s="27" t="s">
        <v>7</v>
      </c>
      <c r="C6" s="24">
        <v>-15.93</v>
      </c>
    </row>
    <row r="7" spans="1:8" x14ac:dyDescent="0.3">
      <c r="A7" s="26">
        <v>45862</v>
      </c>
      <c r="B7" s="32" t="s">
        <v>1</v>
      </c>
      <c r="C7" s="24">
        <v>20.45</v>
      </c>
    </row>
    <row r="8" spans="1:8" x14ac:dyDescent="0.3">
      <c r="A8" s="21">
        <v>45877</v>
      </c>
      <c r="B8" s="27" t="s">
        <v>7</v>
      </c>
      <c r="C8" s="24">
        <v>-20.38</v>
      </c>
    </row>
    <row r="9" spans="1:8" x14ac:dyDescent="0.3">
      <c r="A9" s="21">
        <v>45877</v>
      </c>
      <c r="B9" s="32" t="s">
        <v>1</v>
      </c>
      <c r="C9" s="24">
        <v>9.1999999999999993</v>
      </c>
    </row>
    <row r="10" spans="1:8" x14ac:dyDescent="0.3">
      <c r="A10" s="26">
        <v>45945</v>
      </c>
      <c r="B10" s="27" t="s">
        <v>7</v>
      </c>
      <c r="C10" s="24">
        <v>-9.23</v>
      </c>
    </row>
    <row r="11" spans="1:8" x14ac:dyDescent="0.3">
      <c r="A11" s="26">
        <v>45951</v>
      </c>
      <c r="B11" s="34" t="s">
        <v>1</v>
      </c>
      <c r="C11" s="24">
        <v>33.6</v>
      </c>
    </row>
    <row r="12" spans="1:8" x14ac:dyDescent="0.3">
      <c r="A12" s="26">
        <v>45966</v>
      </c>
      <c r="B12" s="27" t="s">
        <v>7</v>
      </c>
      <c r="C12" s="24">
        <v>-33.700000000000003</v>
      </c>
    </row>
    <row r="13" spans="1:8" x14ac:dyDescent="0.3">
      <c r="A13" s="26">
        <v>45968</v>
      </c>
      <c r="B13" s="34" t="s">
        <v>1</v>
      </c>
      <c r="C13" s="24">
        <v>36.72</v>
      </c>
    </row>
    <row r="14" spans="1:8" x14ac:dyDescent="0.3">
      <c r="A14" s="26">
        <v>45980</v>
      </c>
      <c r="B14" s="27" t="s">
        <v>7</v>
      </c>
      <c r="C14" s="24">
        <v>-36.78</v>
      </c>
    </row>
    <row r="15" spans="1:8" x14ac:dyDescent="0.3">
      <c r="A15" s="26">
        <v>45980</v>
      </c>
      <c r="B15" s="27" t="s">
        <v>1</v>
      </c>
      <c r="C15" s="24">
        <v>76.02</v>
      </c>
    </row>
    <row r="16" spans="1:8" x14ac:dyDescent="0.3">
      <c r="A16" s="26">
        <v>45996</v>
      </c>
      <c r="B16" s="27" t="s">
        <v>7</v>
      </c>
      <c r="C16" s="24">
        <v>-38.03</v>
      </c>
    </row>
    <row r="17" spans="1:3" x14ac:dyDescent="0.3">
      <c r="A17" s="26">
        <v>46001</v>
      </c>
      <c r="B17" s="27" t="s">
        <v>7</v>
      </c>
      <c r="C17" s="24">
        <v>-37.5</v>
      </c>
    </row>
    <row r="18" spans="1:3" x14ac:dyDescent="0.3">
      <c r="A18" s="26">
        <v>46052</v>
      </c>
      <c r="B18" s="27" t="s">
        <v>1</v>
      </c>
      <c r="C18" s="24">
        <v>41.76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FB393-B78C-43B7-B0AB-72D4219249AD}">
  <dimension ref="A1:H86"/>
  <sheetViews>
    <sheetView view="pageBreakPreview" zoomScale="80" zoomScaleNormal="100" zoomScaleSheetLayoutView="80" workbookViewId="0">
      <selection activeCell="C8" sqref="C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475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45939</v>
      </c>
      <c r="B5" s="27" t="s">
        <v>21</v>
      </c>
      <c r="C5" s="24">
        <v>92</v>
      </c>
      <c r="D5" s="30"/>
      <c r="E5" s="30"/>
      <c r="F5" s="30"/>
      <c r="G5" s="22"/>
    </row>
    <row r="6" spans="1:8" x14ac:dyDescent="0.3">
      <c r="A6" s="21">
        <v>45939</v>
      </c>
      <c r="B6" s="32" t="s">
        <v>1</v>
      </c>
      <c r="C6" s="24">
        <v>16.38</v>
      </c>
    </row>
    <row r="7" spans="1:8" x14ac:dyDescent="0.3">
      <c r="A7" s="26">
        <v>46037</v>
      </c>
      <c r="B7" s="27" t="s">
        <v>4</v>
      </c>
      <c r="C7" s="24">
        <v>-108.38</v>
      </c>
    </row>
    <row r="8" spans="1:8" x14ac:dyDescent="0.3">
      <c r="A8" s="21"/>
    </row>
    <row r="9" spans="1:8" x14ac:dyDescent="0.3">
      <c r="A9" s="21"/>
      <c r="B9" s="32"/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B726-3277-4E03-B831-84E774885022}">
  <dimension ref="A1:H86"/>
  <sheetViews>
    <sheetView view="pageBreakPreview" zoomScale="80" zoomScaleNormal="100" zoomScaleSheetLayoutView="80" workbookViewId="0">
      <selection activeCell="A40" sqref="A4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379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380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71.799999999999983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45861</v>
      </c>
      <c r="B5" s="34" t="s">
        <v>21</v>
      </c>
      <c r="C5" s="24">
        <v>48.34</v>
      </c>
      <c r="D5" s="30"/>
      <c r="E5" s="30"/>
      <c r="F5" s="30"/>
      <c r="G5" s="22"/>
    </row>
    <row r="6" spans="1:8" hidden="1" x14ac:dyDescent="0.3">
      <c r="A6" s="26">
        <v>45862</v>
      </c>
      <c r="B6" s="32" t="s">
        <v>1</v>
      </c>
      <c r="C6" s="24">
        <v>18</v>
      </c>
    </row>
    <row r="7" spans="1:8" hidden="1" x14ac:dyDescent="0.3">
      <c r="A7" s="26">
        <v>45874</v>
      </c>
      <c r="B7" s="32" t="s">
        <v>1</v>
      </c>
      <c r="C7" s="24">
        <v>9</v>
      </c>
    </row>
    <row r="8" spans="1:8" hidden="1" x14ac:dyDescent="0.3">
      <c r="A8" s="26">
        <v>45874</v>
      </c>
      <c r="B8" s="34" t="s">
        <v>21</v>
      </c>
      <c r="C8" s="24">
        <v>41.29</v>
      </c>
    </row>
    <row r="9" spans="1:8" hidden="1" x14ac:dyDescent="0.3">
      <c r="A9" s="26">
        <v>45874</v>
      </c>
      <c r="B9" s="27" t="s">
        <v>7</v>
      </c>
      <c r="C9" s="24">
        <v>-51.93</v>
      </c>
    </row>
    <row r="10" spans="1:8" hidden="1" x14ac:dyDescent="0.3">
      <c r="A10" s="26">
        <v>45875</v>
      </c>
      <c r="B10" s="27" t="s">
        <v>4</v>
      </c>
      <c r="C10" s="24">
        <v>-14.82</v>
      </c>
    </row>
    <row r="11" spans="1:8" hidden="1" x14ac:dyDescent="0.3">
      <c r="A11" s="26">
        <v>45889</v>
      </c>
      <c r="B11" s="27" t="s">
        <v>4</v>
      </c>
      <c r="C11" s="24">
        <v>-49.88</v>
      </c>
    </row>
    <row r="12" spans="1:8" hidden="1" x14ac:dyDescent="0.3">
      <c r="A12" s="26">
        <v>45889</v>
      </c>
      <c r="B12" s="32" t="s">
        <v>1</v>
      </c>
      <c r="C12" s="24">
        <v>12.3</v>
      </c>
    </row>
    <row r="13" spans="1:8" hidden="1" x14ac:dyDescent="0.3">
      <c r="A13" s="26">
        <v>45889</v>
      </c>
      <c r="B13" s="34" t="s">
        <v>21</v>
      </c>
      <c r="C13" s="24">
        <v>49.39</v>
      </c>
    </row>
    <row r="14" spans="1:8" hidden="1" x14ac:dyDescent="0.3">
      <c r="A14" s="26">
        <v>45902</v>
      </c>
      <c r="B14" s="27" t="s">
        <v>4</v>
      </c>
      <c r="C14" s="24">
        <v>-61.69</v>
      </c>
    </row>
    <row r="15" spans="1:8" hidden="1" x14ac:dyDescent="0.3">
      <c r="A15" s="26">
        <v>45902</v>
      </c>
      <c r="B15" s="32" t="s">
        <v>1</v>
      </c>
      <c r="C15" s="24">
        <v>13.5</v>
      </c>
    </row>
    <row r="16" spans="1:8" hidden="1" x14ac:dyDescent="0.3">
      <c r="A16" s="26">
        <v>45902</v>
      </c>
      <c r="B16" s="34" t="s">
        <v>21</v>
      </c>
      <c r="C16" s="24">
        <v>46.74</v>
      </c>
    </row>
    <row r="17" spans="1:3" hidden="1" x14ac:dyDescent="0.3">
      <c r="A17" s="26">
        <v>45918</v>
      </c>
      <c r="B17" s="27" t="s">
        <v>4</v>
      </c>
      <c r="C17" s="24">
        <v>-60.24</v>
      </c>
    </row>
    <row r="18" spans="1:3" hidden="1" x14ac:dyDescent="0.3">
      <c r="A18" s="26">
        <v>45918</v>
      </c>
      <c r="B18" s="32" t="s">
        <v>1</v>
      </c>
      <c r="C18" s="24">
        <v>13.5</v>
      </c>
    </row>
    <row r="19" spans="1:3" hidden="1" x14ac:dyDescent="0.3">
      <c r="A19" s="26">
        <v>45918</v>
      </c>
      <c r="B19" s="34" t="s">
        <v>21</v>
      </c>
      <c r="C19" s="24">
        <v>59.93</v>
      </c>
    </row>
    <row r="20" spans="1:3" hidden="1" x14ac:dyDescent="0.3">
      <c r="A20" s="26">
        <v>45933</v>
      </c>
      <c r="B20" s="27" t="s">
        <v>4</v>
      </c>
      <c r="C20" s="24">
        <v>-73.430000000000007</v>
      </c>
    </row>
    <row r="21" spans="1:3" hidden="1" x14ac:dyDescent="0.3">
      <c r="A21" s="26">
        <v>45937</v>
      </c>
      <c r="B21" s="27" t="s">
        <v>1</v>
      </c>
      <c r="C21" s="24">
        <v>18</v>
      </c>
    </row>
    <row r="22" spans="1:3" hidden="1" x14ac:dyDescent="0.3">
      <c r="A22" s="26">
        <v>45937</v>
      </c>
      <c r="B22" s="34" t="s">
        <v>21</v>
      </c>
      <c r="C22" s="24">
        <v>51.99</v>
      </c>
    </row>
    <row r="23" spans="1:3" hidden="1" x14ac:dyDescent="0.3">
      <c r="A23" s="26">
        <v>45950</v>
      </c>
      <c r="B23" s="27" t="s">
        <v>4</v>
      </c>
      <c r="C23" s="24">
        <v>-69.989999999999995</v>
      </c>
    </row>
    <row r="24" spans="1:3" hidden="1" x14ac:dyDescent="0.3">
      <c r="A24" s="26">
        <v>45954</v>
      </c>
      <c r="B24" s="32" t="s">
        <v>1</v>
      </c>
      <c r="C24" s="24">
        <v>18</v>
      </c>
    </row>
    <row r="25" spans="1:3" hidden="1" x14ac:dyDescent="0.3">
      <c r="A25" s="26">
        <v>45954</v>
      </c>
      <c r="B25" s="34" t="s">
        <v>21</v>
      </c>
      <c r="C25" s="24">
        <v>55.86</v>
      </c>
    </row>
    <row r="26" spans="1:3" hidden="1" x14ac:dyDescent="0.3">
      <c r="A26" s="26">
        <v>45968</v>
      </c>
      <c r="B26" s="27" t="s">
        <v>4</v>
      </c>
      <c r="C26" s="24">
        <v>-73.86</v>
      </c>
    </row>
    <row r="27" spans="1:3" hidden="1" x14ac:dyDescent="0.3">
      <c r="A27" s="26">
        <v>45968</v>
      </c>
      <c r="B27" s="32" t="s">
        <v>1</v>
      </c>
      <c r="C27" s="24">
        <v>29.88</v>
      </c>
    </row>
    <row r="28" spans="1:3" hidden="1" x14ac:dyDescent="0.3">
      <c r="A28" s="26">
        <v>45968</v>
      </c>
      <c r="B28" s="34" t="s">
        <v>21</v>
      </c>
      <c r="C28" s="24">
        <v>32.130000000000003</v>
      </c>
    </row>
    <row r="29" spans="1:3" hidden="1" x14ac:dyDescent="0.3">
      <c r="A29" s="26">
        <v>45971</v>
      </c>
      <c r="B29" s="27" t="s">
        <v>4</v>
      </c>
      <c r="C29" s="24">
        <v>-20</v>
      </c>
    </row>
    <row r="30" spans="1:3" hidden="1" x14ac:dyDescent="0.3">
      <c r="A30" s="26">
        <v>45972</v>
      </c>
      <c r="B30" s="27" t="s">
        <v>1</v>
      </c>
      <c r="C30" s="24">
        <v>39.380000000000003</v>
      </c>
    </row>
    <row r="31" spans="1:3" hidden="1" x14ac:dyDescent="0.3">
      <c r="A31" s="26">
        <v>45986</v>
      </c>
      <c r="B31" s="27" t="s">
        <v>7</v>
      </c>
      <c r="C31" s="24">
        <v>-19.39</v>
      </c>
    </row>
    <row r="32" spans="1:3" hidden="1" x14ac:dyDescent="0.3">
      <c r="A32" s="26">
        <v>45989</v>
      </c>
      <c r="B32" s="27" t="s">
        <v>4</v>
      </c>
      <c r="C32" s="24">
        <v>-62.01</v>
      </c>
    </row>
    <row r="33" spans="1:3" x14ac:dyDescent="0.3">
      <c r="A33" s="26">
        <v>45989</v>
      </c>
      <c r="B33" s="27" t="s">
        <v>1</v>
      </c>
      <c r="C33" s="24">
        <v>106.62</v>
      </c>
    </row>
    <row r="34" spans="1:3" x14ac:dyDescent="0.3">
      <c r="A34" s="26">
        <v>46010</v>
      </c>
      <c r="B34" s="27" t="s">
        <v>4</v>
      </c>
      <c r="C34" s="24">
        <v>-106.62</v>
      </c>
    </row>
    <row r="35" spans="1:3" x14ac:dyDescent="0.3">
      <c r="A35" s="26">
        <v>46010</v>
      </c>
      <c r="B35" s="27" t="s">
        <v>1</v>
      </c>
      <c r="C35" s="24">
        <v>69.430000000000007</v>
      </c>
    </row>
    <row r="36" spans="1:3" x14ac:dyDescent="0.3">
      <c r="A36" s="26">
        <v>46029</v>
      </c>
      <c r="B36" s="27" t="s">
        <v>4</v>
      </c>
      <c r="C36" s="24">
        <v>-69.42</v>
      </c>
    </row>
    <row r="37" spans="1:3" x14ac:dyDescent="0.3">
      <c r="A37" s="26">
        <v>46031</v>
      </c>
      <c r="B37" s="27" t="s">
        <v>1</v>
      </c>
      <c r="C37" s="24">
        <v>55.15</v>
      </c>
    </row>
    <row r="38" spans="1:3" x14ac:dyDescent="0.3">
      <c r="A38" s="26">
        <v>46045</v>
      </c>
      <c r="B38" s="27" t="s">
        <v>1</v>
      </c>
      <c r="C38" s="24">
        <v>71.36</v>
      </c>
    </row>
    <row r="39" spans="1:3" x14ac:dyDescent="0.3">
      <c r="A39" s="26">
        <v>46056</v>
      </c>
      <c r="B39" s="27" t="s">
        <v>4</v>
      </c>
      <c r="C39" s="24">
        <v>-54.71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0F71A-FB47-4874-BC24-049D6B45923F}">
  <sheetPr codeName="Hoja182"/>
  <dimension ref="A1:H86"/>
  <sheetViews>
    <sheetView view="pageBreakPreview" zoomScaleNormal="100" zoomScaleSheetLayoutView="100" workbookViewId="0">
      <selection activeCell="C59" sqref="C5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287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288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159.78999999999996</v>
      </c>
      <c r="D3" s="20">
        <f>SUM(D$4:D$1048576)</f>
        <v>1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45828</v>
      </c>
      <c r="B5" s="32" t="s">
        <v>21</v>
      </c>
      <c r="C5" s="24">
        <v>41.7</v>
      </c>
      <c r="D5" s="30"/>
      <c r="E5" s="30"/>
      <c r="F5" s="30"/>
      <c r="G5" s="22"/>
    </row>
    <row r="6" spans="1:8" hidden="1" x14ac:dyDescent="0.3">
      <c r="A6" s="26">
        <v>45835</v>
      </c>
      <c r="B6" s="27" t="s">
        <v>7</v>
      </c>
      <c r="C6" s="24">
        <v>-31.7</v>
      </c>
    </row>
    <row r="7" spans="1:8" hidden="1" x14ac:dyDescent="0.3">
      <c r="A7" s="26">
        <v>45835</v>
      </c>
      <c r="B7" s="27" t="s">
        <v>7</v>
      </c>
      <c r="C7" s="24">
        <v>-10</v>
      </c>
    </row>
    <row r="8" spans="1:8" hidden="1" x14ac:dyDescent="0.3">
      <c r="A8" s="21">
        <v>45835</v>
      </c>
      <c r="B8" s="32" t="s">
        <v>21</v>
      </c>
      <c r="C8" s="24">
        <v>31.7</v>
      </c>
    </row>
    <row r="9" spans="1:8" hidden="1" x14ac:dyDescent="0.3">
      <c r="A9" s="26">
        <v>45841</v>
      </c>
      <c r="B9" s="27" t="s">
        <v>7</v>
      </c>
      <c r="C9" s="24">
        <v>-31.7</v>
      </c>
    </row>
    <row r="10" spans="1:8" hidden="1" x14ac:dyDescent="0.3">
      <c r="A10" s="26">
        <v>45848</v>
      </c>
      <c r="B10" s="32" t="s">
        <v>21</v>
      </c>
      <c r="C10" s="24">
        <v>25.45</v>
      </c>
    </row>
    <row r="11" spans="1:8" hidden="1" x14ac:dyDescent="0.3">
      <c r="A11" s="26">
        <v>45855</v>
      </c>
      <c r="B11" s="27" t="s">
        <v>4</v>
      </c>
      <c r="C11" s="24">
        <v>-25.45</v>
      </c>
    </row>
    <row r="12" spans="1:8" hidden="1" x14ac:dyDescent="0.3">
      <c r="A12" s="26">
        <v>45861</v>
      </c>
      <c r="B12" s="27" t="s">
        <v>4</v>
      </c>
      <c r="C12" s="24">
        <v>-13.29</v>
      </c>
    </row>
    <row r="13" spans="1:8" hidden="1" x14ac:dyDescent="0.3">
      <c r="A13" s="26">
        <v>45862</v>
      </c>
      <c r="B13" s="32" t="s">
        <v>21</v>
      </c>
      <c r="C13" s="24">
        <v>25.45</v>
      </c>
    </row>
    <row r="14" spans="1:8" hidden="1" x14ac:dyDescent="0.3">
      <c r="A14" s="26">
        <v>45869</v>
      </c>
      <c r="B14" s="27" t="s">
        <v>7</v>
      </c>
      <c r="C14" s="24">
        <v>-12.16</v>
      </c>
    </row>
    <row r="15" spans="1:8" hidden="1" x14ac:dyDescent="0.3">
      <c r="A15" s="26">
        <v>45876</v>
      </c>
      <c r="B15" s="32" t="s">
        <v>21</v>
      </c>
      <c r="C15" s="24">
        <v>31.7</v>
      </c>
    </row>
    <row r="16" spans="1:8" hidden="1" x14ac:dyDescent="0.3">
      <c r="A16" s="26">
        <v>45883</v>
      </c>
      <c r="B16" s="27" t="s">
        <v>7</v>
      </c>
      <c r="C16" s="24">
        <v>-31.7</v>
      </c>
    </row>
    <row r="17" spans="1:3" hidden="1" x14ac:dyDescent="0.3">
      <c r="A17" s="26">
        <v>45883</v>
      </c>
      <c r="B17" s="32" t="s">
        <v>21</v>
      </c>
      <c r="C17" s="24">
        <v>25.45</v>
      </c>
    </row>
    <row r="18" spans="1:3" hidden="1" x14ac:dyDescent="0.3">
      <c r="A18" s="26">
        <v>45890</v>
      </c>
      <c r="B18" s="27" t="s">
        <v>7</v>
      </c>
      <c r="C18" s="24">
        <v>-25.48</v>
      </c>
    </row>
    <row r="19" spans="1:3" hidden="1" x14ac:dyDescent="0.3">
      <c r="A19" s="26">
        <v>45898</v>
      </c>
      <c r="B19" s="32" t="s">
        <v>21</v>
      </c>
      <c r="C19" s="24">
        <v>25.45</v>
      </c>
    </row>
    <row r="20" spans="1:3" hidden="1" x14ac:dyDescent="0.3">
      <c r="A20" s="26">
        <v>45904</v>
      </c>
      <c r="B20" s="27" t="s">
        <v>7</v>
      </c>
      <c r="C20" s="24">
        <v>-25.45</v>
      </c>
    </row>
    <row r="21" spans="1:3" hidden="1" x14ac:dyDescent="0.3">
      <c r="A21" s="26">
        <v>45911</v>
      </c>
      <c r="B21" s="32" t="s">
        <v>21</v>
      </c>
      <c r="C21" s="24">
        <v>31.7</v>
      </c>
    </row>
    <row r="22" spans="1:3" hidden="1" x14ac:dyDescent="0.3">
      <c r="A22" s="26">
        <v>45920</v>
      </c>
      <c r="B22" s="27" t="s">
        <v>4</v>
      </c>
      <c r="C22" s="24">
        <v>-31.7</v>
      </c>
    </row>
    <row r="23" spans="1:3" hidden="1" x14ac:dyDescent="0.3">
      <c r="A23" s="26">
        <v>45920</v>
      </c>
      <c r="B23" s="32" t="s">
        <v>21</v>
      </c>
      <c r="C23" s="24">
        <v>25.45</v>
      </c>
    </row>
    <row r="24" spans="1:3" hidden="1" x14ac:dyDescent="0.3">
      <c r="A24" s="26">
        <v>45926</v>
      </c>
      <c r="B24" s="27" t="s">
        <v>1</v>
      </c>
      <c r="C24" s="24">
        <v>20.8</v>
      </c>
    </row>
    <row r="25" spans="1:3" hidden="1" x14ac:dyDescent="0.3">
      <c r="A25" s="26">
        <v>45925</v>
      </c>
      <c r="B25" s="32" t="s">
        <v>21</v>
      </c>
      <c r="C25" s="24">
        <v>15.85</v>
      </c>
    </row>
    <row r="26" spans="1:3" hidden="1" x14ac:dyDescent="0.3">
      <c r="A26" s="26">
        <v>45925</v>
      </c>
      <c r="B26" s="34" t="s">
        <v>21</v>
      </c>
      <c r="C26" s="24">
        <v>51.4</v>
      </c>
    </row>
    <row r="27" spans="1:3" hidden="1" x14ac:dyDescent="0.3">
      <c r="A27" s="26">
        <v>45929</v>
      </c>
      <c r="B27" s="27" t="s">
        <v>4</v>
      </c>
      <c r="C27" s="24">
        <v>-25.42</v>
      </c>
    </row>
    <row r="28" spans="1:3" hidden="1" x14ac:dyDescent="0.3">
      <c r="A28" s="26">
        <v>45932</v>
      </c>
      <c r="B28" s="34" t="s">
        <v>21</v>
      </c>
      <c r="C28" s="24">
        <v>69</v>
      </c>
    </row>
    <row r="29" spans="1:3" hidden="1" x14ac:dyDescent="0.3">
      <c r="A29" s="26">
        <v>45939</v>
      </c>
      <c r="B29" s="27" t="s">
        <v>4</v>
      </c>
      <c r="C29" s="24">
        <v>-157.05000000000001</v>
      </c>
    </row>
    <row r="30" spans="1:3" hidden="1" x14ac:dyDescent="0.3">
      <c r="A30" s="26">
        <v>45939</v>
      </c>
      <c r="B30" s="27" t="s">
        <v>1</v>
      </c>
      <c r="C30" s="24">
        <v>23</v>
      </c>
    </row>
    <row r="31" spans="1:3" hidden="1" x14ac:dyDescent="0.3">
      <c r="A31" s="26">
        <v>45939</v>
      </c>
      <c r="B31" s="32" t="s">
        <v>21</v>
      </c>
      <c r="C31" s="24">
        <v>25.98</v>
      </c>
    </row>
    <row r="32" spans="1:3" hidden="1" x14ac:dyDescent="0.3">
      <c r="A32" s="26">
        <v>45939</v>
      </c>
      <c r="B32" s="34" t="s">
        <v>21</v>
      </c>
      <c r="C32" s="24">
        <v>23.4</v>
      </c>
    </row>
    <row r="33" spans="1:3" hidden="1" x14ac:dyDescent="0.3">
      <c r="A33" s="26">
        <v>45940</v>
      </c>
      <c r="B33" s="34" t="s">
        <v>21</v>
      </c>
      <c r="C33" s="24">
        <v>69</v>
      </c>
    </row>
    <row r="34" spans="1:3" hidden="1" x14ac:dyDescent="0.3">
      <c r="A34" s="26">
        <v>45946</v>
      </c>
      <c r="B34" s="32" t="s">
        <v>21</v>
      </c>
      <c r="C34" s="24">
        <v>32.76</v>
      </c>
    </row>
    <row r="35" spans="1:3" hidden="1" x14ac:dyDescent="0.3">
      <c r="A35" s="26">
        <v>45947</v>
      </c>
      <c r="B35" s="27" t="s">
        <v>4</v>
      </c>
      <c r="C35" s="24">
        <v>-140</v>
      </c>
    </row>
    <row r="36" spans="1:3" hidden="1" x14ac:dyDescent="0.3">
      <c r="A36" s="26">
        <v>45953</v>
      </c>
      <c r="B36" s="34" t="s">
        <v>21</v>
      </c>
      <c r="C36" s="24">
        <v>67.2</v>
      </c>
    </row>
    <row r="37" spans="1:3" hidden="1" x14ac:dyDescent="0.3">
      <c r="A37" s="26">
        <v>45954</v>
      </c>
      <c r="B37" s="34" t="s">
        <v>21</v>
      </c>
      <c r="C37" s="24">
        <v>73</v>
      </c>
    </row>
    <row r="38" spans="1:3" hidden="1" x14ac:dyDescent="0.3">
      <c r="A38" s="26">
        <v>45957</v>
      </c>
      <c r="B38" s="27" t="s">
        <v>4</v>
      </c>
      <c r="C38" s="24">
        <v>-36</v>
      </c>
    </row>
    <row r="39" spans="1:3" hidden="1" x14ac:dyDescent="0.3">
      <c r="A39" s="26">
        <v>45960</v>
      </c>
      <c r="B39" s="27" t="s">
        <v>4</v>
      </c>
      <c r="C39" s="24">
        <v>-39</v>
      </c>
    </row>
    <row r="40" spans="1:3" hidden="1" x14ac:dyDescent="0.3">
      <c r="A40" s="26">
        <v>45960</v>
      </c>
      <c r="B40" s="32" t="s">
        <v>21</v>
      </c>
      <c r="C40" s="24">
        <v>42.76</v>
      </c>
    </row>
    <row r="41" spans="1:3" hidden="1" x14ac:dyDescent="0.3">
      <c r="A41" s="26">
        <v>45960</v>
      </c>
      <c r="B41" s="34" t="s">
        <v>21</v>
      </c>
      <c r="C41" s="24">
        <v>24.6</v>
      </c>
    </row>
    <row r="42" spans="1:3" hidden="1" x14ac:dyDescent="0.3">
      <c r="A42" s="26">
        <v>45961</v>
      </c>
      <c r="B42" s="27" t="s">
        <v>4</v>
      </c>
      <c r="C42" s="24">
        <v>-100</v>
      </c>
    </row>
    <row r="43" spans="1:3" hidden="1" x14ac:dyDescent="0.3">
      <c r="A43" s="26">
        <v>45967</v>
      </c>
      <c r="B43" s="32" t="s">
        <v>21</v>
      </c>
      <c r="C43" s="24">
        <v>32.76</v>
      </c>
    </row>
    <row r="44" spans="1:3" hidden="1" x14ac:dyDescent="0.3">
      <c r="A44" s="26">
        <v>45967</v>
      </c>
      <c r="B44" s="34" t="s">
        <v>21</v>
      </c>
      <c r="C44" s="24">
        <v>73.44</v>
      </c>
    </row>
    <row r="45" spans="1:3" hidden="1" x14ac:dyDescent="0.3">
      <c r="A45" s="26">
        <v>45971</v>
      </c>
      <c r="B45" s="27" t="s">
        <v>4</v>
      </c>
      <c r="C45" s="24">
        <v>-30</v>
      </c>
    </row>
    <row r="46" spans="1:3" hidden="1" x14ac:dyDescent="0.3">
      <c r="A46" s="26">
        <v>45974</v>
      </c>
      <c r="B46" s="27" t="s">
        <v>1</v>
      </c>
      <c r="C46" s="24">
        <v>171.84</v>
      </c>
    </row>
    <row r="47" spans="1:3" hidden="1" x14ac:dyDescent="0.3">
      <c r="A47" s="26">
        <v>45988</v>
      </c>
      <c r="B47" s="27" t="s">
        <v>4</v>
      </c>
      <c r="C47" s="24">
        <v>-53.14</v>
      </c>
    </row>
    <row r="48" spans="1:3" hidden="1" x14ac:dyDescent="0.3">
      <c r="A48" s="26">
        <v>45988</v>
      </c>
      <c r="B48" s="27" t="s">
        <v>7</v>
      </c>
      <c r="C48" s="24">
        <v>-261.60000000000002</v>
      </c>
    </row>
    <row r="49" spans="1:4" x14ac:dyDescent="0.3">
      <c r="A49" s="26">
        <v>45988</v>
      </c>
      <c r="B49" s="27" t="s">
        <v>1</v>
      </c>
      <c r="C49" s="24">
        <v>56.38</v>
      </c>
    </row>
    <row r="50" spans="1:4" x14ac:dyDescent="0.3">
      <c r="A50" s="26">
        <v>46003</v>
      </c>
      <c r="B50" s="27" t="s">
        <v>4</v>
      </c>
      <c r="C50" s="24">
        <v>-82.17</v>
      </c>
    </row>
    <row r="51" spans="1:4" x14ac:dyDescent="0.3">
      <c r="A51" s="26">
        <v>46003</v>
      </c>
      <c r="B51" s="27" t="s">
        <v>1</v>
      </c>
      <c r="C51" s="24">
        <v>181.02</v>
      </c>
      <c r="D51" s="25">
        <v>1</v>
      </c>
    </row>
    <row r="52" spans="1:4" x14ac:dyDescent="0.3">
      <c r="A52" s="26">
        <v>46015</v>
      </c>
      <c r="B52" s="27" t="s">
        <v>1</v>
      </c>
      <c r="C52" s="24">
        <v>16.38</v>
      </c>
    </row>
    <row r="53" spans="1:4" x14ac:dyDescent="0.3">
      <c r="A53" s="26">
        <v>46030</v>
      </c>
      <c r="B53" s="27" t="s">
        <v>1</v>
      </c>
      <c r="C53" s="24">
        <v>41.78</v>
      </c>
    </row>
    <row r="54" spans="1:4" x14ac:dyDescent="0.3">
      <c r="A54" s="26">
        <v>46030</v>
      </c>
      <c r="B54" s="27" t="s">
        <v>7</v>
      </c>
      <c r="C54" s="24">
        <v>-68.180000000000007</v>
      </c>
    </row>
    <row r="55" spans="1:4" x14ac:dyDescent="0.3">
      <c r="A55" s="26">
        <v>46034</v>
      </c>
      <c r="B55" s="27" t="s">
        <v>4</v>
      </c>
      <c r="C55" s="24">
        <v>-50</v>
      </c>
    </row>
    <row r="56" spans="1:4" x14ac:dyDescent="0.3">
      <c r="A56" s="26">
        <v>46038</v>
      </c>
      <c r="B56" s="27" t="s">
        <v>4</v>
      </c>
      <c r="C56" s="24">
        <v>-41.98</v>
      </c>
    </row>
    <row r="57" spans="1:4" x14ac:dyDescent="0.3">
      <c r="A57" s="26">
        <v>46042</v>
      </c>
      <c r="B57" s="27" t="s">
        <v>4</v>
      </c>
      <c r="C57" s="24">
        <v>-50</v>
      </c>
    </row>
    <row r="58" spans="1:4" x14ac:dyDescent="0.3">
      <c r="A58" s="26">
        <v>46044</v>
      </c>
      <c r="B58" s="27" t="s">
        <v>1</v>
      </c>
      <c r="C58" s="24">
        <v>156.56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9C0ED-8BB6-4357-A620-8690B30B8CFC}">
  <sheetPr codeName="Hoja116"/>
  <dimension ref="A1:H133"/>
  <sheetViews>
    <sheetView view="pageBreakPreview" zoomScale="80" zoomScaleNormal="100" zoomScaleSheetLayoutView="80" workbookViewId="0">
      <selection activeCell="C134" sqref="C134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8.88671875" style="17" bestFit="1" customWidth="1"/>
    <col min="9" max="16384" width="10.88671875" style="18"/>
  </cols>
  <sheetData>
    <row r="1" spans="1:8" x14ac:dyDescent="0.3">
      <c r="A1" s="16" t="s">
        <v>15</v>
      </c>
      <c r="B1" s="17" t="s">
        <v>110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111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-9.9999999999909051E-3</v>
      </c>
      <c r="D3" s="20">
        <f>SUM(D$4:D$1048576)</f>
        <v>0</v>
      </c>
      <c r="E3" s="20">
        <f>SUM(E$5:E$1048576)</f>
        <v>1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45815</v>
      </c>
      <c r="B5" s="32" t="s">
        <v>21</v>
      </c>
      <c r="C5" s="24">
        <v>51.25</v>
      </c>
      <c r="D5" s="30"/>
      <c r="E5" s="30">
        <v>1</v>
      </c>
      <c r="F5" s="30"/>
      <c r="G5" s="22"/>
    </row>
    <row r="6" spans="1:8" hidden="1" x14ac:dyDescent="0.3">
      <c r="A6" s="21">
        <v>45815</v>
      </c>
      <c r="B6" s="34" t="s">
        <v>21</v>
      </c>
      <c r="C6" s="24">
        <v>19</v>
      </c>
    </row>
    <row r="7" spans="1:8" hidden="1" x14ac:dyDescent="0.3">
      <c r="A7" s="26">
        <v>45821</v>
      </c>
      <c r="B7" s="27" t="s">
        <v>4</v>
      </c>
      <c r="C7" s="24">
        <v>-19</v>
      </c>
      <c r="H7" s="78"/>
    </row>
    <row r="8" spans="1:8" hidden="1" x14ac:dyDescent="0.3">
      <c r="A8" s="26">
        <v>45821</v>
      </c>
      <c r="B8" s="27" t="s">
        <v>7</v>
      </c>
      <c r="C8" s="24">
        <v>-51.25</v>
      </c>
      <c r="H8" s="78"/>
    </row>
    <row r="9" spans="1:8" hidden="1" x14ac:dyDescent="0.3">
      <c r="A9" s="26">
        <v>45821</v>
      </c>
      <c r="B9" s="32" t="s">
        <v>21</v>
      </c>
      <c r="C9" s="24">
        <v>15.85</v>
      </c>
    </row>
    <row r="10" spans="1:8" hidden="1" x14ac:dyDescent="0.3">
      <c r="A10" s="26">
        <v>45821</v>
      </c>
      <c r="B10" s="34" t="s">
        <v>21</v>
      </c>
      <c r="C10" s="24">
        <v>20</v>
      </c>
    </row>
    <row r="11" spans="1:8" hidden="1" x14ac:dyDescent="0.3">
      <c r="A11" s="26">
        <v>45828</v>
      </c>
      <c r="B11" s="27" t="s">
        <v>4</v>
      </c>
      <c r="C11" s="24">
        <v>-15.85</v>
      </c>
    </row>
    <row r="12" spans="1:8" hidden="1" x14ac:dyDescent="0.3">
      <c r="A12" s="26">
        <v>45828</v>
      </c>
      <c r="B12" s="32" t="s">
        <v>21</v>
      </c>
      <c r="C12" s="24">
        <v>36.25</v>
      </c>
    </row>
    <row r="13" spans="1:8" hidden="1" x14ac:dyDescent="0.3">
      <c r="A13" s="26">
        <v>45828</v>
      </c>
      <c r="B13" s="34" t="s">
        <v>21</v>
      </c>
      <c r="C13" s="24">
        <v>58.7</v>
      </c>
    </row>
    <row r="14" spans="1:8" hidden="1" x14ac:dyDescent="0.3">
      <c r="A14" s="26">
        <v>45828</v>
      </c>
      <c r="B14" s="27" t="s">
        <v>4</v>
      </c>
      <c r="C14" s="24">
        <v>-7.01</v>
      </c>
    </row>
    <row r="15" spans="1:8" hidden="1" x14ac:dyDescent="0.3">
      <c r="A15" s="26">
        <v>45828</v>
      </c>
      <c r="B15" s="27" t="s">
        <v>4</v>
      </c>
      <c r="C15" s="24">
        <v>-13.39</v>
      </c>
    </row>
    <row r="16" spans="1:8" hidden="1" x14ac:dyDescent="0.3">
      <c r="A16" s="26">
        <v>45835</v>
      </c>
      <c r="B16" s="27" t="s">
        <v>4</v>
      </c>
      <c r="C16" s="24">
        <v>-58.7</v>
      </c>
    </row>
    <row r="17" spans="1:5" hidden="1" x14ac:dyDescent="0.3">
      <c r="A17" s="26">
        <v>45835</v>
      </c>
      <c r="B17" s="27" t="s">
        <v>7</v>
      </c>
      <c r="C17" s="24">
        <v>-15.85</v>
      </c>
    </row>
    <row r="18" spans="1:5" hidden="1" x14ac:dyDescent="0.3">
      <c r="A18" s="26">
        <v>45835</v>
      </c>
      <c r="B18" s="27" t="s">
        <v>7</v>
      </c>
      <c r="C18" s="24">
        <v>-20.399999999999999</v>
      </c>
    </row>
    <row r="19" spans="1:5" hidden="1" x14ac:dyDescent="0.3">
      <c r="A19" s="26">
        <v>45835</v>
      </c>
      <c r="B19" s="32" t="s">
        <v>21</v>
      </c>
      <c r="C19" s="24">
        <v>15</v>
      </c>
    </row>
    <row r="20" spans="1:5" hidden="1" x14ac:dyDescent="0.3">
      <c r="A20" s="26">
        <v>45835</v>
      </c>
      <c r="B20" s="34" t="s">
        <v>21</v>
      </c>
      <c r="C20" s="24">
        <v>58.7</v>
      </c>
    </row>
    <row r="21" spans="1:5" hidden="1" x14ac:dyDescent="0.3">
      <c r="A21" s="26">
        <v>45842</v>
      </c>
      <c r="B21" s="27" t="s">
        <v>4</v>
      </c>
      <c r="C21" s="24">
        <v>-58.7</v>
      </c>
    </row>
    <row r="22" spans="1:5" hidden="1" x14ac:dyDescent="0.3">
      <c r="A22" s="26">
        <v>45842</v>
      </c>
      <c r="B22" s="27" t="s">
        <v>7</v>
      </c>
      <c r="C22" s="24">
        <v>-15</v>
      </c>
    </row>
    <row r="23" spans="1:5" hidden="1" x14ac:dyDescent="0.3">
      <c r="A23" s="26">
        <v>45842</v>
      </c>
      <c r="B23" s="32" t="s">
        <v>21</v>
      </c>
      <c r="C23" s="24">
        <v>25.45</v>
      </c>
    </row>
    <row r="24" spans="1:5" hidden="1" x14ac:dyDescent="0.3">
      <c r="A24" s="26">
        <v>45842</v>
      </c>
      <c r="B24" s="34" t="s">
        <v>21</v>
      </c>
      <c r="C24" s="24">
        <v>40</v>
      </c>
    </row>
    <row r="25" spans="1:5" hidden="1" x14ac:dyDescent="0.3">
      <c r="A25" s="26">
        <v>45849</v>
      </c>
      <c r="B25" s="27" t="s">
        <v>4</v>
      </c>
      <c r="C25" s="24">
        <v>-40</v>
      </c>
    </row>
    <row r="26" spans="1:5" hidden="1" x14ac:dyDescent="0.3">
      <c r="A26" s="26">
        <v>45849</v>
      </c>
      <c r="B26" s="27" t="s">
        <v>7</v>
      </c>
      <c r="C26" s="24">
        <v>-25.87</v>
      </c>
    </row>
    <row r="27" spans="1:5" hidden="1" x14ac:dyDescent="0.3">
      <c r="A27" s="26">
        <v>45849</v>
      </c>
      <c r="B27" s="32" t="s">
        <v>21</v>
      </c>
      <c r="C27" s="24">
        <v>32.549999999999997</v>
      </c>
      <c r="E27" s="25">
        <v>-1</v>
      </c>
    </row>
    <row r="28" spans="1:5" hidden="1" x14ac:dyDescent="0.3">
      <c r="A28" s="26">
        <v>45849</v>
      </c>
      <c r="B28" s="34" t="s">
        <v>21</v>
      </c>
      <c r="C28" s="24">
        <v>84.98</v>
      </c>
    </row>
    <row r="29" spans="1:5" hidden="1" x14ac:dyDescent="0.3">
      <c r="A29" s="26">
        <v>45854</v>
      </c>
      <c r="B29" s="27" t="s">
        <v>4</v>
      </c>
      <c r="C29" s="24">
        <v>-84.98</v>
      </c>
    </row>
    <row r="30" spans="1:5" hidden="1" x14ac:dyDescent="0.3">
      <c r="A30" s="26">
        <v>45854</v>
      </c>
      <c r="B30" s="27" t="s">
        <v>7</v>
      </c>
      <c r="C30" s="24">
        <v>-15.96</v>
      </c>
    </row>
    <row r="31" spans="1:5" hidden="1" x14ac:dyDescent="0.3">
      <c r="A31" s="26">
        <v>45856</v>
      </c>
      <c r="B31" s="27" t="s">
        <v>4</v>
      </c>
      <c r="C31" s="24">
        <v>-74.02</v>
      </c>
    </row>
    <row r="32" spans="1:5" hidden="1" x14ac:dyDescent="0.3">
      <c r="A32" s="26">
        <v>45856</v>
      </c>
      <c r="B32" s="27" t="s">
        <v>7</v>
      </c>
      <c r="C32" s="24">
        <v>-15.78</v>
      </c>
    </row>
    <row r="33" spans="1:5" hidden="1" x14ac:dyDescent="0.3">
      <c r="A33" s="26">
        <v>45856</v>
      </c>
      <c r="B33" s="32" t="s">
        <v>21</v>
      </c>
      <c r="C33" s="24">
        <v>34.65</v>
      </c>
      <c r="E33" s="25">
        <v>1</v>
      </c>
    </row>
    <row r="34" spans="1:5" hidden="1" x14ac:dyDescent="0.3">
      <c r="A34" s="26">
        <v>45856</v>
      </c>
      <c r="B34" s="34" t="s">
        <v>21</v>
      </c>
      <c r="C34" s="24">
        <v>39.35</v>
      </c>
    </row>
    <row r="35" spans="1:5" hidden="1" x14ac:dyDescent="0.3">
      <c r="A35" s="26">
        <v>45860</v>
      </c>
      <c r="B35" s="27" t="s">
        <v>4</v>
      </c>
      <c r="C35" s="24">
        <v>-13.37</v>
      </c>
    </row>
    <row r="36" spans="1:5" hidden="1" x14ac:dyDescent="0.3">
      <c r="A36" s="26">
        <v>45860</v>
      </c>
      <c r="B36" s="34" t="s">
        <v>21</v>
      </c>
      <c r="C36" s="24">
        <v>34.67</v>
      </c>
    </row>
    <row r="37" spans="1:5" hidden="1" x14ac:dyDescent="0.3">
      <c r="A37" s="26">
        <v>45863</v>
      </c>
      <c r="B37" s="27" t="s">
        <v>4</v>
      </c>
      <c r="C37" s="24">
        <v>-19</v>
      </c>
    </row>
    <row r="38" spans="1:5" hidden="1" x14ac:dyDescent="0.3">
      <c r="A38" s="26">
        <v>45863</v>
      </c>
      <c r="B38" s="27" t="s">
        <v>7</v>
      </c>
      <c r="C38" s="24">
        <v>-18.809999999999999</v>
      </c>
    </row>
    <row r="39" spans="1:5" hidden="1" x14ac:dyDescent="0.3">
      <c r="A39" s="26">
        <v>45863</v>
      </c>
      <c r="B39" s="32" t="s">
        <v>21</v>
      </c>
      <c r="C39" s="24">
        <v>40.049999999999997</v>
      </c>
    </row>
    <row r="40" spans="1:5" hidden="1" x14ac:dyDescent="0.3">
      <c r="A40" s="26">
        <v>45863</v>
      </c>
      <c r="B40" s="34" t="s">
        <v>21</v>
      </c>
      <c r="C40" s="24">
        <v>38</v>
      </c>
    </row>
    <row r="41" spans="1:5" hidden="1" x14ac:dyDescent="0.3">
      <c r="A41" s="26">
        <v>45870</v>
      </c>
      <c r="B41" s="27" t="s">
        <v>4</v>
      </c>
      <c r="C41" s="24">
        <v>-19.010000000000002</v>
      </c>
    </row>
    <row r="42" spans="1:5" hidden="1" x14ac:dyDescent="0.3">
      <c r="A42" s="26">
        <v>45870</v>
      </c>
      <c r="B42" s="27" t="s">
        <v>4</v>
      </c>
      <c r="C42" s="24">
        <v>-46.08</v>
      </c>
    </row>
    <row r="43" spans="1:5" hidden="1" x14ac:dyDescent="0.3">
      <c r="A43" s="26">
        <v>45870</v>
      </c>
      <c r="B43" s="27" t="s">
        <v>7</v>
      </c>
      <c r="C43" s="24">
        <v>-15.87</v>
      </c>
    </row>
    <row r="44" spans="1:5" hidden="1" x14ac:dyDescent="0.3">
      <c r="A44" s="26">
        <v>45870</v>
      </c>
      <c r="B44" s="32" t="s">
        <v>21</v>
      </c>
      <c r="C44" s="24">
        <v>15.85</v>
      </c>
    </row>
    <row r="45" spans="1:5" hidden="1" x14ac:dyDescent="0.3">
      <c r="A45" s="26">
        <v>45870</v>
      </c>
      <c r="B45" s="34" t="s">
        <v>21</v>
      </c>
      <c r="C45" s="24">
        <v>46.08</v>
      </c>
    </row>
    <row r="46" spans="1:5" hidden="1" x14ac:dyDescent="0.3">
      <c r="A46" s="26">
        <v>45877</v>
      </c>
      <c r="B46" s="27" t="s">
        <v>7</v>
      </c>
      <c r="C46" s="24">
        <v>-42.51</v>
      </c>
    </row>
    <row r="47" spans="1:5" hidden="1" x14ac:dyDescent="0.3">
      <c r="A47" s="26">
        <v>45877</v>
      </c>
      <c r="B47" s="32" t="s">
        <v>21</v>
      </c>
      <c r="C47" s="24">
        <v>17.100000000000001</v>
      </c>
    </row>
    <row r="48" spans="1:5" hidden="1" x14ac:dyDescent="0.3">
      <c r="A48" s="26">
        <v>45877</v>
      </c>
      <c r="B48" s="34" t="s">
        <v>21</v>
      </c>
      <c r="C48" s="24">
        <v>19.8</v>
      </c>
    </row>
    <row r="49" spans="1:3" hidden="1" x14ac:dyDescent="0.3">
      <c r="A49" s="26">
        <v>45884</v>
      </c>
      <c r="B49" s="27" t="s">
        <v>4</v>
      </c>
      <c r="C49" s="24">
        <v>-39.6</v>
      </c>
    </row>
    <row r="50" spans="1:3" hidden="1" x14ac:dyDescent="0.3">
      <c r="A50" s="26">
        <v>45884</v>
      </c>
      <c r="B50" s="27" t="s">
        <v>7</v>
      </c>
      <c r="C50" s="24">
        <v>-17.12</v>
      </c>
    </row>
    <row r="51" spans="1:3" hidden="1" x14ac:dyDescent="0.3">
      <c r="A51" s="26">
        <v>45884</v>
      </c>
      <c r="B51" s="32" t="s">
        <v>21</v>
      </c>
      <c r="C51" s="24">
        <v>15.85</v>
      </c>
    </row>
    <row r="52" spans="1:3" hidden="1" x14ac:dyDescent="0.3">
      <c r="A52" s="26">
        <v>45884</v>
      </c>
      <c r="B52" s="34" t="s">
        <v>21</v>
      </c>
      <c r="C52" s="24">
        <v>54.92</v>
      </c>
    </row>
    <row r="53" spans="1:3" hidden="1" x14ac:dyDescent="0.3">
      <c r="A53" s="26">
        <v>45891</v>
      </c>
      <c r="B53" s="27" t="s">
        <v>4</v>
      </c>
      <c r="C53" s="24">
        <v>-19.8</v>
      </c>
    </row>
    <row r="54" spans="1:3" hidden="1" x14ac:dyDescent="0.3">
      <c r="A54" s="26">
        <v>45891</v>
      </c>
      <c r="B54" s="27" t="s">
        <v>7</v>
      </c>
      <c r="C54" s="24">
        <v>-32.25</v>
      </c>
    </row>
    <row r="55" spans="1:3" hidden="1" x14ac:dyDescent="0.3">
      <c r="A55" s="26">
        <v>45891</v>
      </c>
      <c r="B55" s="32" t="s">
        <v>21</v>
      </c>
      <c r="C55" s="24">
        <v>29.65</v>
      </c>
    </row>
    <row r="56" spans="1:3" hidden="1" x14ac:dyDescent="0.3">
      <c r="A56" s="26">
        <v>45891</v>
      </c>
      <c r="B56" s="34" t="s">
        <v>21</v>
      </c>
      <c r="C56" s="24">
        <v>46.08</v>
      </c>
    </row>
    <row r="57" spans="1:3" hidden="1" x14ac:dyDescent="0.3">
      <c r="A57" s="26">
        <v>45897</v>
      </c>
      <c r="B57" s="27" t="s">
        <v>4</v>
      </c>
      <c r="C57" s="24">
        <v>-46.08</v>
      </c>
    </row>
    <row r="58" spans="1:3" hidden="1" x14ac:dyDescent="0.3">
      <c r="A58" s="26">
        <v>45899</v>
      </c>
      <c r="B58" s="27" t="s">
        <v>7</v>
      </c>
      <c r="C58" s="24">
        <v>-28.54</v>
      </c>
    </row>
    <row r="59" spans="1:3" hidden="1" x14ac:dyDescent="0.3">
      <c r="A59" s="26">
        <v>45899</v>
      </c>
      <c r="B59" s="32" t="s">
        <v>21</v>
      </c>
      <c r="C59" s="24">
        <v>40.450000000000003</v>
      </c>
    </row>
    <row r="60" spans="1:3" hidden="1" x14ac:dyDescent="0.3">
      <c r="A60" s="26">
        <v>45899</v>
      </c>
      <c r="B60" s="34" t="s">
        <v>21</v>
      </c>
      <c r="C60" s="24">
        <v>97.2</v>
      </c>
    </row>
    <row r="61" spans="1:3" hidden="1" x14ac:dyDescent="0.3">
      <c r="A61" s="26">
        <v>45905</v>
      </c>
      <c r="B61" s="27" t="s">
        <v>4</v>
      </c>
      <c r="C61" s="24">
        <v>-97.2</v>
      </c>
    </row>
    <row r="62" spans="1:3" hidden="1" x14ac:dyDescent="0.3">
      <c r="A62" s="26">
        <v>45905</v>
      </c>
      <c r="B62" s="27" t="s">
        <v>7</v>
      </c>
      <c r="C62" s="24">
        <v>-40.479999999999997</v>
      </c>
    </row>
    <row r="63" spans="1:3" hidden="1" x14ac:dyDescent="0.3">
      <c r="A63" s="26">
        <v>45905</v>
      </c>
      <c r="B63" s="32" t="s">
        <v>21</v>
      </c>
      <c r="C63" s="24">
        <v>25.05</v>
      </c>
    </row>
    <row r="64" spans="1:3" hidden="1" x14ac:dyDescent="0.3">
      <c r="A64" s="26">
        <v>45905</v>
      </c>
      <c r="B64" s="34" t="s">
        <v>21</v>
      </c>
      <c r="C64" s="24">
        <v>19.8</v>
      </c>
    </row>
    <row r="65" spans="1:3" hidden="1" x14ac:dyDescent="0.3">
      <c r="A65" s="26">
        <v>45911</v>
      </c>
      <c r="B65" s="27" t="s">
        <v>4</v>
      </c>
      <c r="C65" s="24">
        <v>-19.8</v>
      </c>
    </row>
    <row r="66" spans="1:3" hidden="1" x14ac:dyDescent="0.3">
      <c r="A66" s="26">
        <v>45912</v>
      </c>
      <c r="B66" s="27" t="s">
        <v>7</v>
      </c>
      <c r="C66" s="24">
        <v>-25</v>
      </c>
    </row>
    <row r="67" spans="1:3" hidden="1" x14ac:dyDescent="0.3">
      <c r="A67" s="26">
        <v>45912</v>
      </c>
      <c r="B67" s="32" t="s">
        <v>21</v>
      </c>
      <c r="C67" s="24">
        <v>15.85</v>
      </c>
    </row>
    <row r="68" spans="1:3" hidden="1" x14ac:dyDescent="0.3">
      <c r="A68" s="26">
        <v>45912</v>
      </c>
      <c r="B68" s="34" t="s">
        <v>21</v>
      </c>
      <c r="C68" s="24">
        <v>39.6</v>
      </c>
    </row>
    <row r="69" spans="1:3" hidden="1" x14ac:dyDescent="0.3">
      <c r="A69" s="26">
        <v>45916</v>
      </c>
      <c r="B69" s="27" t="s">
        <v>4</v>
      </c>
      <c r="C69" s="24">
        <v>-39.6</v>
      </c>
    </row>
    <row r="70" spans="1:3" hidden="1" x14ac:dyDescent="0.3">
      <c r="A70" s="26">
        <v>45916</v>
      </c>
      <c r="B70" s="34" t="s">
        <v>21</v>
      </c>
      <c r="C70" s="24">
        <v>30.64</v>
      </c>
    </row>
    <row r="71" spans="1:3" hidden="1" x14ac:dyDescent="0.3">
      <c r="A71" s="26">
        <v>45919</v>
      </c>
      <c r="B71" s="27" t="s">
        <v>4</v>
      </c>
      <c r="C71" s="24">
        <v>-19.8</v>
      </c>
    </row>
    <row r="72" spans="1:3" hidden="1" x14ac:dyDescent="0.3">
      <c r="A72" s="26">
        <v>45919</v>
      </c>
      <c r="B72" s="27" t="s">
        <v>4</v>
      </c>
      <c r="C72" s="24">
        <v>-15.32</v>
      </c>
    </row>
    <row r="73" spans="1:3" hidden="1" x14ac:dyDescent="0.3">
      <c r="A73" s="26">
        <v>45919</v>
      </c>
      <c r="B73" s="32" t="s">
        <v>21</v>
      </c>
      <c r="C73" s="24">
        <v>44.65</v>
      </c>
    </row>
    <row r="74" spans="1:3" hidden="1" x14ac:dyDescent="0.3">
      <c r="A74" s="26">
        <v>45919</v>
      </c>
      <c r="B74" s="34" t="s">
        <v>21</v>
      </c>
      <c r="C74" s="24">
        <v>65.88</v>
      </c>
    </row>
    <row r="75" spans="1:3" hidden="1" x14ac:dyDescent="0.3">
      <c r="A75" s="26">
        <v>45924</v>
      </c>
      <c r="B75" s="27" t="s">
        <v>4</v>
      </c>
      <c r="C75" s="24">
        <v>-65.88</v>
      </c>
    </row>
    <row r="76" spans="1:3" hidden="1" x14ac:dyDescent="0.3">
      <c r="A76" s="26">
        <v>45926</v>
      </c>
      <c r="B76" s="27" t="s">
        <v>7</v>
      </c>
      <c r="C76" s="24">
        <v>-43.87</v>
      </c>
    </row>
    <row r="77" spans="1:3" hidden="1" x14ac:dyDescent="0.3">
      <c r="A77" s="26">
        <v>45926</v>
      </c>
      <c r="B77" s="34" t="s">
        <v>21</v>
      </c>
      <c r="C77" s="24">
        <v>77.400000000000006</v>
      </c>
    </row>
    <row r="78" spans="1:3" hidden="1" x14ac:dyDescent="0.3">
      <c r="A78" s="26">
        <v>45930</v>
      </c>
      <c r="B78" s="27" t="s">
        <v>4</v>
      </c>
      <c r="C78" s="24">
        <v>-77.44</v>
      </c>
    </row>
    <row r="79" spans="1:3" hidden="1" x14ac:dyDescent="0.3">
      <c r="A79" s="26">
        <v>45930</v>
      </c>
      <c r="B79" s="32" t="s">
        <v>21</v>
      </c>
      <c r="C79" s="24">
        <v>15.85</v>
      </c>
    </row>
    <row r="80" spans="1:3" hidden="1" x14ac:dyDescent="0.3">
      <c r="A80" s="26">
        <v>45933</v>
      </c>
      <c r="B80" s="32" t="s">
        <v>21</v>
      </c>
      <c r="C80" s="24">
        <v>39.25</v>
      </c>
    </row>
    <row r="81" spans="1:3" hidden="1" x14ac:dyDescent="0.3">
      <c r="A81" s="26">
        <v>45933</v>
      </c>
      <c r="B81" s="34" t="s">
        <v>21</v>
      </c>
      <c r="C81" s="24">
        <v>42.8</v>
      </c>
    </row>
    <row r="82" spans="1:3" hidden="1" x14ac:dyDescent="0.3">
      <c r="A82" s="26">
        <v>45938</v>
      </c>
      <c r="B82" s="27" t="s">
        <v>4</v>
      </c>
      <c r="C82" s="24">
        <v>-42.8</v>
      </c>
    </row>
    <row r="83" spans="1:3" hidden="1" x14ac:dyDescent="0.3">
      <c r="A83" s="26">
        <v>45940</v>
      </c>
      <c r="B83" s="27" t="s">
        <v>7</v>
      </c>
      <c r="C83" s="24">
        <v>-67.23</v>
      </c>
    </row>
    <row r="84" spans="1:3" hidden="1" x14ac:dyDescent="0.3">
      <c r="A84" s="26">
        <v>45940</v>
      </c>
      <c r="B84" s="32" t="s">
        <v>21</v>
      </c>
      <c r="C84" s="24">
        <v>16.38</v>
      </c>
    </row>
    <row r="85" spans="1:3" hidden="1" x14ac:dyDescent="0.3">
      <c r="A85" s="26">
        <v>45940</v>
      </c>
      <c r="B85" s="34" t="s">
        <v>21</v>
      </c>
      <c r="C85" s="24">
        <v>23</v>
      </c>
    </row>
    <row r="86" spans="1:3" hidden="1" x14ac:dyDescent="0.3">
      <c r="A86" s="26">
        <v>45945</v>
      </c>
      <c r="B86" s="27" t="s">
        <v>4</v>
      </c>
      <c r="C86" s="24">
        <v>-22.79</v>
      </c>
    </row>
    <row r="87" spans="1:3" hidden="1" x14ac:dyDescent="0.3">
      <c r="A87" s="26">
        <v>45947</v>
      </c>
      <c r="B87" s="27" t="s">
        <v>7</v>
      </c>
      <c r="C87" s="24">
        <v>-16.38</v>
      </c>
    </row>
    <row r="88" spans="1:3" hidden="1" x14ac:dyDescent="0.3">
      <c r="A88" s="26">
        <v>45947</v>
      </c>
      <c r="B88" s="34" t="s">
        <v>21</v>
      </c>
      <c r="C88" s="24">
        <v>81.14</v>
      </c>
    </row>
    <row r="89" spans="1:3" hidden="1" x14ac:dyDescent="0.3">
      <c r="A89" s="26">
        <v>45953</v>
      </c>
      <c r="B89" s="27" t="s">
        <v>4</v>
      </c>
      <c r="C89" s="24">
        <v>-50.81</v>
      </c>
    </row>
    <row r="90" spans="1:3" hidden="1" x14ac:dyDescent="0.3">
      <c r="A90" s="26">
        <v>45954</v>
      </c>
      <c r="B90" s="27" t="s">
        <v>7</v>
      </c>
      <c r="C90" s="24">
        <v>-31.55</v>
      </c>
    </row>
    <row r="91" spans="1:3" hidden="1" x14ac:dyDescent="0.3">
      <c r="A91" s="26">
        <v>45954</v>
      </c>
      <c r="B91" s="32" t="s">
        <v>21</v>
      </c>
      <c r="C91" s="24">
        <v>16.38</v>
      </c>
    </row>
    <row r="92" spans="1:3" hidden="1" x14ac:dyDescent="0.3">
      <c r="A92" s="26">
        <v>45954</v>
      </c>
      <c r="B92" s="34" t="s">
        <v>21</v>
      </c>
      <c r="C92" s="24">
        <v>49.2</v>
      </c>
    </row>
    <row r="93" spans="1:3" hidden="1" x14ac:dyDescent="0.3">
      <c r="A93" s="26">
        <v>45961</v>
      </c>
      <c r="B93" s="27" t="s">
        <v>4</v>
      </c>
      <c r="C93" s="24">
        <v>-49.2</v>
      </c>
    </row>
    <row r="94" spans="1:3" hidden="1" x14ac:dyDescent="0.3">
      <c r="A94" s="26">
        <v>45961</v>
      </c>
      <c r="B94" s="27" t="s">
        <v>7</v>
      </c>
      <c r="C94" s="24">
        <v>-16.48</v>
      </c>
    </row>
    <row r="95" spans="1:3" hidden="1" x14ac:dyDescent="0.3">
      <c r="A95" s="26">
        <v>45961</v>
      </c>
      <c r="B95" s="32" t="s">
        <v>21</v>
      </c>
      <c r="C95" s="24">
        <v>62.68</v>
      </c>
    </row>
    <row r="96" spans="1:3" hidden="1" x14ac:dyDescent="0.3">
      <c r="A96" s="26">
        <v>45961</v>
      </c>
      <c r="B96" s="34" t="s">
        <v>21</v>
      </c>
      <c r="C96" s="24">
        <v>52.2</v>
      </c>
    </row>
    <row r="97" spans="1:3" hidden="1" x14ac:dyDescent="0.3">
      <c r="A97" s="26">
        <v>45967</v>
      </c>
      <c r="B97" s="27" t="s">
        <v>4</v>
      </c>
      <c r="C97" s="24">
        <v>-52.2</v>
      </c>
    </row>
    <row r="98" spans="1:3" hidden="1" x14ac:dyDescent="0.3">
      <c r="A98" s="26">
        <v>45968</v>
      </c>
      <c r="B98" s="27" t="s">
        <v>4</v>
      </c>
      <c r="C98" s="24">
        <v>-16.38</v>
      </c>
    </row>
    <row r="99" spans="1:3" hidden="1" x14ac:dyDescent="0.3">
      <c r="A99" s="26">
        <v>45968</v>
      </c>
      <c r="B99" s="34" t="s">
        <v>21</v>
      </c>
      <c r="C99" s="24">
        <v>80.47</v>
      </c>
    </row>
    <row r="100" spans="1:3" hidden="1" x14ac:dyDescent="0.3">
      <c r="A100" s="26">
        <v>45972</v>
      </c>
      <c r="B100" s="27" t="s">
        <v>4</v>
      </c>
      <c r="C100" s="24">
        <v>-80.47</v>
      </c>
    </row>
    <row r="101" spans="1:3" hidden="1" x14ac:dyDescent="0.3">
      <c r="A101" s="26">
        <v>45975</v>
      </c>
      <c r="B101" s="27" t="s">
        <v>4</v>
      </c>
      <c r="C101" s="24">
        <v>-13.97</v>
      </c>
    </row>
    <row r="102" spans="1:3" hidden="1" x14ac:dyDescent="0.3">
      <c r="A102" s="26">
        <v>45975</v>
      </c>
      <c r="B102" s="27" t="s">
        <v>7</v>
      </c>
      <c r="C102" s="24">
        <v>-31.25</v>
      </c>
    </row>
    <row r="103" spans="1:3" hidden="1" x14ac:dyDescent="0.3">
      <c r="A103" s="26">
        <v>45975</v>
      </c>
      <c r="B103" s="27" t="s">
        <v>1</v>
      </c>
      <c r="C103" s="24">
        <v>81.08</v>
      </c>
    </row>
    <row r="104" spans="1:3" hidden="1" x14ac:dyDescent="0.3">
      <c r="A104" s="26">
        <v>45979</v>
      </c>
      <c r="B104" s="27" t="s">
        <v>4</v>
      </c>
      <c r="C104" s="24">
        <v>-64.599999999999994</v>
      </c>
    </row>
    <row r="105" spans="1:3" hidden="1" x14ac:dyDescent="0.3">
      <c r="A105" s="26">
        <v>45982</v>
      </c>
      <c r="B105" s="27" t="s">
        <v>7</v>
      </c>
      <c r="C105" s="24">
        <v>-16.39</v>
      </c>
    </row>
    <row r="106" spans="1:3" x14ac:dyDescent="0.3">
      <c r="A106" s="26">
        <v>45982</v>
      </c>
      <c r="B106" s="27" t="s">
        <v>1</v>
      </c>
      <c r="C106" s="24">
        <v>74.7</v>
      </c>
    </row>
    <row r="107" spans="1:3" x14ac:dyDescent="0.3">
      <c r="A107" s="26">
        <v>45986</v>
      </c>
      <c r="B107" s="27" t="s">
        <v>4</v>
      </c>
      <c r="C107" s="24">
        <v>-41.78</v>
      </c>
    </row>
    <row r="108" spans="1:3" x14ac:dyDescent="0.3">
      <c r="A108" s="26">
        <v>45989</v>
      </c>
      <c r="B108" s="27" t="s">
        <v>7</v>
      </c>
      <c r="C108" s="24">
        <v>-29.28</v>
      </c>
    </row>
    <row r="109" spans="1:3" x14ac:dyDescent="0.3">
      <c r="A109" s="26">
        <v>45989</v>
      </c>
      <c r="B109" s="27" t="s">
        <v>1</v>
      </c>
      <c r="C109" s="24">
        <v>135.06</v>
      </c>
    </row>
    <row r="110" spans="1:3" x14ac:dyDescent="0.3">
      <c r="A110" s="26">
        <v>45992</v>
      </c>
      <c r="B110" s="27" t="s">
        <v>4</v>
      </c>
      <c r="C110" s="24">
        <v>-65.099999999999994</v>
      </c>
    </row>
    <row r="111" spans="1:3" x14ac:dyDescent="0.3">
      <c r="A111" s="26">
        <v>45996</v>
      </c>
      <c r="B111" s="27" t="s">
        <v>7</v>
      </c>
      <c r="C111" s="24">
        <v>-55.64</v>
      </c>
    </row>
    <row r="112" spans="1:3" x14ac:dyDescent="0.3">
      <c r="A112" s="26">
        <v>45996</v>
      </c>
      <c r="B112" s="27" t="s">
        <v>1</v>
      </c>
      <c r="C112" s="24">
        <v>89.37</v>
      </c>
    </row>
    <row r="113" spans="1:3" x14ac:dyDescent="0.3">
      <c r="A113" s="26">
        <v>45999</v>
      </c>
      <c r="B113" s="27" t="s">
        <v>4</v>
      </c>
      <c r="C113" s="24">
        <v>-58.16</v>
      </c>
    </row>
    <row r="114" spans="1:3" x14ac:dyDescent="0.3">
      <c r="A114" s="26">
        <v>46003</v>
      </c>
      <c r="B114" s="27" t="s">
        <v>7</v>
      </c>
      <c r="C114" s="24">
        <v>-49.25</v>
      </c>
    </row>
    <row r="115" spans="1:3" x14ac:dyDescent="0.3">
      <c r="A115" s="26">
        <v>46003</v>
      </c>
      <c r="B115" s="27" t="s">
        <v>1</v>
      </c>
      <c r="C115" s="24">
        <v>112.55</v>
      </c>
    </row>
    <row r="116" spans="1:3" x14ac:dyDescent="0.3">
      <c r="A116" s="26">
        <v>46007</v>
      </c>
      <c r="B116" s="27" t="s">
        <v>4</v>
      </c>
      <c r="C116" s="24">
        <v>-71.97</v>
      </c>
    </row>
    <row r="117" spans="1:3" x14ac:dyDescent="0.3">
      <c r="A117" s="26">
        <v>46010</v>
      </c>
      <c r="B117" s="27" t="s">
        <v>4</v>
      </c>
      <c r="C117" s="24">
        <v>-29.03</v>
      </c>
    </row>
    <row r="118" spans="1:3" x14ac:dyDescent="0.3">
      <c r="A118" s="26">
        <v>46010</v>
      </c>
      <c r="B118" s="27" t="s">
        <v>7</v>
      </c>
      <c r="C118" s="24">
        <v>-16.420000000000002</v>
      </c>
    </row>
    <row r="119" spans="1:3" x14ac:dyDescent="0.3">
      <c r="A119" s="26">
        <v>46010</v>
      </c>
      <c r="B119" s="27" t="s">
        <v>1</v>
      </c>
      <c r="C119" s="24">
        <v>82.28</v>
      </c>
    </row>
    <row r="120" spans="1:3" x14ac:dyDescent="0.3">
      <c r="A120" s="26">
        <v>46013</v>
      </c>
      <c r="B120" s="27" t="s">
        <v>4</v>
      </c>
      <c r="C120" s="24">
        <v>-40.54</v>
      </c>
    </row>
    <row r="121" spans="1:3" x14ac:dyDescent="0.3">
      <c r="A121" s="26">
        <v>46017</v>
      </c>
      <c r="B121" s="27" t="s">
        <v>4</v>
      </c>
      <c r="C121" s="24">
        <v>-20.45</v>
      </c>
    </row>
    <row r="122" spans="1:3" x14ac:dyDescent="0.3">
      <c r="A122" s="26">
        <v>46017</v>
      </c>
      <c r="B122" s="27" t="s">
        <v>7</v>
      </c>
      <c r="C122" s="24">
        <v>-16.399999999999999</v>
      </c>
    </row>
    <row r="123" spans="1:3" x14ac:dyDescent="0.3">
      <c r="A123" s="26">
        <v>46017</v>
      </c>
      <c r="B123" s="27" t="s">
        <v>1</v>
      </c>
      <c r="C123" s="24">
        <v>82.28</v>
      </c>
    </row>
    <row r="124" spans="1:3" x14ac:dyDescent="0.3">
      <c r="A124" s="26">
        <v>46020</v>
      </c>
      <c r="B124" s="27" t="s">
        <v>4</v>
      </c>
      <c r="C124" s="24">
        <v>-82.26</v>
      </c>
    </row>
    <row r="125" spans="1:3" x14ac:dyDescent="0.3">
      <c r="A125" s="26">
        <v>46031</v>
      </c>
      <c r="B125" s="27" t="s">
        <v>1</v>
      </c>
      <c r="C125" s="24">
        <v>16.38</v>
      </c>
    </row>
    <row r="126" spans="1:3" x14ac:dyDescent="0.3">
      <c r="A126" s="26">
        <v>46038</v>
      </c>
      <c r="B126" s="27" t="s">
        <v>4</v>
      </c>
      <c r="C126" s="24">
        <v>-16.39</v>
      </c>
    </row>
    <row r="127" spans="1:3" x14ac:dyDescent="0.3">
      <c r="A127" s="26">
        <v>46038</v>
      </c>
      <c r="B127" s="27" t="s">
        <v>1</v>
      </c>
      <c r="C127" s="24">
        <v>89.72</v>
      </c>
    </row>
    <row r="128" spans="1:3" x14ac:dyDescent="0.3">
      <c r="A128" s="26">
        <v>46042</v>
      </c>
      <c r="B128" s="27" t="s">
        <v>4</v>
      </c>
      <c r="C128" s="24">
        <v>-89.72</v>
      </c>
    </row>
    <row r="129" spans="1:3" x14ac:dyDescent="0.3">
      <c r="A129" s="26">
        <v>46045</v>
      </c>
      <c r="B129" s="27" t="s">
        <v>1</v>
      </c>
      <c r="C129" s="24">
        <v>147.25</v>
      </c>
    </row>
    <row r="130" spans="1:3" x14ac:dyDescent="0.3">
      <c r="A130" s="26">
        <v>46048</v>
      </c>
      <c r="B130" s="27" t="s">
        <v>4</v>
      </c>
      <c r="C130" s="24">
        <v>-91.86</v>
      </c>
    </row>
    <row r="131" spans="1:3" x14ac:dyDescent="0.3">
      <c r="A131" s="26">
        <v>46052</v>
      </c>
      <c r="B131" s="27" t="s">
        <v>4</v>
      </c>
      <c r="C131" s="24">
        <v>-89.78</v>
      </c>
    </row>
    <row r="132" spans="1:3" x14ac:dyDescent="0.3">
      <c r="A132" s="26">
        <v>46052</v>
      </c>
      <c r="B132" s="27" t="s">
        <v>1</v>
      </c>
      <c r="C132" s="24">
        <v>89.78</v>
      </c>
    </row>
    <row r="133" spans="1:3" x14ac:dyDescent="0.3">
      <c r="A133" s="26">
        <v>46055</v>
      </c>
      <c r="B133" s="27" t="s">
        <v>4</v>
      </c>
      <c r="C133" s="24">
        <v>-55.39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60F9-CDF2-4F46-B78F-B3B6D449850A}">
  <sheetPr codeName="Hoja183"/>
  <dimension ref="A1:H45"/>
  <sheetViews>
    <sheetView view="pageBreakPreview" zoomScale="80" zoomScaleNormal="100" zoomScaleSheetLayoutView="80" workbookViewId="0">
      <selection activeCell="C46" sqref="C4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251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252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23.080000000000005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45825</v>
      </c>
      <c r="B5" s="72" t="s">
        <v>21</v>
      </c>
      <c r="C5" s="24">
        <v>15.85</v>
      </c>
      <c r="D5" s="30"/>
      <c r="E5" s="30"/>
      <c r="F5" s="30"/>
      <c r="G5" s="22"/>
    </row>
    <row r="6" spans="1:8" hidden="1" x14ac:dyDescent="0.3">
      <c r="A6" s="21">
        <v>45832</v>
      </c>
      <c r="B6" s="27" t="s">
        <v>4</v>
      </c>
      <c r="C6" s="24">
        <v>-15.85</v>
      </c>
    </row>
    <row r="7" spans="1:8" hidden="1" x14ac:dyDescent="0.3">
      <c r="A7" s="26">
        <v>45846</v>
      </c>
      <c r="B7" s="27" t="s">
        <v>1</v>
      </c>
      <c r="C7" s="24">
        <v>20.8</v>
      </c>
    </row>
    <row r="8" spans="1:8" hidden="1" x14ac:dyDescent="0.3">
      <c r="A8" s="26">
        <v>45846</v>
      </c>
      <c r="B8" s="72" t="s">
        <v>21</v>
      </c>
      <c r="C8" s="24">
        <v>15</v>
      </c>
    </row>
    <row r="9" spans="1:8" hidden="1" x14ac:dyDescent="0.3">
      <c r="A9" s="26">
        <v>45853</v>
      </c>
      <c r="B9" s="27" t="s">
        <v>7</v>
      </c>
      <c r="C9" s="24">
        <v>-35.81</v>
      </c>
    </row>
    <row r="10" spans="1:8" hidden="1" x14ac:dyDescent="0.3">
      <c r="A10" s="26">
        <v>45853</v>
      </c>
      <c r="B10" s="72" t="s">
        <v>21</v>
      </c>
      <c r="C10" s="24">
        <v>15.85</v>
      </c>
    </row>
    <row r="11" spans="1:8" hidden="1" x14ac:dyDescent="0.3">
      <c r="A11" s="26">
        <v>45860</v>
      </c>
      <c r="B11" s="27" t="s">
        <v>1</v>
      </c>
      <c r="C11" s="24">
        <v>20.8</v>
      </c>
    </row>
    <row r="12" spans="1:8" hidden="1" x14ac:dyDescent="0.3">
      <c r="A12" s="26">
        <v>45860</v>
      </c>
      <c r="B12" s="31" t="s">
        <v>7</v>
      </c>
      <c r="C12" s="24">
        <v>-15.84</v>
      </c>
    </row>
    <row r="13" spans="1:8" hidden="1" x14ac:dyDescent="0.3">
      <c r="A13" s="26">
        <v>45867</v>
      </c>
      <c r="B13" s="27" t="s">
        <v>7</v>
      </c>
      <c r="C13" s="24">
        <v>-20.8</v>
      </c>
    </row>
    <row r="14" spans="1:8" hidden="1" x14ac:dyDescent="0.3">
      <c r="A14" s="26">
        <v>45867</v>
      </c>
      <c r="B14" s="27" t="s">
        <v>1</v>
      </c>
      <c r="C14" s="24">
        <v>41.6</v>
      </c>
    </row>
    <row r="15" spans="1:8" hidden="1" x14ac:dyDescent="0.3">
      <c r="A15" s="26">
        <v>45867</v>
      </c>
      <c r="B15" s="73" t="s">
        <v>21</v>
      </c>
    </row>
    <row r="16" spans="1:8" hidden="1" x14ac:dyDescent="0.3">
      <c r="A16" s="26">
        <v>45874</v>
      </c>
      <c r="B16" s="27" t="s">
        <v>1</v>
      </c>
      <c r="C16" s="24">
        <v>41.6</v>
      </c>
    </row>
    <row r="17" spans="1:3" hidden="1" x14ac:dyDescent="0.3">
      <c r="A17" s="26">
        <v>45875</v>
      </c>
      <c r="B17" s="27" t="s">
        <v>7</v>
      </c>
      <c r="C17" s="24">
        <v>-41.61</v>
      </c>
    </row>
    <row r="18" spans="1:3" hidden="1" x14ac:dyDescent="0.3">
      <c r="A18" s="26">
        <v>45881</v>
      </c>
      <c r="B18" s="27" t="s">
        <v>7</v>
      </c>
      <c r="C18" s="24">
        <v>-41.61</v>
      </c>
    </row>
    <row r="19" spans="1:3" hidden="1" x14ac:dyDescent="0.3">
      <c r="A19" s="26">
        <v>45881</v>
      </c>
      <c r="B19" s="72" t="s">
        <v>21</v>
      </c>
      <c r="C19" s="24">
        <v>23.35</v>
      </c>
    </row>
    <row r="20" spans="1:3" hidden="1" x14ac:dyDescent="0.3">
      <c r="A20" s="26">
        <v>45888</v>
      </c>
      <c r="B20" s="27" t="s">
        <v>7</v>
      </c>
      <c r="C20" s="24">
        <v>-23.38</v>
      </c>
    </row>
    <row r="21" spans="1:3" hidden="1" x14ac:dyDescent="0.3">
      <c r="A21" s="26">
        <v>45888</v>
      </c>
      <c r="B21" s="27" t="s">
        <v>1</v>
      </c>
      <c r="C21" s="24">
        <v>20.8</v>
      </c>
    </row>
    <row r="22" spans="1:3" hidden="1" x14ac:dyDescent="0.3">
      <c r="A22" s="26">
        <v>45895</v>
      </c>
      <c r="B22" s="27" t="s">
        <v>7</v>
      </c>
      <c r="C22" s="24">
        <v>-20.8</v>
      </c>
    </row>
    <row r="23" spans="1:3" hidden="1" x14ac:dyDescent="0.3">
      <c r="A23" s="26">
        <v>45895</v>
      </c>
      <c r="B23" s="27" t="s">
        <v>1</v>
      </c>
      <c r="C23" s="24">
        <v>41.6</v>
      </c>
    </row>
    <row r="24" spans="1:3" hidden="1" x14ac:dyDescent="0.3">
      <c r="A24" s="26">
        <v>45902</v>
      </c>
      <c r="B24" s="27" t="s">
        <v>7</v>
      </c>
      <c r="C24" s="24">
        <v>-41.58</v>
      </c>
    </row>
    <row r="25" spans="1:3" hidden="1" x14ac:dyDescent="0.3">
      <c r="A25" s="26">
        <v>45902</v>
      </c>
      <c r="B25" s="27" t="s">
        <v>1</v>
      </c>
      <c r="C25" s="24">
        <v>20.8</v>
      </c>
    </row>
    <row r="26" spans="1:3" hidden="1" x14ac:dyDescent="0.3">
      <c r="A26" s="26">
        <v>45909</v>
      </c>
      <c r="B26" s="27" t="s">
        <v>7</v>
      </c>
      <c r="C26" s="24">
        <v>-20.8</v>
      </c>
    </row>
    <row r="27" spans="1:3" hidden="1" x14ac:dyDescent="0.3">
      <c r="A27" s="26">
        <v>45909</v>
      </c>
      <c r="B27" s="27" t="s">
        <v>1</v>
      </c>
      <c r="C27" s="24">
        <v>41.6</v>
      </c>
    </row>
    <row r="28" spans="1:3" hidden="1" x14ac:dyDescent="0.3">
      <c r="A28" s="26">
        <v>45916</v>
      </c>
      <c r="B28" s="27" t="s">
        <v>7</v>
      </c>
      <c r="C28" s="24">
        <v>-41.58</v>
      </c>
    </row>
    <row r="29" spans="1:3" hidden="1" x14ac:dyDescent="0.3">
      <c r="A29" s="26">
        <v>45923</v>
      </c>
      <c r="B29" s="72" t="s">
        <v>21</v>
      </c>
      <c r="C29" s="24">
        <v>15.85</v>
      </c>
    </row>
    <row r="30" spans="1:3" hidden="1" x14ac:dyDescent="0.3">
      <c r="A30" s="26">
        <v>45937</v>
      </c>
      <c r="B30" s="27" t="s">
        <v>7</v>
      </c>
      <c r="C30" s="24">
        <v>-15.84</v>
      </c>
    </row>
    <row r="31" spans="1:3" hidden="1" x14ac:dyDescent="0.3">
      <c r="A31" s="26">
        <v>45951</v>
      </c>
      <c r="B31" s="73" t="s">
        <v>21</v>
      </c>
      <c r="C31" s="24">
        <v>12.3</v>
      </c>
    </row>
    <row r="32" spans="1:3" hidden="1" x14ac:dyDescent="0.3">
      <c r="A32" s="26">
        <v>45965</v>
      </c>
      <c r="B32" s="27" t="s">
        <v>7</v>
      </c>
      <c r="C32" s="24">
        <v>-12.33</v>
      </c>
    </row>
    <row r="33" spans="1:3" x14ac:dyDescent="0.3">
      <c r="A33" s="26">
        <v>45972</v>
      </c>
      <c r="B33" s="27" t="s">
        <v>1</v>
      </c>
      <c r="C33" s="24">
        <v>16.38</v>
      </c>
    </row>
    <row r="34" spans="1:3" x14ac:dyDescent="0.3">
      <c r="A34" s="26">
        <v>45979</v>
      </c>
      <c r="B34" s="27" t="s">
        <v>1</v>
      </c>
      <c r="C34" s="24">
        <v>21.69</v>
      </c>
    </row>
    <row r="35" spans="1:3" x14ac:dyDescent="0.3">
      <c r="A35" s="26">
        <v>45993</v>
      </c>
      <c r="B35" s="27" t="s">
        <v>7</v>
      </c>
      <c r="C35" s="24">
        <v>-38.07</v>
      </c>
    </row>
    <row r="36" spans="1:3" x14ac:dyDescent="0.3">
      <c r="A36" s="26">
        <v>45993</v>
      </c>
      <c r="B36" s="27" t="s">
        <v>1</v>
      </c>
      <c r="C36" s="24">
        <v>46.01</v>
      </c>
    </row>
    <row r="37" spans="1:3" x14ac:dyDescent="0.3">
      <c r="A37" s="26">
        <v>46000</v>
      </c>
      <c r="B37" s="27" t="s">
        <v>7</v>
      </c>
      <c r="C37" s="24">
        <v>-46.07</v>
      </c>
    </row>
    <row r="38" spans="1:3" x14ac:dyDescent="0.3">
      <c r="A38" s="26">
        <v>46028</v>
      </c>
      <c r="B38" s="27" t="s">
        <v>1</v>
      </c>
      <c r="C38" s="24">
        <v>23</v>
      </c>
    </row>
    <row r="39" spans="1:3" x14ac:dyDescent="0.3">
      <c r="A39" s="26">
        <v>46035</v>
      </c>
      <c r="B39" s="27" t="s">
        <v>7</v>
      </c>
      <c r="C39" s="24">
        <v>-23</v>
      </c>
    </row>
    <row r="40" spans="1:3" x14ac:dyDescent="0.3">
      <c r="A40" s="26">
        <v>46035</v>
      </c>
      <c r="B40" s="27" t="s">
        <v>1</v>
      </c>
      <c r="C40" s="24">
        <v>23</v>
      </c>
    </row>
    <row r="41" spans="1:3" x14ac:dyDescent="0.3">
      <c r="A41" s="26">
        <v>46042</v>
      </c>
      <c r="B41" s="27" t="s">
        <v>4</v>
      </c>
      <c r="C41" s="24">
        <v>-22.6</v>
      </c>
    </row>
    <row r="42" spans="1:3" x14ac:dyDescent="0.3">
      <c r="A42" s="26">
        <v>46049</v>
      </c>
      <c r="B42" s="27" t="s">
        <v>4</v>
      </c>
      <c r="C42" s="24">
        <v>-20.8</v>
      </c>
    </row>
    <row r="43" spans="1:3" x14ac:dyDescent="0.3">
      <c r="A43" s="26">
        <v>46049</v>
      </c>
      <c r="B43" s="27" t="s">
        <v>1</v>
      </c>
      <c r="C43" s="24">
        <v>43.88</v>
      </c>
    </row>
    <row r="44" spans="1:3" x14ac:dyDescent="0.3">
      <c r="A44" s="26">
        <v>46056</v>
      </c>
      <c r="B44" s="27" t="s">
        <v>7</v>
      </c>
      <c r="C44" s="24">
        <v>-23.31</v>
      </c>
    </row>
    <row r="45" spans="1:3" x14ac:dyDescent="0.3">
      <c r="A45" s="26">
        <v>46056</v>
      </c>
      <c r="B45" s="27" t="s">
        <v>1</v>
      </c>
      <c r="C45" s="24">
        <v>23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2C259-344E-4774-B840-F6F7F73FB8FF}">
  <dimension ref="A1:H44"/>
  <sheetViews>
    <sheetView view="pageBreakPreview" zoomScale="80" zoomScaleNormal="100" zoomScaleSheetLayoutView="80" workbookViewId="0">
      <selection activeCell="A45" sqref="A4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456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457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397.7700000000001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45926</v>
      </c>
      <c r="B5" s="27" t="s">
        <v>4</v>
      </c>
      <c r="C5" s="24">
        <v>-60</v>
      </c>
      <c r="D5" s="30"/>
      <c r="E5" s="30"/>
      <c r="F5" s="30"/>
      <c r="G5" s="22"/>
    </row>
    <row r="6" spans="1:8" hidden="1" x14ac:dyDescent="0.3">
      <c r="A6" s="21">
        <v>45926</v>
      </c>
      <c r="B6" s="27" t="s">
        <v>21</v>
      </c>
      <c r="C6" s="24">
        <v>83.2</v>
      </c>
    </row>
    <row r="7" spans="1:8" hidden="1" x14ac:dyDescent="0.3">
      <c r="A7" s="21">
        <v>45926</v>
      </c>
      <c r="B7" s="72" t="s">
        <v>1</v>
      </c>
      <c r="C7" s="24">
        <v>93.84</v>
      </c>
    </row>
    <row r="8" spans="1:8" hidden="1" x14ac:dyDescent="0.3">
      <c r="A8" s="26">
        <v>45933</v>
      </c>
      <c r="B8" s="27" t="s">
        <v>4</v>
      </c>
      <c r="C8" s="24">
        <v>-117.04</v>
      </c>
    </row>
    <row r="9" spans="1:8" hidden="1" x14ac:dyDescent="0.3">
      <c r="A9" s="26">
        <v>45933</v>
      </c>
      <c r="B9" s="27" t="s">
        <v>1</v>
      </c>
      <c r="C9" s="24">
        <v>41.6</v>
      </c>
    </row>
    <row r="10" spans="1:8" hidden="1" x14ac:dyDescent="0.3">
      <c r="A10" s="26">
        <v>45933</v>
      </c>
      <c r="B10" s="72" t="s">
        <v>1</v>
      </c>
      <c r="C10" s="24">
        <v>7.5</v>
      </c>
    </row>
    <row r="11" spans="1:8" hidden="1" x14ac:dyDescent="0.3">
      <c r="A11" s="26">
        <v>45933</v>
      </c>
      <c r="B11" s="73" t="s">
        <v>1</v>
      </c>
      <c r="C11" s="24">
        <v>117.88</v>
      </c>
    </row>
    <row r="12" spans="1:8" hidden="1" x14ac:dyDescent="0.3">
      <c r="A12" s="26">
        <v>45940</v>
      </c>
      <c r="B12" s="31" t="s">
        <v>4</v>
      </c>
      <c r="C12" s="24">
        <v>-155.19999999999999</v>
      </c>
    </row>
    <row r="13" spans="1:8" hidden="1" x14ac:dyDescent="0.3">
      <c r="A13" s="26">
        <v>45940</v>
      </c>
      <c r="B13" s="27" t="s">
        <v>1</v>
      </c>
      <c r="C13" s="24">
        <v>46</v>
      </c>
    </row>
    <row r="14" spans="1:8" hidden="1" x14ac:dyDescent="0.3">
      <c r="A14" s="26">
        <v>45940</v>
      </c>
      <c r="B14" s="72" t="s">
        <v>1</v>
      </c>
      <c r="C14" s="24">
        <v>16.38</v>
      </c>
    </row>
    <row r="15" spans="1:8" hidden="1" x14ac:dyDescent="0.3">
      <c r="A15" s="26">
        <v>45940</v>
      </c>
      <c r="B15" s="73" t="s">
        <v>1</v>
      </c>
      <c r="C15" s="24">
        <v>118.41</v>
      </c>
    </row>
    <row r="16" spans="1:8" hidden="1" x14ac:dyDescent="0.3">
      <c r="A16" s="26">
        <v>45943</v>
      </c>
      <c r="B16" s="27" t="s">
        <v>4</v>
      </c>
      <c r="C16" s="24">
        <v>-92.19</v>
      </c>
    </row>
    <row r="17" spans="1:3" hidden="1" x14ac:dyDescent="0.3">
      <c r="A17" s="26">
        <v>45947</v>
      </c>
      <c r="B17" s="27" t="s">
        <v>4</v>
      </c>
      <c r="C17" s="24">
        <v>-100.38</v>
      </c>
    </row>
    <row r="18" spans="1:3" hidden="1" x14ac:dyDescent="0.3">
      <c r="A18" s="26">
        <v>45947</v>
      </c>
      <c r="B18" s="27" t="s">
        <v>4</v>
      </c>
      <c r="C18" s="24">
        <v>-98.16</v>
      </c>
    </row>
    <row r="19" spans="1:3" hidden="1" x14ac:dyDescent="0.3">
      <c r="A19" s="26">
        <v>45947</v>
      </c>
      <c r="B19" s="27" t="s">
        <v>1</v>
      </c>
      <c r="C19" s="24">
        <v>69</v>
      </c>
    </row>
    <row r="20" spans="1:3" hidden="1" x14ac:dyDescent="0.3">
      <c r="A20" s="26">
        <v>45947</v>
      </c>
      <c r="B20" s="72" t="s">
        <v>1</v>
      </c>
      <c r="C20" s="24">
        <v>46.62</v>
      </c>
    </row>
    <row r="21" spans="1:3" hidden="1" x14ac:dyDescent="0.3">
      <c r="A21" s="26">
        <v>45947</v>
      </c>
      <c r="B21" s="73" t="s">
        <v>1</v>
      </c>
      <c r="C21" s="24">
        <v>147.24</v>
      </c>
    </row>
    <row r="22" spans="1:3" hidden="1" x14ac:dyDescent="0.3">
      <c r="A22" s="26">
        <v>45954</v>
      </c>
      <c r="B22" s="27" t="s">
        <v>4</v>
      </c>
      <c r="C22" s="24">
        <v>-74.62</v>
      </c>
    </row>
    <row r="23" spans="1:3" hidden="1" x14ac:dyDescent="0.3">
      <c r="A23" s="26">
        <v>45954</v>
      </c>
      <c r="B23" s="27" t="s">
        <v>1</v>
      </c>
      <c r="C23" s="24">
        <v>48.87</v>
      </c>
    </row>
    <row r="24" spans="1:3" hidden="1" x14ac:dyDescent="0.3">
      <c r="A24" s="26">
        <v>45954</v>
      </c>
      <c r="B24" s="72" t="s">
        <v>1</v>
      </c>
      <c r="C24" s="24">
        <v>16.38</v>
      </c>
    </row>
    <row r="25" spans="1:3" hidden="1" x14ac:dyDescent="0.3">
      <c r="A25" s="26">
        <v>45960</v>
      </c>
      <c r="B25" s="27" t="s">
        <v>4</v>
      </c>
      <c r="C25" s="24">
        <v>-112.74</v>
      </c>
    </row>
    <row r="26" spans="1:3" hidden="1" x14ac:dyDescent="0.3">
      <c r="A26" s="26">
        <v>45971</v>
      </c>
      <c r="B26" s="27" t="s">
        <v>4</v>
      </c>
      <c r="C26" s="24">
        <v>-26.83</v>
      </c>
    </row>
    <row r="27" spans="1:3" hidden="1" x14ac:dyDescent="0.3">
      <c r="A27" s="26">
        <v>45975</v>
      </c>
      <c r="B27" s="27" t="s">
        <v>4</v>
      </c>
      <c r="C27" s="24">
        <v>-15.76</v>
      </c>
    </row>
    <row r="28" spans="1:3" x14ac:dyDescent="0.3">
      <c r="A28" s="26">
        <v>45975</v>
      </c>
      <c r="B28" s="27" t="s">
        <v>1</v>
      </c>
      <c r="C28" s="24">
        <v>141.66999999999999</v>
      </c>
    </row>
    <row r="29" spans="1:3" x14ac:dyDescent="0.3">
      <c r="A29" s="26">
        <v>45985</v>
      </c>
      <c r="B29" s="27" t="s">
        <v>4</v>
      </c>
      <c r="C29" s="24">
        <v>-60</v>
      </c>
    </row>
    <row r="30" spans="1:3" x14ac:dyDescent="0.3">
      <c r="A30" s="26">
        <v>45987</v>
      </c>
      <c r="B30" s="27" t="s">
        <v>4</v>
      </c>
      <c r="C30" s="24">
        <v>-19.71</v>
      </c>
    </row>
    <row r="31" spans="1:3" x14ac:dyDescent="0.3">
      <c r="A31" s="26">
        <v>45987</v>
      </c>
      <c r="B31" s="27" t="s">
        <v>4</v>
      </c>
      <c r="C31" s="24">
        <v>-24.63</v>
      </c>
    </row>
    <row r="32" spans="1:3" x14ac:dyDescent="0.3">
      <c r="A32" s="26">
        <v>45989</v>
      </c>
      <c r="B32" s="27" t="s">
        <v>1</v>
      </c>
      <c r="C32" s="24">
        <v>79.260000000000005</v>
      </c>
    </row>
    <row r="33" spans="1:3" x14ac:dyDescent="0.3">
      <c r="A33" s="26">
        <v>45999</v>
      </c>
      <c r="B33" s="27" t="s">
        <v>4</v>
      </c>
      <c r="C33" s="24">
        <v>-60</v>
      </c>
    </row>
    <row r="34" spans="1:3" x14ac:dyDescent="0.3">
      <c r="A34" s="26">
        <v>46002</v>
      </c>
      <c r="B34" s="27" t="s">
        <v>4</v>
      </c>
      <c r="C34" s="24">
        <v>-40</v>
      </c>
    </row>
    <row r="35" spans="1:3" x14ac:dyDescent="0.3">
      <c r="A35" s="26">
        <v>46003</v>
      </c>
      <c r="B35" s="27" t="s">
        <v>1</v>
      </c>
      <c r="C35" s="24">
        <v>346.22</v>
      </c>
    </row>
    <row r="36" spans="1:3" x14ac:dyDescent="0.3">
      <c r="A36" s="26">
        <v>46006</v>
      </c>
      <c r="B36" s="27" t="s">
        <v>4</v>
      </c>
      <c r="C36" s="24">
        <v>-80</v>
      </c>
    </row>
    <row r="37" spans="1:3" x14ac:dyDescent="0.3">
      <c r="A37" s="26">
        <v>46009</v>
      </c>
      <c r="B37" s="27" t="s">
        <v>4</v>
      </c>
      <c r="C37" s="24">
        <v>-33</v>
      </c>
    </row>
    <row r="38" spans="1:3" x14ac:dyDescent="0.3">
      <c r="A38" s="26">
        <v>46020</v>
      </c>
      <c r="B38" s="27" t="s">
        <v>4</v>
      </c>
      <c r="C38" s="24">
        <v>-50</v>
      </c>
    </row>
    <row r="39" spans="1:3" x14ac:dyDescent="0.3">
      <c r="A39" s="26">
        <v>46038</v>
      </c>
      <c r="B39" s="27" t="s">
        <v>4</v>
      </c>
      <c r="C39" s="24">
        <v>-29.26</v>
      </c>
    </row>
    <row r="40" spans="1:3" x14ac:dyDescent="0.3">
      <c r="A40" s="26">
        <v>46038</v>
      </c>
      <c r="B40" s="27" t="s">
        <v>4</v>
      </c>
      <c r="C40" s="24">
        <v>-0.74</v>
      </c>
    </row>
    <row r="41" spans="1:3" x14ac:dyDescent="0.3">
      <c r="A41" s="26">
        <v>46042</v>
      </c>
      <c r="B41" s="27" t="s">
        <v>4</v>
      </c>
      <c r="C41" s="24">
        <v>-60</v>
      </c>
    </row>
    <row r="42" spans="1:3" x14ac:dyDescent="0.3">
      <c r="A42" s="26">
        <v>46043</v>
      </c>
      <c r="B42" s="27" t="s">
        <v>4</v>
      </c>
      <c r="C42" s="24">
        <v>-39.159999999999997</v>
      </c>
    </row>
    <row r="43" spans="1:3" x14ac:dyDescent="0.3">
      <c r="A43" s="26">
        <v>46045</v>
      </c>
      <c r="B43" s="27" t="s">
        <v>1</v>
      </c>
      <c r="C43" s="24">
        <v>447.12</v>
      </c>
    </row>
    <row r="44" spans="1:3" x14ac:dyDescent="0.3">
      <c r="A44" s="26">
        <v>46047</v>
      </c>
      <c r="B44" s="27" t="s">
        <v>4</v>
      </c>
      <c r="C44" s="24">
        <v>-120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D3063-18C1-4DFD-B410-CE2B7247087D}">
  <dimension ref="A1:L86"/>
  <sheetViews>
    <sheetView view="pageBreakPreview" zoomScale="80" zoomScaleNormal="100" zoomScaleSheetLayoutView="80" workbookViewId="0">
      <selection activeCell="D8" sqref="D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12" x14ac:dyDescent="0.3">
      <c r="A1" s="16" t="s">
        <v>15</v>
      </c>
      <c r="B1" s="17" t="s">
        <v>349</v>
      </c>
      <c r="C1" s="17"/>
      <c r="D1" s="17"/>
      <c r="E1" s="17"/>
      <c r="F1" s="17"/>
      <c r="G1" s="18"/>
      <c r="H1" s="16"/>
    </row>
    <row r="2" spans="1:12" x14ac:dyDescent="0.3">
      <c r="A2" s="16" t="s">
        <v>91</v>
      </c>
      <c r="B2" s="17" t="s">
        <v>350</v>
      </c>
      <c r="C2" s="17"/>
      <c r="D2" s="17"/>
      <c r="E2" s="17"/>
      <c r="F2" s="17"/>
      <c r="G2" s="17"/>
    </row>
    <row r="3" spans="1:12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12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12" x14ac:dyDescent="0.3">
      <c r="A5" s="21">
        <v>45848</v>
      </c>
      <c r="B5" s="27" t="s">
        <v>9</v>
      </c>
      <c r="C5" s="24">
        <v>2995.2</v>
      </c>
      <c r="D5" s="30">
        <v>144</v>
      </c>
      <c r="E5" s="30"/>
      <c r="F5" s="30"/>
      <c r="G5" s="22"/>
    </row>
    <row r="6" spans="1:12" x14ac:dyDescent="0.3">
      <c r="A6" s="21">
        <v>45950</v>
      </c>
      <c r="B6" s="27" t="s">
        <v>257</v>
      </c>
      <c r="C6" s="24">
        <v>-1497.6</v>
      </c>
      <c r="D6" s="25">
        <v>-72</v>
      </c>
    </row>
    <row r="7" spans="1:12" x14ac:dyDescent="0.3">
      <c r="A7" s="21">
        <v>46003</v>
      </c>
      <c r="B7" s="27" t="s">
        <v>257</v>
      </c>
      <c r="C7" s="24">
        <v>-1497.6</v>
      </c>
      <c r="D7" s="25">
        <v>-72</v>
      </c>
    </row>
    <row r="9" spans="1:12" x14ac:dyDescent="0.3">
      <c r="B9" s="32"/>
    </row>
    <row r="10" spans="1:12" x14ac:dyDescent="0.3">
      <c r="B10" s="34"/>
    </row>
    <row r="12" spans="1:12" x14ac:dyDescent="0.3">
      <c r="B12" s="32"/>
    </row>
    <row r="13" spans="1:12" x14ac:dyDescent="0.3">
      <c r="B13" s="34"/>
    </row>
    <row r="14" spans="1:12" x14ac:dyDescent="0.3">
      <c r="L14" s="18">
        <f>144*20.8</f>
        <v>2995.2000000000003</v>
      </c>
    </row>
    <row r="15" spans="1:12" x14ac:dyDescent="0.3">
      <c r="L15" s="18">
        <f>72*20.8</f>
        <v>1497.6000000000001</v>
      </c>
    </row>
    <row r="17" spans="2:2" x14ac:dyDescent="0.3">
      <c r="B17" s="32"/>
    </row>
    <row r="18" spans="2:2" x14ac:dyDescent="0.3">
      <c r="B18" s="34"/>
    </row>
    <row r="19" spans="2:2" x14ac:dyDescent="0.3">
      <c r="B19" s="46"/>
    </row>
    <row r="20" spans="2:2" x14ac:dyDescent="0.3">
      <c r="B20" s="32"/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54BC-D72A-4FF0-8276-7E1A1CCF1DEE}">
  <sheetPr codeName="Hoja117"/>
  <dimension ref="A1:I131"/>
  <sheetViews>
    <sheetView view="pageBreakPreview" topLeftCell="A112" zoomScale="90" zoomScaleNormal="100" zoomScaleSheetLayoutView="90" workbookViewId="0">
      <selection activeCell="C132" sqref="C1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38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151.3899999999999</v>
      </c>
      <c r="D3" s="20">
        <f>SUM(D$4:D$1048576)</f>
        <v>3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45182</v>
      </c>
      <c r="B5" s="29" t="s">
        <v>21</v>
      </c>
      <c r="C5" s="22">
        <v>60</v>
      </c>
      <c r="D5" s="30">
        <v>1</v>
      </c>
      <c r="E5" s="30"/>
      <c r="F5" s="30"/>
      <c r="G5" s="22"/>
    </row>
    <row r="6" spans="1:9" x14ac:dyDescent="0.3">
      <c r="A6" s="26">
        <v>45191</v>
      </c>
      <c r="B6" s="31"/>
      <c r="C6" s="24">
        <v>-20</v>
      </c>
    </row>
    <row r="7" spans="1:9" x14ac:dyDescent="0.3">
      <c r="A7" s="26">
        <v>45205</v>
      </c>
      <c r="B7" s="31"/>
      <c r="C7" s="24">
        <v>-20</v>
      </c>
    </row>
    <row r="8" spans="1:9" x14ac:dyDescent="0.3">
      <c r="A8" s="26">
        <v>45265</v>
      </c>
      <c r="B8" s="27" t="s">
        <v>4</v>
      </c>
      <c r="C8" s="24">
        <v>-100.8</v>
      </c>
    </row>
    <row r="9" spans="1:9" x14ac:dyDescent="0.3">
      <c r="A9" s="26">
        <v>45265</v>
      </c>
      <c r="B9" s="27" t="s">
        <v>1</v>
      </c>
      <c r="C9" s="24">
        <v>100.8</v>
      </c>
      <c r="D9" s="25">
        <v>6</v>
      </c>
      <c r="I9" s="25"/>
    </row>
    <row r="10" spans="1:9" x14ac:dyDescent="0.3">
      <c r="A10" s="26">
        <v>45267</v>
      </c>
      <c r="B10" s="31"/>
      <c r="C10" s="24">
        <v>44.6</v>
      </c>
    </row>
    <row r="11" spans="1:9" x14ac:dyDescent="0.3">
      <c r="A11" s="26">
        <v>45267</v>
      </c>
      <c r="B11" s="27" t="s">
        <v>22</v>
      </c>
      <c r="D11" s="25">
        <v>-7</v>
      </c>
    </row>
    <row r="12" spans="1:9" x14ac:dyDescent="0.3">
      <c r="A12" s="26">
        <v>45268</v>
      </c>
      <c r="B12" s="31" t="s">
        <v>9</v>
      </c>
      <c r="C12" s="24">
        <v>-20</v>
      </c>
    </row>
    <row r="13" spans="1:9" x14ac:dyDescent="0.3">
      <c r="A13" s="26">
        <v>45275</v>
      </c>
      <c r="C13" s="24">
        <v>-20</v>
      </c>
    </row>
    <row r="14" spans="1:9" x14ac:dyDescent="0.3">
      <c r="A14" s="26">
        <v>45278</v>
      </c>
      <c r="B14" s="27" t="s">
        <v>1</v>
      </c>
      <c r="C14" s="24">
        <v>33.6</v>
      </c>
    </row>
    <row r="15" spans="1:9" x14ac:dyDescent="0.3">
      <c r="A15" s="26">
        <v>45282</v>
      </c>
      <c r="B15" s="27" t="s">
        <v>22</v>
      </c>
      <c r="D15" s="25">
        <v>2</v>
      </c>
    </row>
    <row r="16" spans="1:9" x14ac:dyDescent="0.3">
      <c r="A16" s="26">
        <v>45289</v>
      </c>
      <c r="D16" s="25">
        <v>2</v>
      </c>
    </row>
    <row r="17" spans="1:4" x14ac:dyDescent="0.3">
      <c r="A17" s="26">
        <v>45327</v>
      </c>
      <c r="B17" s="27" t="s">
        <v>22</v>
      </c>
      <c r="D17" s="25">
        <v>-2</v>
      </c>
    </row>
    <row r="18" spans="1:4" x14ac:dyDescent="0.3">
      <c r="A18" s="26">
        <v>45366</v>
      </c>
      <c r="B18" s="27" t="s">
        <v>9</v>
      </c>
      <c r="C18" s="24">
        <v>-20</v>
      </c>
    </row>
    <row r="19" spans="1:4" x14ac:dyDescent="0.3">
      <c r="A19" s="26">
        <v>45408</v>
      </c>
      <c r="B19" s="27" t="s">
        <v>7</v>
      </c>
      <c r="C19" s="24">
        <v>-10</v>
      </c>
    </row>
    <row r="20" spans="1:4" x14ac:dyDescent="0.3">
      <c r="A20" s="26">
        <v>45415</v>
      </c>
      <c r="B20" s="27" t="s">
        <v>7</v>
      </c>
      <c r="C20" s="24">
        <v>-10</v>
      </c>
    </row>
    <row r="21" spans="1:4" x14ac:dyDescent="0.3">
      <c r="A21" s="26">
        <v>45422</v>
      </c>
      <c r="B21" s="27" t="s">
        <v>7</v>
      </c>
      <c r="C21" s="24">
        <v>-10</v>
      </c>
    </row>
    <row r="22" spans="1:4" x14ac:dyDescent="0.3">
      <c r="A22" s="26">
        <v>45432</v>
      </c>
      <c r="B22" s="27" t="s">
        <v>9</v>
      </c>
      <c r="C22" s="24">
        <v>180</v>
      </c>
    </row>
    <row r="23" spans="1:4" x14ac:dyDescent="0.3">
      <c r="A23" s="26">
        <v>45450</v>
      </c>
      <c r="B23" s="27" t="s">
        <v>7</v>
      </c>
      <c r="C23" s="24">
        <v>-20</v>
      </c>
    </row>
    <row r="24" spans="1:4" x14ac:dyDescent="0.3">
      <c r="A24" s="26">
        <v>45463</v>
      </c>
      <c r="B24" s="27" t="s">
        <v>7</v>
      </c>
      <c r="C24" s="24">
        <v>-20</v>
      </c>
    </row>
    <row r="25" spans="1:4" x14ac:dyDescent="0.3">
      <c r="A25" s="26">
        <v>45474</v>
      </c>
      <c r="B25" s="27" t="s">
        <v>7</v>
      </c>
      <c r="C25" s="24">
        <v>-20</v>
      </c>
    </row>
    <row r="26" spans="1:4" x14ac:dyDescent="0.3">
      <c r="A26" s="26">
        <v>45477</v>
      </c>
      <c r="B26" s="27" t="s">
        <v>7</v>
      </c>
      <c r="C26" s="24">
        <v>-20</v>
      </c>
    </row>
    <row r="27" spans="1:4" x14ac:dyDescent="0.3">
      <c r="A27" s="26">
        <v>45485</v>
      </c>
      <c r="B27" s="27" t="s">
        <v>7</v>
      </c>
      <c r="C27" s="24">
        <v>-20</v>
      </c>
    </row>
    <row r="28" spans="1:4" x14ac:dyDescent="0.3">
      <c r="A28" s="26">
        <v>45513</v>
      </c>
      <c r="B28" s="27" t="s">
        <v>7</v>
      </c>
      <c r="C28" s="24">
        <v>-20</v>
      </c>
    </row>
    <row r="29" spans="1:4" x14ac:dyDescent="0.3">
      <c r="A29" s="26">
        <v>45523</v>
      </c>
      <c r="B29" s="27" t="s">
        <v>7</v>
      </c>
      <c r="C29" s="24">
        <v>-20</v>
      </c>
    </row>
    <row r="30" spans="1:4" x14ac:dyDescent="0.3">
      <c r="A30" s="26">
        <v>45527</v>
      </c>
      <c r="B30" s="27" t="s">
        <v>7</v>
      </c>
      <c r="C30" s="24">
        <v>-20</v>
      </c>
    </row>
    <row r="31" spans="1:4" x14ac:dyDescent="0.3">
      <c r="A31" s="26">
        <v>45534</v>
      </c>
      <c r="B31" s="27" t="s">
        <v>7</v>
      </c>
      <c r="C31" s="24">
        <v>-20</v>
      </c>
    </row>
    <row r="32" spans="1:4" x14ac:dyDescent="0.3">
      <c r="A32" s="26">
        <v>45541</v>
      </c>
      <c r="B32" s="27" t="s">
        <v>7</v>
      </c>
      <c r="C32" s="24">
        <v>-8.1999999999999993</v>
      </c>
    </row>
    <row r="33" spans="1:4" x14ac:dyDescent="0.3">
      <c r="A33" s="26">
        <v>45553</v>
      </c>
      <c r="B33" s="27" t="s">
        <v>9</v>
      </c>
      <c r="C33" s="24">
        <v>60</v>
      </c>
    </row>
    <row r="34" spans="1:4" x14ac:dyDescent="0.3">
      <c r="A34" s="26">
        <v>45555</v>
      </c>
      <c r="B34" s="27" t="s">
        <v>7</v>
      </c>
      <c r="C34" s="24">
        <v>-20</v>
      </c>
    </row>
    <row r="35" spans="1:4" x14ac:dyDescent="0.3">
      <c r="A35" s="26">
        <v>45569</v>
      </c>
      <c r="B35" s="27" t="s">
        <v>7</v>
      </c>
      <c r="C35" s="24">
        <v>-20</v>
      </c>
    </row>
    <row r="36" spans="1:4" x14ac:dyDescent="0.3">
      <c r="A36" s="26">
        <v>45576</v>
      </c>
      <c r="B36" s="27" t="s">
        <v>7</v>
      </c>
      <c r="C36" s="24">
        <v>-20</v>
      </c>
    </row>
    <row r="37" spans="1:4" x14ac:dyDescent="0.3">
      <c r="A37" s="26">
        <v>45607</v>
      </c>
      <c r="B37" s="27" t="s">
        <v>7</v>
      </c>
      <c r="C37" s="24">
        <v>25.64</v>
      </c>
    </row>
    <row r="38" spans="1:4" x14ac:dyDescent="0.3">
      <c r="A38" s="26">
        <v>45617</v>
      </c>
      <c r="B38" s="27" t="s">
        <v>7</v>
      </c>
      <c r="C38" s="24">
        <v>-20</v>
      </c>
    </row>
    <row r="39" spans="1:4" x14ac:dyDescent="0.3">
      <c r="A39" s="44">
        <v>45625</v>
      </c>
      <c r="B39" s="43" t="s">
        <v>7</v>
      </c>
      <c r="C39" s="42">
        <v>-6.89</v>
      </c>
    </row>
    <row r="40" spans="1:4" x14ac:dyDescent="0.3">
      <c r="A40" s="26">
        <v>45649</v>
      </c>
      <c r="B40" s="27" t="s">
        <v>22</v>
      </c>
      <c r="D40" s="25">
        <v>2</v>
      </c>
    </row>
    <row r="41" spans="1:4" x14ac:dyDescent="0.3">
      <c r="A41" s="26">
        <v>45656</v>
      </c>
      <c r="B41" s="27" t="s">
        <v>22</v>
      </c>
      <c r="D41" s="25">
        <v>2</v>
      </c>
    </row>
    <row r="42" spans="1:4" x14ac:dyDescent="0.3">
      <c r="A42" s="26">
        <v>45786</v>
      </c>
      <c r="B42" s="27" t="s">
        <v>1</v>
      </c>
      <c r="C42" s="24">
        <v>12.8</v>
      </c>
    </row>
    <row r="43" spans="1:4" x14ac:dyDescent="0.3">
      <c r="A43" s="26">
        <v>45791</v>
      </c>
      <c r="B43" s="27" t="s">
        <v>9</v>
      </c>
      <c r="C43" s="24">
        <v>40</v>
      </c>
    </row>
    <row r="44" spans="1:4" x14ac:dyDescent="0.3">
      <c r="A44" s="26">
        <v>45793</v>
      </c>
      <c r="B44" s="27" t="s">
        <v>4</v>
      </c>
      <c r="C44" s="24">
        <v>-50</v>
      </c>
    </row>
    <row r="45" spans="1:4" x14ac:dyDescent="0.3">
      <c r="A45" s="26">
        <v>45794</v>
      </c>
      <c r="B45" s="27" t="s">
        <v>9</v>
      </c>
      <c r="C45" s="24">
        <v>18.690000000000001</v>
      </c>
    </row>
    <row r="46" spans="1:4" x14ac:dyDescent="0.3">
      <c r="A46" s="26">
        <v>45805</v>
      </c>
      <c r="B46" s="27" t="s">
        <v>22</v>
      </c>
      <c r="D46" s="25">
        <v>-6</v>
      </c>
    </row>
    <row r="47" spans="1:4" x14ac:dyDescent="0.3">
      <c r="A47" s="26">
        <v>45811</v>
      </c>
      <c r="B47" s="27" t="s">
        <v>9</v>
      </c>
      <c r="C47" s="24">
        <v>79.37</v>
      </c>
    </row>
    <row r="48" spans="1:4" x14ac:dyDescent="0.3">
      <c r="A48" s="21">
        <v>45170</v>
      </c>
      <c r="B48" s="33" t="s">
        <v>21</v>
      </c>
      <c r="C48" s="22">
        <v>28.53</v>
      </c>
    </row>
    <row r="49" spans="1:3" x14ac:dyDescent="0.3">
      <c r="A49" s="21"/>
      <c r="B49" s="23"/>
      <c r="C49" s="24">
        <v>3.44</v>
      </c>
    </row>
    <row r="50" spans="1:3" x14ac:dyDescent="0.3">
      <c r="A50" s="21"/>
      <c r="C50" s="24">
        <v>-20</v>
      </c>
    </row>
    <row r="51" spans="1:3" x14ac:dyDescent="0.3">
      <c r="A51" s="21">
        <v>45247</v>
      </c>
      <c r="B51" s="23" t="s">
        <v>35</v>
      </c>
      <c r="C51" s="22">
        <v>-10</v>
      </c>
    </row>
    <row r="52" spans="1:3" x14ac:dyDescent="0.3">
      <c r="A52" s="26">
        <v>45260</v>
      </c>
      <c r="B52" s="33" t="s">
        <v>21</v>
      </c>
      <c r="C52" s="24">
        <v>17.399999999999999</v>
      </c>
    </row>
    <row r="53" spans="1:3" x14ac:dyDescent="0.3">
      <c r="A53" s="26">
        <v>45275</v>
      </c>
      <c r="B53" s="33" t="s">
        <v>21</v>
      </c>
      <c r="C53" s="24">
        <v>26.35</v>
      </c>
    </row>
    <row r="54" spans="1:3" x14ac:dyDescent="0.3">
      <c r="A54" s="26">
        <v>45275</v>
      </c>
      <c r="B54" s="45" t="s">
        <v>1</v>
      </c>
      <c r="C54" s="24">
        <v>8.58</v>
      </c>
    </row>
    <row r="55" spans="1:3" x14ac:dyDescent="0.3">
      <c r="A55" s="26">
        <v>45278</v>
      </c>
      <c r="B55" s="27" t="s">
        <v>4</v>
      </c>
      <c r="C55" s="24">
        <v>-33.6</v>
      </c>
    </row>
    <row r="56" spans="1:3" x14ac:dyDescent="0.3">
      <c r="A56" s="26">
        <v>45283</v>
      </c>
      <c r="B56" s="35" t="s">
        <v>1</v>
      </c>
      <c r="C56" s="24">
        <v>8.3000000000000007</v>
      </c>
    </row>
    <row r="57" spans="1:3" x14ac:dyDescent="0.3">
      <c r="A57" s="26">
        <v>45325</v>
      </c>
      <c r="B57" s="27" t="s">
        <v>34</v>
      </c>
      <c r="C57" s="24">
        <v>-20</v>
      </c>
    </row>
    <row r="58" spans="1:3" x14ac:dyDescent="0.3">
      <c r="A58" s="26">
        <v>45419</v>
      </c>
      <c r="B58" s="45" t="s">
        <v>1</v>
      </c>
      <c r="C58" s="24">
        <v>15.41</v>
      </c>
    </row>
    <row r="59" spans="1:3" x14ac:dyDescent="0.3">
      <c r="A59" s="26">
        <v>45429</v>
      </c>
      <c r="B59" s="27" t="s">
        <v>7</v>
      </c>
      <c r="C59" s="24">
        <v>-10</v>
      </c>
    </row>
    <row r="60" spans="1:3" x14ac:dyDescent="0.3">
      <c r="A60" s="26">
        <v>45498</v>
      </c>
      <c r="B60" s="45" t="s">
        <v>1</v>
      </c>
      <c r="C60" s="24">
        <v>8.4700000000000006</v>
      </c>
    </row>
    <row r="61" spans="1:3" x14ac:dyDescent="0.3">
      <c r="A61" s="26">
        <v>45504</v>
      </c>
      <c r="B61" s="33" t="s">
        <v>21</v>
      </c>
      <c r="C61" s="24">
        <v>2.91</v>
      </c>
    </row>
    <row r="62" spans="1:3" x14ac:dyDescent="0.3">
      <c r="A62" s="26">
        <v>45506</v>
      </c>
      <c r="B62" s="27" t="s">
        <v>7</v>
      </c>
      <c r="C62" s="24">
        <v>-20</v>
      </c>
    </row>
    <row r="63" spans="1:3" x14ac:dyDescent="0.3">
      <c r="A63" s="26">
        <v>45541</v>
      </c>
      <c r="B63" s="27" t="s">
        <v>7</v>
      </c>
      <c r="C63" s="24">
        <v>-5.79</v>
      </c>
    </row>
    <row r="64" spans="1:3" x14ac:dyDescent="0.3">
      <c r="A64" s="26">
        <v>45610</v>
      </c>
      <c r="B64" s="33" t="s">
        <v>21</v>
      </c>
      <c r="C64" s="24">
        <v>13.11</v>
      </c>
    </row>
    <row r="65" spans="1:3" x14ac:dyDescent="0.3">
      <c r="A65" s="44">
        <v>45625</v>
      </c>
      <c r="B65" s="43" t="s">
        <v>7</v>
      </c>
      <c r="C65" s="42">
        <v>-13.11</v>
      </c>
    </row>
    <row r="66" spans="1:3" x14ac:dyDescent="0.3">
      <c r="A66" s="26">
        <v>45629</v>
      </c>
      <c r="B66" s="35" t="s">
        <v>1</v>
      </c>
      <c r="C66" s="24">
        <v>57.2</v>
      </c>
    </row>
    <row r="67" spans="1:3" x14ac:dyDescent="0.3">
      <c r="A67" s="26">
        <v>45632</v>
      </c>
      <c r="B67" s="27" t="s">
        <v>7</v>
      </c>
      <c r="C67" s="24">
        <v>-20</v>
      </c>
    </row>
    <row r="68" spans="1:3" x14ac:dyDescent="0.3">
      <c r="A68" s="26">
        <v>45640</v>
      </c>
      <c r="B68" s="27" t="s">
        <v>7</v>
      </c>
      <c r="C68" s="24">
        <v>-20</v>
      </c>
    </row>
    <row r="69" spans="1:3" x14ac:dyDescent="0.3">
      <c r="A69" s="26">
        <v>45646</v>
      </c>
      <c r="B69" s="27" t="s">
        <v>7</v>
      </c>
      <c r="C69" s="24">
        <v>-16</v>
      </c>
    </row>
    <row r="70" spans="1:3" x14ac:dyDescent="0.3">
      <c r="A70" s="26">
        <v>45649</v>
      </c>
      <c r="B70" s="33" t="s">
        <v>21</v>
      </c>
      <c r="C70" s="24">
        <v>44.77</v>
      </c>
    </row>
    <row r="71" spans="1:3" x14ac:dyDescent="0.3">
      <c r="A71" s="26">
        <v>45666</v>
      </c>
      <c r="B71" s="33" t="s">
        <v>21</v>
      </c>
      <c r="C71" s="24">
        <v>4.8499999999999996</v>
      </c>
    </row>
    <row r="72" spans="1:3" x14ac:dyDescent="0.3">
      <c r="A72" s="26">
        <v>45671</v>
      </c>
      <c r="B72" s="27" t="s">
        <v>7</v>
      </c>
      <c r="C72" s="24">
        <v>-20</v>
      </c>
    </row>
    <row r="73" spans="1:3" x14ac:dyDescent="0.3">
      <c r="A73" s="26">
        <v>45674</v>
      </c>
      <c r="B73" s="27" t="s">
        <v>7</v>
      </c>
      <c r="C73" s="24">
        <v>-10</v>
      </c>
    </row>
    <row r="74" spans="1:3" x14ac:dyDescent="0.3">
      <c r="A74" s="26">
        <v>45681</v>
      </c>
      <c r="B74" s="27" t="s">
        <v>7</v>
      </c>
      <c r="C74" s="24">
        <v>-10</v>
      </c>
    </row>
    <row r="75" spans="1:3" x14ac:dyDescent="0.3">
      <c r="A75" s="26">
        <v>45693</v>
      </c>
      <c r="B75" s="33" t="s">
        <v>21</v>
      </c>
      <c r="C75" s="24">
        <v>6.42</v>
      </c>
    </row>
    <row r="76" spans="1:3" x14ac:dyDescent="0.3">
      <c r="A76" s="26">
        <v>45698</v>
      </c>
      <c r="B76" s="27" t="s">
        <v>7</v>
      </c>
      <c r="C76" s="24">
        <v>-10</v>
      </c>
    </row>
    <row r="77" spans="1:3" x14ac:dyDescent="0.3">
      <c r="A77" s="26">
        <v>45709</v>
      </c>
      <c r="B77" s="27" t="s">
        <v>7</v>
      </c>
      <c r="C77" s="24">
        <v>-6</v>
      </c>
    </row>
    <row r="78" spans="1:3" x14ac:dyDescent="0.3">
      <c r="A78" s="26">
        <v>45743</v>
      </c>
      <c r="B78" s="35" t="s">
        <v>1</v>
      </c>
      <c r="C78" s="24">
        <v>35.1</v>
      </c>
    </row>
    <row r="79" spans="1:3" x14ac:dyDescent="0.3">
      <c r="A79" s="26">
        <v>45744</v>
      </c>
      <c r="B79" s="27" t="s">
        <v>4</v>
      </c>
      <c r="C79" s="24">
        <v>-10</v>
      </c>
    </row>
    <row r="80" spans="1:3" x14ac:dyDescent="0.3">
      <c r="A80" s="26">
        <v>45751</v>
      </c>
      <c r="B80" s="27" t="s">
        <v>4</v>
      </c>
      <c r="C80" s="24">
        <v>-20</v>
      </c>
    </row>
    <row r="81" spans="1:8" x14ac:dyDescent="0.3">
      <c r="A81" s="26">
        <v>45751</v>
      </c>
      <c r="B81" s="27" t="s">
        <v>9</v>
      </c>
      <c r="C81" s="24">
        <v>60</v>
      </c>
    </row>
    <row r="82" spans="1:8" x14ac:dyDescent="0.3">
      <c r="A82" s="26">
        <v>45758</v>
      </c>
      <c r="B82" s="27" t="s">
        <v>4</v>
      </c>
      <c r="C82" s="24">
        <v>-20</v>
      </c>
    </row>
    <row r="83" spans="1:8" x14ac:dyDescent="0.3">
      <c r="A83" s="26">
        <v>45762</v>
      </c>
      <c r="B83" s="27" t="s">
        <v>4</v>
      </c>
      <c r="C83" s="24">
        <v>-20</v>
      </c>
    </row>
    <row r="84" spans="1:8" x14ac:dyDescent="0.3">
      <c r="A84" s="26">
        <v>45772</v>
      </c>
      <c r="B84" s="27" t="s">
        <v>4</v>
      </c>
      <c r="C84" s="24">
        <v>-20</v>
      </c>
    </row>
    <row r="85" spans="1:8" x14ac:dyDescent="0.3">
      <c r="A85" s="26">
        <v>45785</v>
      </c>
      <c r="B85" s="35" t="s">
        <v>1</v>
      </c>
      <c r="C85" s="24">
        <v>43.4</v>
      </c>
    </row>
    <row r="86" spans="1:8" x14ac:dyDescent="0.3">
      <c r="A86" s="26">
        <v>45797</v>
      </c>
      <c r="B86" s="33" t="s">
        <v>21</v>
      </c>
      <c r="C86" s="24">
        <v>6.42</v>
      </c>
    </row>
    <row r="87" spans="1:8" x14ac:dyDescent="0.3">
      <c r="A87" s="26">
        <v>45800</v>
      </c>
      <c r="B87" s="27" t="s">
        <v>4</v>
      </c>
      <c r="C87" s="24">
        <v>-50</v>
      </c>
    </row>
    <row r="88" spans="1:8" x14ac:dyDescent="0.3">
      <c r="A88" s="26">
        <v>45813</v>
      </c>
      <c r="B88" s="35" t="s">
        <v>1</v>
      </c>
      <c r="C88" s="24">
        <v>19.46</v>
      </c>
    </row>
    <row r="89" spans="1:8" x14ac:dyDescent="0.3">
      <c r="A89" s="26">
        <v>45818</v>
      </c>
      <c r="B89" s="46" t="s">
        <v>1</v>
      </c>
      <c r="C89" s="24">
        <v>2.58</v>
      </c>
    </row>
    <row r="90" spans="1:8" x14ac:dyDescent="0.3">
      <c r="A90" s="26">
        <v>45824</v>
      </c>
      <c r="B90" s="27" t="s">
        <v>4</v>
      </c>
      <c r="C90" s="24">
        <v>270</v>
      </c>
    </row>
    <row r="91" spans="1:8" x14ac:dyDescent="0.3">
      <c r="A91" s="26">
        <v>45825</v>
      </c>
      <c r="B91" s="27" t="s">
        <v>22</v>
      </c>
      <c r="D91" s="25">
        <v>1</v>
      </c>
    </row>
    <row r="92" spans="1:8" x14ac:dyDescent="0.3">
      <c r="A92" s="26">
        <v>45852</v>
      </c>
      <c r="B92" s="27" t="s">
        <v>9</v>
      </c>
      <c r="C92" s="24">
        <v>182.75</v>
      </c>
    </row>
    <row r="93" spans="1:8" x14ac:dyDescent="0.3">
      <c r="A93" s="26">
        <v>45862</v>
      </c>
      <c r="B93" s="27" t="s">
        <v>1</v>
      </c>
      <c r="C93" s="24">
        <v>312</v>
      </c>
      <c r="H93" s="17" t="s">
        <v>381</v>
      </c>
    </row>
    <row r="94" spans="1:8" x14ac:dyDescent="0.3">
      <c r="A94" s="26">
        <v>45863</v>
      </c>
      <c r="B94" s="27" t="s">
        <v>4</v>
      </c>
      <c r="C94" s="24">
        <v>-208</v>
      </c>
      <c r="H94" s="17" t="s">
        <v>381</v>
      </c>
    </row>
    <row r="95" spans="1:8" x14ac:dyDescent="0.3">
      <c r="A95" s="26">
        <v>45863</v>
      </c>
      <c r="B95" s="27" t="s">
        <v>4</v>
      </c>
      <c r="C95" s="24">
        <v>-40</v>
      </c>
    </row>
    <row r="96" spans="1:8" x14ac:dyDescent="0.3">
      <c r="A96" s="26">
        <v>45868</v>
      </c>
      <c r="B96" s="27" t="s">
        <v>257</v>
      </c>
      <c r="C96" s="24">
        <v>-104</v>
      </c>
      <c r="H96" s="17" t="s">
        <v>389</v>
      </c>
    </row>
    <row r="97" spans="1:8" x14ac:dyDescent="0.3">
      <c r="A97" s="26">
        <v>45877</v>
      </c>
      <c r="B97" s="27" t="s">
        <v>1</v>
      </c>
      <c r="C97" s="24">
        <v>24.9</v>
      </c>
      <c r="H97" s="17" t="s">
        <v>381</v>
      </c>
    </row>
    <row r="98" spans="1:8" x14ac:dyDescent="0.3">
      <c r="A98" s="26">
        <v>45877</v>
      </c>
      <c r="B98" s="27" t="s">
        <v>7</v>
      </c>
      <c r="C98" s="24">
        <v>-24.9</v>
      </c>
      <c r="H98" s="17" t="s">
        <v>381</v>
      </c>
    </row>
    <row r="99" spans="1:8" x14ac:dyDescent="0.3">
      <c r="A99" s="26">
        <v>45884</v>
      </c>
      <c r="B99" s="27" t="s">
        <v>4</v>
      </c>
      <c r="C99" s="24">
        <v>-338.17</v>
      </c>
    </row>
    <row r="100" spans="1:8" x14ac:dyDescent="0.3">
      <c r="A100" s="26">
        <v>45889</v>
      </c>
      <c r="B100" s="27" t="s">
        <v>1</v>
      </c>
      <c r="C100" s="24">
        <v>112</v>
      </c>
      <c r="H100" s="17" t="s">
        <v>381</v>
      </c>
    </row>
    <row r="101" spans="1:8" x14ac:dyDescent="0.3">
      <c r="A101" s="26">
        <v>45896</v>
      </c>
      <c r="B101" s="27" t="s">
        <v>4</v>
      </c>
      <c r="C101" s="24">
        <v>-112</v>
      </c>
      <c r="H101" s="17" t="s">
        <v>381</v>
      </c>
    </row>
    <row r="102" spans="1:8" x14ac:dyDescent="0.3">
      <c r="A102" s="26">
        <v>45902</v>
      </c>
      <c r="B102" s="27" t="s">
        <v>9</v>
      </c>
      <c r="C102" s="24">
        <v>15</v>
      </c>
    </row>
    <row r="103" spans="1:8" x14ac:dyDescent="0.3">
      <c r="A103" s="26">
        <v>45902</v>
      </c>
      <c r="B103" s="33" t="s">
        <v>21</v>
      </c>
      <c r="C103" s="24">
        <v>4.58</v>
      </c>
    </row>
    <row r="104" spans="1:8" x14ac:dyDescent="0.3">
      <c r="A104" s="26">
        <v>45903</v>
      </c>
      <c r="B104" s="27" t="s">
        <v>4</v>
      </c>
      <c r="C104" s="24">
        <v>-68.599999999999994</v>
      </c>
      <c r="H104" s="17" t="s">
        <v>381</v>
      </c>
    </row>
    <row r="105" spans="1:8" x14ac:dyDescent="0.3">
      <c r="A105" s="26">
        <v>45904</v>
      </c>
      <c r="B105" s="27" t="s">
        <v>1</v>
      </c>
      <c r="C105" s="24">
        <v>68.599999999999994</v>
      </c>
      <c r="H105" s="17" t="s">
        <v>381</v>
      </c>
    </row>
    <row r="106" spans="1:8" x14ac:dyDescent="0.3">
      <c r="A106" s="26">
        <v>45905</v>
      </c>
      <c r="B106" s="27" t="s">
        <v>4</v>
      </c>
      <c r="C106" s="24">
        <v>-30</v>
      </c>
    </row>
    <row r="107" spans="1:8" x14ac:dyDescent="0.3">
      <c r="A107" s="26">
        <v>45908</v>
      </c>
      <c r="B107" s="27" t="s">
        <v>9</v>
      </c>
      <c r="C107" s="24">
        <v>30</v>
      </c>
    </row>
    <row r="108" spans="1:8" x14ac:dyDescent="0.3">
      <c r="A108" s="26">
        <v>45912</v>
      </c>
      <c r="B108" s="27" t="s">
        <v>4</v>
      </c>
      <c r="C108" s="24">
        <v>-20</v>
      </c>
    </row>
    <row r="109" spans="1:8" x14ac:dyDescent="0.3">
      <c r="A109" s="26">
        <v>45913</v>
      </c>
      <c r="B109" s="27" t="s">
        <v>9</v>
      </c>
      <c r="C109" s="24">
        <v>9.61</v>
      </c>
    </row>
    <row r="110" spans="1:8" x14ac:dyDescent="0.3">
      <c r="A110" s="26">
        <v>45926</v>
      </c>
      <c r="B110" s="27" t="s">
        <v>4</v>
      </c>
      <c r="C110" s="24">
        <v>-20</v>
      </c>
    </row>
    <row r="111" spans="1:8" x14ac:dyDescent="0.3">
      <c r="A111" s="26">
        <v>45938</v>
      </c>
      <c r="B111" s="27" t="s">
        <v>9</v>
      </c>
      <c r="C111" s="24">
        <v>50</v>
      </c>
    </row>
    <row r="112" spans="1:8" x14ac:dyDescent="0.3">
      <c r="A112" s="26">
        <v>45940</v>
      </c>
      <c r="B112" s="27" t="s">
        <v>4</v>
      </c>
      <c r="C112" s="24">
        <v>-40</v>
      </c>
    </row>
    <row r="113" spans="1:8" x14ac:dyDescent="0.3">
      <c r="A113" s="26">
        <v>45954</v>
      </c>
      <c r="B113" s="27" t="s">
        <v>4</v>
      </c>
      <c r="C113" s="24">
        <v>-20</v>
      </c>
    </row>
    <row r="114" spans="1:8" x14ac:dyDescent="0.3">
      <c r="A114" s="26">
        <v>45968</v>
      </c>
      <c r="B114" s="27" t="s">
        <v>4</v>
      </c>
      <c r="C114" s="24">
        <v>-20</v>
      </c>
    </row>
    <row r="115" spans="1:8" x14ac:dyDescent="0.3">
      <c r="A115" s="26">
        <v>45975</v>
      </c>
      <c r="B115" s="27" t="s">
        <v>4</v>
      </c>
      <c r="C115" s="24">
        <v>-20</v>
      </c>
    </row>
    <row r="116" spans="1:8" x14ac:dyDescent="0.3">
      <c r="A116" s="26">
        <v>45978</v>
      </c>
      <c r="B116" s="27" t="s">
        <v>9</v>
      </c>
      <c r="C116" s="24">
        <v>12.2</v>
      </c>
    </row>
    <row r="117" spans="1:8" x14ac:dyDescent="0.3">
      <c r="A117" s="26">
        <v>45982</v>
      </c>
      <c r="B117" s="27" t="s">
        <v>4</v>
      </c>
      <c r="C117" s="24">
        <v>-20</v>
      </c>
    </row>
    <row r="118" spans="1:8" x14ac:dyDescent="0.3">
      <c r="A118" s="26">
        <v>45982</v>
      </c>
      <c r="B118" s="27" t="s">
        <v>1</v>
      </c>
      <c r="C118" s="24">
        <v>28</v>
      </c>
    </row>
    <row r="119" spans="1:8" x14ac:dyDescent="0.3">
      <c r="A119" s="26">
        <v>45989</v>
      </c>
      <c r="B119" s="27" t="s">
        <v>4</v>
      </c>
      <c r="C119" s="24">
        <v>-20</v>
      </c>
    </row>
    <row r="120" spans="1:8" x14ac:dyDescent="0.3">
      <c r="A120" s="26">
        <v>45996</v>
      </c>
      <c r="B120" s="27" t="s">
        <v>4</v>
      </c>
      <c r="C120" s="24">
        <v>-20</v>
      </c>
    </row>
    <row r="121" spans="1:8" x14ac:dyDescent="0.3">
      <c r="A121" s="26">
        <v>46001</v>
      </c>
      <c r="B121" s="27" t="s">
        <v>1</v>
      </c>
      <c r="C121" s="24">
        <v>49.58</v>
      </c>
      <c r="H121" s="17" t="s">
        <v>381</v>
      </c>
    </row>
    <row r="122" spans="1:8" x14ac:dyDescent="0.3">
      <c r="A122" s="26">
        <v>46006</v>
      </c>
      <c r="B122" s="27" t="s">
        <v>4</v>
      </c>
      <c r="C122" s="24">
        <v>-48.01</v>
      </c>
      <c r="H122" s="17" t="s">
        <v>381</v>
      </c>
    </row>
    <row r="123" spans="1:8" x14ac:dyDescent="0.3">
      <c r="A123" s="26">
        <v>46010</v>
      </c>
      <c r="B123" s="27" t="s">
        <v>4</v>
      </c>
      <c r="C123" s="24">
        <v>-20</v>
      </c>
    </row>
    <row r="124" spans="1:8" x14ac:dyDescent="0.3">
      <c r="A124" s="26">
        <v>46010</v>
      </c>
      <c r="B124" s="27" t="s">
        <v>1</v>
      </c>
      <c r="C124" s="24">
        <v>74.7</v>
      </c>
      <c r="H124" s="17" t="s">
        <v>381</v>
      </c>
    </row>
    <row r="125" spans="1:8" x14ac:dyDescent="0.3">
      <c r="A125" s="26">
        <v>46017</v>
      </c>
      <c r="B125" s="27" t="s">
        <v>4</v>
      </c>
      <c r="C125" s="24">
        <v>-20</v>
      </c>
    </row>
    <row r="126" spans="1:8" x14ac:dyDescent="0.3">
      <c r="A126" s="26">
        <v>46020</v>
      </c>
      <c r="B126" s="27" t="s">
        <v>4</v>
      </c>
      <c r="C126" s="24">
        <v>86.4</v>
      </c>
      <c r="H126" s="17" t="s">
        <v>381</v>
      </c>
    </row>
    <row r="127" spans="1:8" x14ac:dyDescent="0.3">
      <c r="A127" s="26">
        <v>46021</v>
      </c>
      <c r="B127" s="27" t="s">
        <v>1</v>
      </c>
      <c r="C127" s="24">
        <v>5.41</v>
      </c>
      <c r="D127" s="25">
        <v>2</v>
      </c>
    </row>
    <row r="128" spans="1:8" x14ac:dyDescent="0.3">
      <c r="A128" s="26">
        <v>46024</v>
      </c>
      <c r="B128" s="27" t="s">
        <v>4</v>
      </c>
      <c r="C128" s="24">
        <v>-99.55</v>
      </c>
      <c r="H128" s="17" t="s">
        <v>381</v>
      </c>
    </row>
    <row r="129" spans="1:3" x14ac:dyDescent="0.3">
      <c r="A129" s="26">
        <v>46028</v>
      </c>
      <c r="B129" s="27" t="s">
        <v>1</v>
      </c>
      <c r="C129" s="24">
        <v>8.5500000000000007</v>
      </c>
    </row>
    <row r="130" spans="1:3" x14ac:dyDescent="0.3">
      <c r="A130" s="26">
        <v>46031</v>
      </c>
      <c r="B130" s="27" t="s">
        <v>4</v>
      </c>
      <c r="C130" s="24">
        <v>-20</v>
      </c>
    </row>
    <row r="131" spans="1:3" x14ac:dyDescent="0.3">
      <c r="A131" s="26">
        <v>46050</v>
      </c>
      <c r="B131" s="27" t="s">
        <v>1</v>
      </c>
      <c r="C131" s="24">
        <v>12.53</v>
      </c>
    </row>
  </sheetData>
  <mergeCells count="1">
    <mergeCell ref="A3:B3"/>
  </mergeCells>
  <pageMargins left="0.7" right="0.7" top="0.75" bottom="0.75" header="0.3" footer="0.3"/>
  <pageSetup paperSize="5" scale="80" orientation="portrait" r:id="rId1"/>
  <legacyDrawing r:id="rId2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FAEAB-9E02-4970-AF94-43497E2B9EE1}">
  <sheetPr codeName="Hoja184"/>
  <dimension ref="A1:H86"/>
  <sheetViews>
    <sheetView view="pageBreakPreview" zoomScale="80" zoomScaleNormal="100" zoomScaleSheetLayoutView="80" workbookViewId="0">
      <selection activeCell="D33" sqref="D3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289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12.59</v>
      </c>
      <c r="D3" s="20">
        <f>SUM(D$4:D$1048576)</f>
        <v>2</v>
      </c>
      <c r="E3" s="20">
        <f>SUM(E$5:E$1048576)</f>
        <v>-2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45828</v>
      </c>
      <c r="B5" s="32" t="s">
        <v>21</v>
      </c>
      <c r="C5" s="24">
        <v>6.05</v>
      </c>
      <c r="D5" s="30"/>
      <c r="E5" s="30"/>
      <c r="F5" s="30"/>
      <c r="G5" s="22"/>
    </row>
    <row r="6" spans="1:8" hidden="1" x14ac:dyDescent="0.3">
      <c r="A6" s="21">
        <v>45849</v>
      </c>
      <c r="B6" s="27" t="s">
        <v>7</v>
      </c>
      <c r="C6" s="24">
        <v>-6.57</v>
      </c>
    </row>
    <row r="7" spans="1:8" hidden="1" x14ac:dyDescent="0.3">
      <c r="A7" s="21">
        <v>45912</v>
      </c>
      <c r="B7" s="27" t="s">
        <v>7</v>
      </c>
      <c r="C7" s="24">
        <v>-19.350000000000001</v>
      </c>
    </row>
    <row r="8" spans="1:8" hidden="1" x14ac:dyDescent="0.3">
      <c r="A8" s="21">
        <v>45912</v>
      </c>
      <c r="B8" s="32" t="s">
        <v>1</v>
      </c>
      <c r="C8" s="24">
        <v>15.85</v>
      </c>
      <c r="D8" s="25">
        <v>1</v>
      </c>
    </row>
    <row r="9" spans="1:8" hidden="1" x14ac:dyDescent="0.3">
      <c r="A9" s="21">
        <v>45912</v>
      </c>
      <c r="B9" s="27" t="s">
        <v>1</v>
      </c>
      <c r="C9" s="24">
        <v>20.8</v>
      </c>
    </row>
    <row r="10" spans="1:8" hidden="1" x14ac:dyDescent="0.3">
      <c r="A10" s="26">
        <v>45919</v>
      </c>
      <c r="B10" s="27" t="s">
        <v>7</v>
      </c>
      <c r="C10" s="24">
        <v>-16.13</v>
      </c>
    </row>
    <row r="11" spans="1:8" hidden="1" x14ac:dyDescent="0.3">
      <c r="A11" s="26">
        <v>45933</v>
      </c>
      <c r="B11" s="27" t="s">
        <v>7</v>
      </c>
      <c r="C11" s="24">
        <v>-26.92</v>
      </c>
    </row>
    <row r="12" spans="1:8" hidden="1" x14ac:dyDescent="0.3">
      <c r="A12" s="26">
        <v>45933</v>
      </c>
      <c r="B12" s="32" t="s">
        <v>1</v>
      </c>
      <c r="C12" s="24">
        <v>15.85</v>
      </c>
    </row>
    <row r="13" spans="1:8" hidden="1" x14ac:dyDescent="0.3">
      <c r="A13" s="26">
        <v>45933</v>
      </c>
      <c r="B13" s="27" t="s">
        <v>1</v>
      </c>
      <c r="C13" s="24">
        <v>20.8</v>
      </c>
      <c r="D13" s="25">
        <v>1</v>
      </c>
    </row>
    <row r="14" spans="1:8" hidden="1" x14ac:dyDescent="0.3">
      <c r="A14" s="26">
        <v>45940</v>
      </c>
      <c r="B14" s="27" t="s">
        <v>7</v>
      </c>
      <c r="C14" s="24">
        <v>-10.39</v>
      </c>
    </row>
    <row r="15" spans="1:8" hidden="1" x14ac:dyDescent="0.3">
      <c r="A15" s="26">
        <v>45954</v>
      </c>
      <c r="B15" s="27" t="s">
        <v>1</v>
      </c>
      <c r="C15" s="24">
        <v>23</v>
      </c>
    </row>
    <row r="16" spans="1:8" hidden="1" x14ac:dyDescent="0.3">
      <c r="A16" s="26">
        <v>45954</v>
      </c>
      <c r="B16" s="27" t="s">
        <v>7</v>
      </c>
      <c r="C16" s="24">
        <v>-11.11</v>
      </c>
    </row>
    <row r="17" spans="1:5" hidden="1" x14ac:dyDescent="0.3">
      <c r="A17" s="26">
        <v>45961</v>
      </c>
      <c r="B17" s="27" t="s">
        <v>7</v>
      </c>
      <c r="C17" s="24">
        <v>-11.89</v>
      </c>
      <c r="E17" s="25">
        <v>-2</v>
      </c>
    </row>
    <row r="18" spans="1:5" x14ac:dyDescent="0.3">
      <c r="A18" s="26">
        <v>45975</v>
      </c>
      <c r="B18" s="27" t="s">
        <v>7</v>
      </c>
      <c r="C18" s="24">
        <v>-12.5</v>
      </c>
    </row>
    <row r="19" spans="1:5" x14ac:dyDescent="0.3">
      <c r="A19" s="26">
        <v>45975</v>
      </c>
      <c r="B19" s="27" t="s">
        <v>1</v>
      </c>
      <c r="C19" s="24">
        <v>23</v>
      </c>
    </row>
    <row r="20" spans="1:5" x14ac:dyDescent="0.3">
      <c r="A20" s="26">
        <v>45982</v>
      </c>
      <c r="B20" s="27" t="s">
        <v>7</v>
      </c>
      <c r="C20" s="24">
        <v>-17.850000000000001</v>
      </c>
    </row>
    <row r="21" spans="1:5" x14ac:dyDescent="0.3">
      <c r="A21" s="26">
        <v>45982</v>
      </c>
      <c r="B21" s="27" t="s">
        <v>1</v>
      </c>
      <c r="C21" s="24">
        <v>23</v>
      </c>
    </row>
    <row r="22" spans="1:5" x14ac:dyDescent="0.3">
      <c r="A22" s="26">
        <v>45989</v>
      </c>
      <c r="B22" s="27" t="s">
        <v>7</v>
      </c>
      <c r="C22" s="24">
        <v>-17.86</v>
      </c>
    </row>
    <row r="23" spans="1:5" x14ac:dyDescent="0.3">
      <c r="A23" s="26">
        <v>45989</v>
      </c>
      <c r="B23" s="27" t="s">
        <v>1</v>
      </c>
      <c r="C23" s="24">
        <v>23</v>
      </c>
    </row>
    <row r="24" spans="1:5" x14ac:dyDescent="0.3">
      <c r="A24" s="26">
        <v>46003</v>
      </c>
      <c r="B24" s="27" t="s">
        <v>1</v>
      </c>
      <c r="C24" s="24">
        <v>39.380000000000003</v>
      </c>
      <c r="D24" s="25">
        <v>1</v>
      </c>
    </row>
    <row r="25" spans="1:5" x14ac:dyDescent="0.3">
      <c r="A25" s="26">
        <v>46007</v>
      </c>
      <c r="B25" s="27" t="s">
        <v>7</v>
      </c>
      <c r="C25" s="24">
        <v>-35.71</v>
      </c>
    </row>
    <row r="26" spans="1:5" x14ac:dyDescent="0.3">
      <c r="A26" s="26">
        <v>46010</v>
      </c>
      <c r="B26" s="27" t="s">
        <v>7</v>
      </c>
      <c r="C26" s="24">
        <v>-24.46</v>
      </c>
    </row>
    <row r="27" spans="1:5" x14ac:dyDescent="0.3">
      <c r="A27" s="26">
        <v>46017</v>
      </c>
      <c r="B27" s="27" t="s">
        <v>1</v>
      </c>
      <c r="C27" s="24">
        <v>23</v>
      </c>
    </row>
    <row r="28" spans="1:5" x14ac:dyDescent="0.3">
      <c r="A28" s="26">
        <v>46031</v>
      </c>
      <c r="B28" s="27" t="s">
        <v>7</v>
      </c>
      <c r="C28" s="24">
        <v>-29.78</v>
      </c>
    </row>
    <row r="29" spans="1:5" x14ac:dyDescent="0.3">
      <c r="A29" s="26">
        <v>46031</v>
      </c>
      <c r="B29" s="27" t="s">
        <v>1</v>
      </c>
      <c r="C29" s="24">
        <v>16.38</v>
      </c>
    </row>
    <row r="30" spans="1:5" x14ac:dyDescent="0.3">
      <c r="A30" s="26">
        <v>46038</v>
      </c>
      <c r="B30" s="27" t="s">
        <v>7</v>
      </c>
      <c r="C30" s="24">
        <v>-20</v>
      </c>
    </row>
    <row r="31" spans="1:5" x14ac:dyDescent="0.3">
      <c r="A31" s="26">
        <v>46038</v>
      </c>
      <c r="B31" s="27" t="s">
        <v>1</v>
      </c>
      <c r="C31" s="24">
        <v>23</v>
      </c>
    </row>
    <row r="32" spans="1:5" x14ac:dyDescent="0.3">
      <c r="A32" s="26">
        <v>46052</v>
      </c>
      <c r="D32" s="25">
        <v>-1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95D5-A1EF-45AF-85A2-F48FF3A2BEB8}">
  <dimension ref="A1:I86"/>
  <sheetViews>
    <sheetView view="pageBreakPreview" topLeftCell="A46" zoomScale="80" zoomScaleNormal="100" zoomScaleSheetLayoutView="80" workbookViewId="0">
      <selection activeCell="C65" sqref="C6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368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10.029999999999994</v>
      </c>
      <c r="D3" s="20">
        <f>SUM(D$4:D$1048576)</f>
        <v>0</v>
      </c>
      <c r="E3" s="20">
        <f>SUM(E$5:E$1048576)</f>
        <v>-1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45854</v>
      </c>
      <c r="B5" s="32" t="s">
        <v>21</v>
      </c>
      <c r="C5" s="24">
        <v>15.85</v>
      </c>
      <c r="D5" s="30">
        <v>1</v>
      </c>
      <c r="E5" s="30"/>
      <c r="F5" s="30"/>
      <c r="G5" s="22"/>
    </row>
    <row r="6" spans="1:8" x14ac:dyDescent="0.3">
      <c r="A6" s="21">
        <v>45861</v>
      </c>
      <c r="B6" s="27" t="s">
        <v>4</v>
      </c>
      <c r="C6" s="24">
        <v>-15.85</v>
      </c>
    </row>
    <row r="7" spans="1:8" x14ac:dyDescent="0.3">
      <c r="A7" s="21">
        <v>45861</v>
      </c>
      <c r="B7" s="27" t="s">
        <v>4</v>
      </c>
      <c r="C7" s="24">
        <v>-6</v>
      </c>
    </row>
    <row r="8" spans="1:8" x14ac:dyDescent="0.3">
      <c r="A8" s="21">
        <v>45861</v>
      </c>
      <c r="B8" s="34" t="s">
        <v>1</v>
      </c>
      <c r="C8" s="24">
        <v>25.45</v>
      </c>
    </row>
    <row r="9" spans="1:8" x14ac:dyDescent="0.3">
      <c r="A9" s="26">
        <v>45863</v>
      </c>
      <c r="B9" s="27" t="s">
        <v>4</v>
      </c>
      <c r="C9" s="24">
        <v>-25.45</v>
      </c>
    </row>
    <row r="10" spans="1:8" x14ac:dyDescent="0.3">
      <c r="A10" s="26">
        <v>45875</v>
      </c>
      <c r="B10" s="27" t="s">
        <v>402</v>
      </c>
      <c r="C10" s="24">
        <v>6</v>
      </c>
      <c r="D10" s="25">
        <v>-1</v>
      </c>
    </row>
    <row r="11" spans="1:8" x14ac:dyDescent="0.3">
      <c r="A11" s="26">
        <v>45875</v>
      </c>
      <c r="B11" s="32" t="s">
        <v>21</v>
      </c>
      <c r="C11" s="24">
        <v>9</v>
      </c>
    </row>
    <row r="12" spans="1:8" x14ac:dyDescent="0.3">
      <c r="A12" s="26">
        <v>45889</v>
      </c>
      <c r="B12" s="27" t="s">
        <v>4</v>
      </c>
      <c r="C12" s="24">
        <v>-8.93</v>
      </c>
    </row>
    <row r="13" spans="1:8" x14ac:dyDescent="0.3">
      <c r="A13" s="26">
        <v>45889</v>
      </c>
      <c r="B13" s="32" t="s">
        <v>21</v>
      </c>
      <c r="C13" s="24">
        <v>4.5</v>
      </c>
    </row>
    <row r="14" spans="1:8" x14ac:dyDescent="0.3">
      <c r="A14" s="26">
        <v>45889</v>
      </c>
      <c r="B14" s="34" t="s">
        <v>1</v>
      </c>
      <c r="C14" s="24">
        <v>31.89</v>
      </c>
    </row>
    <row r="15" spans="1:8" x14ac:dyDescent="0.3">
      <c r="A15" s="26">
        <v>45896</v>
      </c>
      <c r="B15" s="27" t="s">
        <v>7</v>
      </c>
      <c r="C15" s="24">
        <v>-20</v>
      </c>
    </row>
    <row r="16" spans="1:8" x14ac:dyDescent="0.3">
      <c r="A16" s="26">
        <v>45896</v>
      </c>
      <c r="B16" s="32" t="s">
        <v>21</v>
      </c>
      <c r="C16" s="24">
        <v>9</v>
      </c>
    </row>
    <row r="17" spans="1:5" x14ac:dyDescent="0.3">
      <c r="A17" s="26">
        <v>45896</v>
      </c>
      <c r="B17" s="34" t="s">
        <v>1</v>
      </c>
      <c r="C17" s="24">
        <v>3.75</v>
      </c>
    </row>
    <row r="18" spans="1:5" x14ac:dyDescent="0.3">
      <c r="A18" s="26">
        <v>45901</v>
      </c>
      <c r="B18" s="27" t="s">
        <v>4</v>
      </c>
      <c r="C18" s="24">
        <v>-28.3</v>
      </c>
    </row>
    <row r="19" spans="1:5" x14ac:dyDescent="0.3">
      <c r="A19" s="26">
        <v>45904</v>
      </c>
      <c r="B19" s="34" t="s">
        <v>1</v>
      </c>
      <c r="C19" s="24">
        <v>32.24</v>
      </c>
    </row>
    <row r="20" spans="1:5" x14ac:dyDescent="0.3">
      <c r="A20" s="26">
        <v>45910</v>
      </c>
      <c r="B20" s="27" t="s">
        <v>7</v>
      </c>
      <c r="C20" s="24">
        <v>-10</v>
      </c>
    </row>
    <row r="21" spans="1:5" x14ac:dyDescent="0.3">
      <c r="A21" s="26">
        <v>45910</v>
      </c>
      <c r="B21" s="32" t="s">
        <v>21</v>
      </c>
      <c r="C21" s="24">
        <v>13.5</v>
      </c>
    </row>
    <row r="22" spans="1:5" x14ac:dyDescent="0.3">
      <c r="A22" s="26">
        <v>45910</v>
      </c>
      <c r="B22" s="34" t="s">
        <v>1</v>
      </c>
      <c r="C22" s="24">
        <v>3.96</v>
      </c>
    </row>
    <row r="23" spans="1:5" x14ac:dyDescent="0.3">
      <c r="A23" s="26">
        <v>45917</v>
      </c>
      <c r="B23" s="27" t="s">
        <v>4</v>
      </c>
      <c r="C23" s="24">
        <v>-39.700000000000003</v>
      </c>
    </row>
    <row r="24" spans="1:5" x14ac:dyDescent="0.3">
      <c r="A24" s="26">
        <v>45917</v>
      </c>
      <c r="B24" s="32" t="s">
        <v>21</v>
      </c>
      <c r="C24" s="24">
        <v>24.85</v>
      </c>
    </row>
    <row r="25" spans="1:5" x14ac:dyDescent="0.3">
      <c r="A25" s="26">
        <v>45917</v>
      </c>
      <c r="B25" s="34" t="s">
        <v>1</v>
      </c>
      <c r="C25" s="24">
        <v>41.96</v>
      </c>
    </row>
    <row r="26" spans="1:5" x14ac:dyDescent="0.3">
      <c r="A26" s="26">
        <v>45918</v>
      </c>
      <c r="B26" s="27" t="s">
        <v>4</v>
      </c>
      <c r="C26" s="24">
        <v>-33.81</v>
      </c>
    </row>
    <row r="27" spans="1:5" x14ac:dyDescent="0.3">
      <c r="A27" s="26">
        <v>45924</v>
      </c>
      <c r="B27" s="27" t="s">
        <v>7</v>
      </c>
      <c r="C27" s="24">
        <v>-33.94</v>
      </c>
    </row>
    <row r="28" spans="1:5" x14ac:dyDescent="0.3">
      <c r="A28" s="26">
        <v>45924</v>
      </c>
      <c r="B28" s="32" t="s">
        <v>21</v>
      </c>
      <c r="C28" s="24">
        <v>9</v>
      </c>
    </row>
    <row r="29" spans="1:5" x14ac:dyDescent="0.3">
      <c r="A29" s="26">
        <v>45924</v>
      </c>
      <c r="B29" s="34" t="s">
        <v>1</v>
      </c>
      <c r="C29" s="24">
        <v>11.61</v>
      </c>
    </row>
    <row r="30" spans="1:5" x14ac:dyDescent="0.3">
      <c r="A30" s="26">
        <v>45931</v>
      </c>
      <c r="B30" s="27" t="s">
        <v>4</v>
      </c>
      <c r="C30" s="24">
        <v>-20.059999999999999</v>
      </c>
    </row>
    <row r="31" spans="1:5" x14ac:dyDescent="0.3">
      <c r="A31" s="26">
        <v>45931</v>
      </c>
      <c r="B31" s="32" t="s">
        <v>21</v>
      </c>
      <c r="C31" s="24">
        <v>7.5</v>
      </c>
      <c r="E31" s="25">
        <v>-1</v>
      </c>
    </row>
    <row r="32" spans="1:5" x14ac:dyDescent="0.3">
      <c r="A32" s="26">
        <v>45931</v>
      </c>
      <c r="B32" s="34" t="s">
        <v>1</v>
      </c>
      <c r="C32" s="24">
        <v>12.85</v>
      </c>
    </row>
    <row r="33" spans="1:9" x14ac:dyDescent="0.3">
      <c r="A33" s="26">
        <v>45945</v>
      </c>
      <c r="B33" s="27" t="s">
        <v>7</v>
      </c>
      <c r="C33" s="24">
        <v>-20.61</v>
      </c>
    </row>
    <row r="34" spans="1:9" x14ac:dyDescent="0.3">
      <c r="A34" s="26">
        <v>45945</v>
      </c>
      <c r="B34" s="32" t="s">
        <v>21</v>
      </c>
      <c r="C34" s="24">
        <v>18.84</v>
      </c>
    </row>
    <row r="35" spans="1:9" x14ac:dyDescent="0.3">
      <c r="A35" s="26">
        <v>45945</v>
      </c>
      <c r="B35" s="34" t="s">
        <v>1</v>
      </c>
      <c r="C35" s="24">
        <v>41.27</v>
      </c>
    </row>
    <row r="36" spans="1:9" x14ac:dyDescent="0.3">
      <c r="A36" s="26">
        <v>45951</v>
      </c>
      <c r="B36" s="27" t="s">
        <v>4</v>
      </c>
      <c r="C36" s="24">
        <v>-39.47</v>
      </c>
    </row>
    <row r="37" spans="1:9" x14ac:dyDescent="0.3">
      <c r="A37" s="26">
        <v>45959</v>
      </c>
      <c r="B37" s="32" t="s">
        <v>21</v>
      </c>
      <c r="C37" s="24">
        <v>14.34</v>
      </c>
    </row>
    <row r="38" spans="1:9" x14ac:dyDescent="0.3">
      <c r="A38" s="26">
        <v>45959</v>
      </c>
      <c r="B38" s="34" t="s">
        <v>1</v>
      </c>
      <c r="C38" s="24">
        <v>24.39</v>
      </c>
    </row>
    <row r="39" spans="1:9" x14ac:dyDescent="0.3">
      <c r="A39" s="26">
        <v>45961</v>
      </c>
      <c r="B39" s="27" t="s">
        <v>7</v>
      </c>
      <c r="C39" s="24">
        <v>-20.92</v>
      </c>
    </row>
    <row r="40" spans="1:9" x14ac:dyDescent="0.3">
      <c r="A40" s="26">
        <v>45966</v>
      </c>
      <c r="B40" s="27" t="s">
        <v>7</v>
      </c>
      <c r="C40" s="24">
        <v>-38.729999999999997</v>
      </c>
    </row>
    <row r="41" spans="1:9" x14ac:dyDescent="0.3">
      <c r="A41" s="26">
        <v>45966</v>
      </c>
      <c r="B41" s="32" t="s">
        <v>21</v>
      </c>
      <c r="C41" s="24">
        <v>30.72</v>
      </c>
      <c r="I41" s="18" t="s">
        <v>528</v>
      </c>
    </row>
    <row r="42" spans="1:9" x14ac:dyDescent="0.3">
      <c r="A42" s="26">
        <v>45966</v>
      </c>
      <c r="B42" s="34" t="s">
        <v>1</v>
      </c>
      <c r="C42" s="24">
        <v>14.4</v>
      </c>
    </row>
    <row r="43" spans="1:9" x14ac:dyDescent="0.3">
      <c r="A43" s="26">
        <v>45973</v>
      </c>
      <c r="B43" s="27" t="s">
        <v>7</v>
      </c>
      <c r="C43" s="24">
        <v>-21.43</v>
      </c>
    </row>
    <row r="44" spans="1:9" x14ac:dyDescent="0.3">
      <c r="A44" s="26">
        <v>45973</v>
      </c>
      <c r="B44" s="27" t="s">
        <v>1</v>
      </c>
      <c r="C44" s="24">
        <v>24.2</v>
      </c>
    </row>
    <row r="45" spans="1:9" x14ac:dyDescent="0.3">
      <c r="A45" s="26">
        <v>45980</v>
      </c>
      <c r="B45" s="27" t="s">
        <v>4</v>
      </c>
      <c r="C45" s="24">
        <v>-33.65</v>
      </c>
    </row>
    <row r="46" spans="1:9" x14ac:dyDescent="0.3">
      <c r="A46" s="26">
        <v>45980</v>
      </c>
      <c r="B46" s="27" t="s">
        <v>4</v>
      </c>
      <c r="C46" s="24">
        <v>-18.37</v>
      </c>
    </row>
    <row r="47" spans="1:9" x14ac:dyDescent="0.3">
      <c r="A47" s="26">
        <v>45980</v>
      </c>
      <c r="B47" s="27" t="s">
        <v>7</v>
      </c>
      <c r="C47" s="24">
        <v>-14.28</v>
      </c>
    </row>
    <row r="48" spans="1:9" x14ac:dyDescent="0.3">
      <c r="A48" s="26">
        <v>45980</v>
      </c>
      <c r="B48" s="27" t="s">
        <v>1</v>
      </c>
      <c r="C48" s="24">
        <v>30.99</v>
      </c>
    </row>
    <row r="49" spans="1:3" x14ac:dyDescent="0.3">
      <c r="A49" s="26">
        <v>45994</v>
      </c>
      <c r="B49" s="27" t="s">
        <v>7</v>
      </c>
      <c r="C49" s="24">
        <v>-12.64</v>
      </c>
    </row>
    <row r="50" spans="1:3" x14ac:dyDescent="0.3">
      <c r="A50" s="26">
        <v>45994</v>
      </c>
      <c r="B50" s="27" t="s">
        <v>1</v>
      </c>
      <c r="C50" s="24">
        <v>48.9</v>
      </c>
    </row>
    <row r="51" spans="1:3" x14ac:dyDescent="0.3">
      <c r="A51" s="26">
        <v>46001</v>
      </c>
      <c r="B51" s="27" t="s">
        <v>4</v>
      </c>
      <c r="C51" s="24">
        <v>-11.06</v>
      </c>
    </row>
    <row r="52" spans="1:3" x14ac:dyDescent="0.3">
      <c r="A52" s="26">
        <v>46001</v>
      </c>
      <c r="B52" s="27" t="s">
        <v>7</v>
      </c>
      <c r="C52" s="24">
        <v>-21.42</v>
      </c>
    </row>
    <row r="53" spans="1:3" x14ac:dyDescent="0.3">
      <c r="A53" s="26">
        <v>46001</v>
      </c>
      <c r="B53" s="27" t="s">
        <v>1</v>
      </c>
      <c r="C53" s="24">
        <v>47.39</v>
      </c>
    </row>
    <row r="54" spans="1:3" x14ac:dyDescent="0.3">
      <c r="A54" s="26">
        <v>46002</v>
      </c>
      <c r="B54" s="27" t="s">
        <v>4</v>
      </c>
      <c r="C54" s="24">
        <v>-25.65</v>
      </c>
    </row>
    <row r="55" spans="1:3" x14ac:dyDescent="0.3">
      <c r="A55" s="26">
        <v>46008</v>
      </c>
      <c r="B55" s="27" t="s">
        <v>1</v>
      </c>
      <c r="C55" s="24">
        <v>27.07</v>
      </c>
    </row>
    <row r="56" spans="1:3" x14ac:dyDescent="0.3">
      <c r="A56" s="26">
        <v>46010</v>
      </c>
      <c r="B56" s="27" t="s">
        <v>4</v>
      </c>
      <c r="C56" s="24">
        <v>-28.32</v>
      </c>
    </row>
    <row r="57" spans="1:3" x14ac:dyDescent="0.3">
      <c r="A57" s="26">
        <v>46013</v>
      </c>
      <c r="B57" s="27" t="s">
        <v>4</v>
      </c>
      <c r="C57" s="24">
        <v>-10.51</v>
      </c>
    </row>
    <row r="58" spans="1:3" x14ac:dyDescent="0.3">
      <c r="A58" s="26">
        <v>46036</v>
      </c>
      <c r="B58" s="27" t="s">
        <v>4</v>
      </c>
      <c r="C58" s="24">
        <v>-21.43</v>
      </c>
    </row>
    <row r="59" spans="1:3" x14ac:dyDescent="0.3">
      <c r="A59" s="26">
        <v>46036</v>
      </c>
      <c r="B59" s="27" t="s">
        <v>7</v>
      </c>
      <c r="C59" s="24">
        <v>-5</v>
      </c>
    </row>
    <row r="60" spans="1:3" x14ac:dyDescent="0.3">
      <c r="A60" s="26">
        <v>46036</v>
      </c>
      <c r="B60" s="27" t="s">
        <v>1</v>
      </c>
      <c r="C60" s="24">
        <v>64.489999999999995</v>
      </c>
    </row>
    <row r="61" spans="1:3" x14ac:dyDescent="0.3">
      <c r="A61" s="26">
        <v>46043</v>
      </c>
      <c r="B61" s="27" t="s">
        <v>4</v>
      </c>
      <c r="C61" s="24">
        <v>-60</v>
      </c>
    </row>
    <row r="62" spans="1:3" x14ac:dyDescent="0.3">
      <c r="A62" s="26">
        <v>46049</v>
      </c>
      <c r="B62" s="27" t="s">
        <v>4</v>
      </c>
      <c r="C62" s="24">
        <v>-4.0599999999999996</v>
      </c>
    </row>
    <row r="63" spans="1:3" x14ac:dyDescent="0.3">
      <c r="A63" s="26">
        <v>46050</v>
      </c>
      <c r="B63" s="27" t="s">
        <v>1</v>
      </c>
      <c r="C63" s="24">
        <v>45.46</v>
      </c>
    </row>
    <row r="64" spans="1:3" x14ac:dyDescent="0.3">
      <c r="A64" s="26">
        <v>46051</v>
      </c>
      <c r="B64" s="27" t="s">
        <v>4</v>
      </c>
      <c r="C64" s="24">
        <v>-35.75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0445F-2E89-4E3A-8C9D-B85912550620}">
  <dimension ref="A1:H21"/>
  <sheetViews>
    <sheetView view="pageBreakPreview" zoomScale="80" zoomScaleNormal="100" zoomScaleSheetLayoutView="80" workbookViewId="0">
      <selection activeCell="C16" sqref="C16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388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45869</v>
      </c>
      <c r="B5" s="27" t="s">
        <v>4</v>
      </c>
      <c r="C5" s="24">
        <v>-115.21</v>
      </c>
      <c r="D5" s="30"/>
      <c r="E5" s="30"/>
      <c r="F5" s="30"/>
      <c r="G5" s="22"/>
    </row>
    <row r="6" spans="1:8" x14ac:dyDescent="0.3">
      <c r="A6" s="21">
        <v>45868</v>
      </c>
      <c r="B6" s="34" t="s">
        <v>21</v>
      </c>
      <c r="C6" s="24">
        <v>115.8</v>
      </c>
    </row>
    <row r="7" spans="1:8" x14ac:dyDescent="0.3">
      <c r="A7" s="21">
        <v>45875</v>
      </c>
      <c r="B7" s="34" t="s">
        <v>21</v>
      </c>
      <c r="C7" s="24">
        <v>39.6</v>
      </c>
    </row>
    <row r="8" spans="1:8" x14ac:dyDescent="0.3">
      <c r="A8" s="26">
        <v>45880</v>
      </c>
      <c r="B8" s="27" t="s">
        <v>4</v>
      </c>
      <c r="C8" s="24">
        <v>-39.6</v>
      </c>
    </row>
    <row r="9" spans="1:8" x14ac:dyDescent="0.3">
      <c r="A9" s="26">
        <v>45924</v>
      </c>
      <c r="B9" s="34" t="s">
        <v>21</v>
      </c>
      <c r="C9" s="24">
        <v>203.6</v>
      </c>
    </row>
    <row r="10" spans="1:8" x14ac:dyDescent="0.3">
      <c r="A10" s="26">
        <v>45925</v>
      </c>
      <c r="B10" s="27" t="s">
        <v>4</v>
      </c>
      <c r="C10" s="24">
        <v>-203.6</v>
      </c>
    </row>
    <row r="11" spans="1:8" x14ac:dyDescent="0.3">
      <c r="A11" s="26">
        <v>45931</v>
      </c>
      <c r="B11" s="34" t="s">
        <v>1</v>
      </c>
      <c r="C11" s="24">
        <v>64.2</v>
      </c>
    </row>
    <row r="12" spans="1:8" x14ac:dyDescent="0.3">
      <c r="A12" s="26">
        <v>45932</v>
      </c>
      <c r="B12" s="31" t="s">
        <v>4</v>
      </c>
      <c r="C12" s="24">
        <v>-64.790000000000006</v>
      </c>
    </row>
    <row r="13" spans="1:8" x14ac:dyDescent="0.3">
      <c r="A13" s="26">
        <v>46029</v>
      </c>
      <c r="B13" s="27" t="s">
        <v>4</v>
      </c>
      <c r="C13" s="24">
        <v>-101.6</v>
      </c>
    </row>
    <row r="14" spans="1:8" x14ac:dyDescent="0.3">
      <c r="A14" s="26">
        <v>46029</v>
      </c>
      <c r="B14" s="27" t="s">
        <v>4</v>
      </c>
      <c r="C14" s="24">
        <v>-82.2</v>
      </c>
    </row>
    <row r="15" spans="1:8" x14ac:dyDescent="0.3">
      <c r="A15" s="26">
        <v>46029</v>
      </c>
      <c r="B15" s="27" t="s">
        <v>1</v>
      </c>
      <c r="C15" s="24">
        <v>183.8</v>
      </c>
    </row>
    <row r="21" spans="2:2" x14ac:dyDescent="0.3">
      <c r="B21" s="34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521B4-5748-4B22-8626-D880A254BF54}">
  <sheetPr codeName="Hoja118"/>
  <dimension ref="A1:H87"/>
  <sheetViews>
    <sheetView view="pageBreakPreview" zoomScale="80" zoomScaleNormal="100" zoomScaleSheetLayoutView="80" workbookViewId="0">
      <selection activeCell="C88" sqref="C8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195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-8.5265128291212022E-14</v>
      </c>
      <c r="D3" s="20">
        <f>SUM(D$4:D$1048576)</f>
        <v>0</v>
      </c>
      <c r="E3" s="20">
        <f>SUM(E$5:E$1048576)</f>
        <v>0</v>
      </c>
      <c r="F3" s="20">
        <f>SUM(F$5:F$1048576)</f>
        <v>1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45820</v>
      </c>
      <c r="B5" s="32" t="s">
        <v>21</v>
      </c>
      <c r="C5" s="24">
        <v>23.1</v>
      </c>
      <c r="D5" s="30"/>
      <c r="E5" s="30"/>
      <c r="F5" s="30"/>
      <c r="G5" s="22"/>
    </row>
    <row r="6" spans="1:8" hidden="1" x14ac:dyDescent="0.3">
      <c r="A6" s="21">
        <v>45820</v>
      </c>
      <c r="B6" s="34" t="s">
        <v>21</v>
      </c>
      <c r="C6" s="24">
        <v>191.29</v>
      </c>
    </row>
    <row r="7" spans="1:8" hidden="1" x14ac:dyDescent="0.3">
      <c r="A7" s="21">
        <v>45825</v>
      </c>
      <c r="B7" s="27" t="s">
        <v>4</v>
      </c>
      <c r="C7" s="24">
        <v>-39.159999999999997</v>
      </c>
    </row>
    <row r="8" spans="1:8" hidden="1" x14ac:dyDescent="0.3">
      <c r="A8" s="26">
        <v>45826</v>
      </c>
      <c r="B8" s="27" t="s">
        <v>4</v>
      </c>
      <c r="C8" s="24">
        <v>-22.37</v>
      </c>
    </row>
    <row r="9" spans="1:8" hidden="1" x14ac:dyDescent="0.3">
      <c r="A9" s="26">
        <v>45832</v>
      </c>
      <c r="B9" s="27" t="s">
        <v>4</v>
      </c>
      <c r="C9" s="24">
        <v>-28.45</v>
      </c>
    </row>
    <row r="10" spans="1:8" hidden="1" x14ac:dyDescent="0.3">
      <c r="A10" s="26">
        <v>45833</v>
      </c>
      <c r="B10" s="31" t="s">
        <v>4</v>
      </c>
      <c r="C10" s="24">
        <v>-28.45</v>
      </c>
    </row>
    <row r="11" spans="1:8" hidden="1" x14ac:dyDescent="0.3">
      <c r="A11" s="26">
        <v>45833</v>
      </c>
      <c r="B11" s="27" t="s">
        <v>4</v>
      </c>
      <c r="C11" s="24">
        <v>-39.159999999999997</v>
      </c>
    </row>
    <row r="12" spans="1:8" hidden="1" x14ac:dyDescent="0.3">
      <c r="A12" s="26">
        <v>45833</v>
      </c>
      <c r="B12" s="31" t="s">
        <v>4</v>
      </c>
      <c r="C12" s="24">
        <v>-32.24</v>
      </c>
    </row>
    <row r="13" spans="1:8" hidden="1" x14ac:dyDescent="0.3">
      <c r="A13" s="26">
        <v>45833</v>
      </c>
      <c r="B13" s="27" t="s">
        <v>7</v>
      </c>
      <c r="C13" s="24">
        <v>-25</v>
      </c>
    </row>
    <row r="14" spans="1:8" hidden="1" x14ac:dyDescent="0.3">
      <c r="A14" s="26">
        <v>45833</v>
      </c>
      <c r="B14" s="34" t="s">
        <v>21</v>
      </c>
      <c r="C14" s="24">
        <v>323.70999999999998</v>
      </c>
    </row>
    <row r="15" spans="1:8" hidden="1" x14ac:dyDescent="0.3">
      <c r="A15" s="26">
        <v>45845</v>
      </c>
      <c r="B15" s="27" t="s">
        <v>4</v>
      </c>
      <c r="C15" s="24">
        <v>-76.290000000000006</v>
      </c>
    </row>
    <row r="16" spans="1:8" hidden="1" x14ac:dyDescent="0.3">
      <c r="A16" s="26">
        <v>45847</v>
      </c>
      <c r="B16" s="27" t="s">
        <v>4</v>
      </c>
      <c r="C16" s="24">
        <v>-26.59</v>
      </c>
    </row>
    <row r="17" spans="1:3" hidden="1" x14ac:dyDescent="0.3">
      <c r="A17" s="26">
        <v>45852</v>
      </c>
      <c r="B17" s="27" t="s">
        <v>4</v>
      </c>
      <c r="C17" s="24">
        <v>-52.03</v>
      </c>
    </row>
    <row r="18" spans="1:3" hidden="1" x14ac:dyDescent="0.3">
      <c r="A18" s="26">
        <v>45854</v>
      </c>
      <c r="B18" s="27" t="s">
        <v>4</v>
      </c>
      <c r="C18" s="24">
        <v>-85.6</v>
      </c>
    </row>
    <row r="19" spans="1:3" hidden="1" x14ac:dyDescent="0.3">
      <c r="A19" s="26">
        <v>45854</v>
      </c>
      <c r="B19" s="27" t="s">
        <v>4</v>
      </c>
      <c r="C19" s="24">
        <v>-68.48</v>
      </c>
    </row>
    <row r="20" spans="1:3" hidden="1" x14ac:dyDescent="0.3">
      <c r="A20" s="26">
        <v>45859</v>
      </c>
      <c r="B20" s="27" t="s">
        <v>4</v>
      </c>
      <c r="C20" s="24">
        <v>-14.29</v>
      </c>
    </row>
    <row r="21" spans="1:3" hidden="1" x14ac:dyDescent="0.3">
      <c r="A21" s="26">
        <v>45861</v>
      </c>
      <c r="B21" s="34" t="s">
        <v>21</v>
      </c>
      <c r="C21" s="24">
        <v>117.49</v>
      </c>
    </row>
    <row r="22" spans="1:3" hidden="1" x14ac:dyDescent="0.3">
      <c r="A22" s="26">
        <v>45866</v>
      </c>
      <c r="B22" s="27" t="s">
        <v>4</v>
      </c>
      <c r="C22" s="24">
        <v>-32.74</v>
      </c>
    </row>
    <row r="23" spans="1:3" hidden="1" x14ac:dyDescent="0.3">
      <c r="A23" s="26">
        <v>45868</v>
      </c>
      <c r="B23" s="27" t="s">
        <v>4</v>
      </c>
      <c r="C23" s="24">
        <v>-16.14</v>
      </c>
    </row>
    <row r="24" spans="1:3" hidden="1" x14ac:dyDescent="0.3">
      <c r="A24" s="26">
        <v>45868</v>
      </c>
      <c r="B24" s="27" t="s">
        <v>4</v>
      </c>
      <c r="C24" s="24">
        <v>-48.43</v>
      </c>
    </row>
    <row r="25" spans="1:3" hidden="1" x14ac:dyDescent="0.3">
      <c r="A25" s="26">
        <v>45873</v>
      </c>
      <c r="B25" s="27" t="s">
        <v>4</v>
      </c>
      <c r="C25" s="24">
        <v>-15.84</v>
      </c>
    </row>
    <row r="26" spans="1:3" hidden="1" x14ac:dyDescent="0.3">
      <c r="A26" s="26">
        <v>45874</v>
      </c>
      <c r="B26" s="27" t="s">
        <v>4</v>
      </c>
      <c r="C26" s="24">
        <v>-4.33</v>
      </c>
    </row>
    <row r="27" spans="1:3" hidden="1" x14ac:dyDescent="0.3">
      <c r="A27" s="26">
        <v>45875</v>
      </c>
      <c r="B27" s="32" t="s">
        <v>21</v>
      </c>
      <c r="C27" s="24">
        <v>7.5</v>
      </c>
    </row>
    <row r="28" spans="1:3" hidden="1" x14ac:dyDescent="0.3">
      <c r="A28" s="26">
        <v>45875</v>
      </c>
      <c r="B28" s="34" t="s">
        <v>21</v>
      </c>
      <c r="C28" s="24">
        <v>187.62</v>
      </c>
    </row>
    <row r="29" spans="1:3" hidden="1" x14ac:dyDescent="0.3">
      <c r="A29" s="26">
        <v>45887</v>
      </c>
      <c r="B29" s="27" t="s">
        <v>4</v>
      </c>
      <c r="C29" s="24">
        <v>-36.520000000000003</v>
      </c>
    </row>
    <row r="30" spans="1:3" hidden="1" x14ac:dyDescent="0.3">
      <c r="A30" s="26">
        <v>45887</v>
      </c>
      <c r="B30" s="27" t="s">
        <v>4</v>
      </c>
      <c r="C30" s="24">
        <v>-43.83</v>
      </c>
    </row>
    <row r="31" spans="1:3" hidden="1" x14ac:dyDescent="0.3">
      <c r="A31" s="26">
        <v>45889</v>
      </c>
      <c r="B31" s="27" t="s">
        <v>4</v>
      </c>
      <c r="C31" s="24">
        <v>-21.72</v>
      </c>
    </row>
    <row r="32" spans="1:3" hidden="1" x14ac:dyDescent="0.3">
      <c r="A32" s="26">
        <v>45889</v>
      </c>
      <c r="B32" s="27" t="s">
        <v>4</v>
      </c>
      <c r="C32" s="24">
        <v>-43.44</v>
      </c>
    </row>
    <row r="33" spans="1:3" hidden="1" x14ac:dyDescent="0.3">
      <c r="A33" s="26">
        <v>45890</v>
      </c>
      <c r="B33" s="27" t="s">
        <v>4</v>
      </c>
      <c r="C33" s="24">
        <v>-21.52</v>
      </c>
    </row>
    <row r="34" spans="1:3" hidden="1" x14ac:dyDescent="0.3">
      <c r="A34" s="26">
        <v>45890</v>
      </c>
      <c r="B34" s="27" t="s">
        <v>4</v>
      </c>
      <c r="C34" s="24">
        <v>-28.09</v>
      </c>
    </row>
    <row r="35" spans="1:3" hidden="1" x14ac:dyDescent="0.3">
      <c r="A35" s="26">
        <v>45896</v>
      </c>
      <c r="B35" s="32" t="s">
        <v>21</v>
      </c>
      <c r="C35" s="24">
        <v>19.2</v>
      </c>
    </row>
    <row r="36" spans="1:3" hidden="1" x14ac:dyDescent="0.3">
      <c r="A36" s="26">
        <v>45896</v>
      </c>
      <c r="B36" s="34" t="s">
        <v>21</v>
      </c>
      <c r="C36" s="24">
        <v>135.16999999999999</v>
      </c>
    </row>
    <row r="37" spans="1:3" hidden="1" x14ac:dyDescent="0.3">
      <c r="A37" s="26">
        <v>45908</v>
      </c>
      <c r="B37" s="27" t="s">
        <v>4</v>
      </c>
      <c r="C37" s="24">
        <v>-90.9</v>
      </c>
    </row>
    <row r="38" spans="1:3" hidden="1" x14ac:dyDescent="0.3">
      <c r="A38" s="26">
        <v>45909</v>
      </c>
      <c r="B38" s="27" t="s">
        <v>4</v>
      </c>
      <c r="C38" s="24">
        <v>-45.17</v>
      </c>
    </row>
    <row r="39" spans="1:3" hidden="1" x14ac:dyDescent="0.3">
      <c r="A39" s="26">
        <v>45910</v>
      </c>
      <c r="B39" s="27" t="s">
        <v>4</v>
      </c>
      <c r="C39" s="24">
        <v>-18.3</v>
      </c>
    </row>
    <row r="40" spans="1:3" hidden="1" x14ac:dyDescent="0.3">
      <c r="A40" s="26">
        <v>45910</v>
      </c>
      <c r="B40" s="32" t="s">
        <v>21</v>
      </c>
      <c r="C40" s="24">
        <v>27.64</v>
      </c>
    </row>
    <row r="41" spans="1:3" hidden="1" x14ac:dyDescent="0.3">
      <c r="A41" s="26">
        <v>45910</v>
      </c>
      <c r="B41" s="34" t="s">
        <v>21</v>
      </c>
      <c r="C41" s="24">
        <v>208.05</v>
      </c>
    </row>
    <row r="42" spans="1:3" hidden="1" x14ac:dyDescent="0.3">
      <c r="A42" s="26">
        <v>45922</v>
      </c>
      <c r="B42" s="27" t="s">
        <v>4</v>
      </c>
      <c r="C42" s="24">
        <v>-102.05</v>
      </c>
    </row>
    <row r="43" spans="1:3" hidden="1" x14ac:dyDescent="0.3">
      <c r="A43" s="26">
        <v>45923</v>
      </c>
      <c r="B43" s="27" t="s">
        <v>4</v>
      </c>
      <c r="C43" s="24">
        <v>-29.69</v>
      </c>
    </row>
    <row r="44" spans="1:3" hidden="1" x14ac:dyDescent="0.3">
      <c r="A44" s="26">
        <v>45924</v>
      </c>
      <c r="B44" s="27" t="s">
        <v>4</v>
      </c>
      <c r="C44" s="24">
        <v>-64.709999999999994</v>
      </c>
    </row>
    <row r="45" spans="1:3" hidden="1" x14ac:dyDescent="0.3">
      <c r="A45" s="26">
        <v>45924</v>
      </c>
      <c r="B45" s="32" t="s">
        <v>21</v>
      </c>
      <c r="C45" s="24">
        <v>99</v>
      </c>
    </row>
    <row r="46" spans="1:3" hidden="1" x14ac:dyDescent="0.3">
      <c r="A46" s="26">
        <v>45924</v>
      </c>
      <c r="B46" s="34" t="s">
        <v>21</v>
      </c>
      <c r="C46" s="24">
        <v>375.93</v>
      </c>
    </row>
    <row r="47" spans="1:3" hidden="1" x14ac:dyDescent="0.3">
      <c r="A47" s="26">
        <v>45930</v>
      </c>
      <c r="B47" s="27" t="s">
        <v>4</v>
      </c>
      <c r="C47" s="24">
        <v>-91.09</v>
      </c>
    </row>
    <row r="48" spans="1:3" hidden="1" x14ac:dyDescent="0.3">
      <c r="A48" s="26">
        <v>45931</v>
      </c>
      <c r="B48" s="27" t="s">
        <v>4</v>
      </c>
      <c r="C48" s="24">
        <v>-44.59</v>
      </c>
    </row>
    <row r="49" spans="1:6" hidden="1" x14ac:dyDescent="0.3">
      <c r="A49" s="26">
        <v>45936</v>
      </c>
      <c r="B49" s="27" t="s">
        <v>4</v>
      </c>
      <c r="C49" s="24">
        <v>-53.94</v>
      </c>
    </row>
    <row r="50" spans="1:6" hidden="1" x14ac:dyDescent="0.3">
      <c r="A50" s="26">
        <v>45937</v>
      </c>
      <c r="B50" s="27" t="s">
        <v>4</v>
      </c>
      <c r="C50" s="24">
        <v>-101.45</v>
      </c>
    </row>
    <row r="51" spans="1:6" hidden="1" x14ac:dyDescent="0.3">
      <c r="A51" s="26">
        <v>45937</v>
      </c>
      <c r="B51" s="27" t="s">
        <v>4</v>
      </c>
      <c r="C51" s="24">
        <v>-42.71</v>
      </c>
    </row>
    <row r="52" spans="1:6" hidden="1" x14ac:dyDescent="0.3">
      <c r="A52" s="26">
        <v>45938</v>
      </c>
      <c r="B52" s="27" t="s">
        <v>4</v>
      </c>
      <c r="C52" s="24">
        <v>-103.03</v>
      </c>
    </row>
    <row r="53" spans="1:6" hidden="1" x14ac:dyDescent="0.3">
      <c r="A53" s="26">
        <v>45938</v>
      </c>
      <c r="B53" s="27" t="s">
        <v>4</v>
      </c>
      <c r="C53" s="24">
        <v>-38.65</v>
      </c>
    </row>
    <row r="54" spans="1:6" hidden="1" x14ac:dyDescent="0.3">
      <c r="A54" s="26">
        <v>45938</v>
      </c>
      <c r="B54" s="32" t="s">
        <v>21</v>
      </c>
      <c r="C54" s="24">
        <v>76.180000000000007</v>
      </c>
      <c r="F54" s="25">
        <v>1</v>
      </c>
    </row>
    <row r="55" spans="1:6" hidden="1" x14ac:dyDescent="0.3">
      <c r="A55" s="26">
        <v>45938</v>
      </c>
      <c r="B55" s="34" t="s">
        <v>21</v>
      </c>
      <c r="C55" s="24">
        <v>393.82</v>
      </c>
    </row>
    <row r="56" spans="1:6" hidden="1" x14ac:dyDescent="0.3">
      <c r="A56" s="26">
        <v>45939</v>
      </c>
      <c r="B56" s="27" t="s">
        <v>4</v>
      </c>
      <c r="C56" s="24">
        <v>-43</v>
      </c>
    </row>
    <row r="57" spans="1:6" hidden="1" x14ac:dyDescent="0.3">
      <c r="A57" s="26">
        <v>45950</v>
      </c>
      <c r="B57" s="27" t="s">
        <v>4</v>
      </c>
      <c r="C57" s="24">
        <v>-121.55</v>
      </c>
    </row>
    <row r="58" spans="1:6" hidden="1" x14ac:dyDescent="0.3">
      <c r="A58" s="26">
        <v>45951</v>
      </c>
      <c r="B58" s="27" t="s">
        <v>4</v>
      </c>
      <c r="C58" s="24">
        <v>-86.58</v>
      </c>
    </row>
    <row r="59" spans="1:6" hidden="1" x14ac:dyDescent="0.3">
      <c r="A59" s="26">
        <v>45957</v>
      </c>
      <c r="B59" s="27" t="s">
        <v>4</v>
      </c>
      <c r="C59" s="24">
        <v>-106.3</v>
      </c>
    </row>
    <row r="60" spans="1:6" hidden="1" x14ac:dyDescent="0.3">
      <c r="A60" s="26">
        <v>45962</v>
      </c>
      <c r="B60" s="27" t="s">
        <v>4</v>
      </c>
      <c r="C60" s="24">
        <v>-67.069999999999993</v>
      </c>
    </row>
    <row r="61" spans="1:6" hidden="1" x14ac:dyDescent="0.3">
      <c r="A61" s="26">
        <v>45964</v>
      </c>
      <c r="B61" s="27" t="s">
        <v>4</v>
      </c>
      <c r="C61" s="24">
        <v>-53.58</v>
      </c>
    </row>
    <row r="62" spans="1:6" hidden="1" x14ac:dyDescent="0.3">
      <c r="A62" s="26">
        <v>45966</v>
      </c>
      <c r="B62" s="27" t="s">
        <v>4</v>
      </c>
      <c r="C62" s="24">
        <v>-30.7</v>
      </c>
    </row>
    <row r="63" spans="1:6" x14ac:dyDescent="0.3">
      <c r="A63" s="26">
        <v>45966</v>
      </c>
      <c r="B63" s="32" t="s">
        <v>21</v>
      </c>
      <c r="C63" s="24">
        <v>79.7</v>
      </c>
    </row>
    <row r="64" spans="1:6" x14ac:dyDescent="0.3">
      <c r="A64" s="26">
        <v>45966</v>
      </c>
      <c r="B64" s="34" t="s">
        <v>21</v>
      </c>
      <c r="C64" s="24">
        <v>381.9</v>
      </c>
    </row>
    <row r="65" spans="1:3" x14ac:dyDescent="0.3">
      <c r="A65" s="26">
        <v>45978</v>
      </c>
      <c r="B65" s="27" t="s">
        <v>4</v>
      </c>
      <c r="C65" s="24">
        <v>-97.27</v>
      </c>
    </row>
    <row r="66" spans="1:3" x14ac:dyDescent="0.3">
      <c r="A66" s="26">
        <v>45986</v>
      </c>
      <c r="B66" s="27" t="s">
        <v>4</v>
      </c>
      <c r="C66" s="24">
        <v>-94.61</v>
      </c>
    </row>
    <row r="67" spans="1:3" x14ac:dyDescent="0.3">
      <c r="A67" s="26">
        <v>45987</v>
      </c>
      <c r="B67" s="27" t="s">
        <v>4</v>
      </c>
      <c r="C67" s="24">
        <v>-32.840000000000003</v>
      </c>
    </row>
    <row r="68" spans="1:3" x14ac:dyDescent="0.3">
      <c r="A68" s="26">
        <v>45987</v>
      </c>
      <c r="B68" s="27" t="s">
        <v>4</v>
      </c>
      <c r="C68" s="24">
        <v>-61.58</v>
      </c>
    </row>
    <row r="69" spans="1:3" x14ac:dyDescent="0.3">
      <c r="A69" s="26">
        <v>45989</v>
      </c>
      <c r="B69" s="27" t="s">
        <v>4</v>
      </c>
      <c r="C69" s="24">
        <v>-81.41</v>
      </c>
    </row>
    <row r="70" spans="1:3" x14ac:dyDescent="0.3">
      <c r="A70" s="26">
        <v>45994</v>
      </c>
      <c r="B70" s="27" t="s">
        <v>4</v>
      </c>
      <c r="C70" s="24">
        <v>-80.260000000000005</v>
      </c>
    </row>
    <row r="71" spans="1:3" x14ac:dyDescent="0.3">
      <c r="A71" s="26">
        <v>45994</v>
      </c>
      <c r="B71" s="27" t="s">
        <v>1</v>
      </c>
      <c r="C71" s="24">
        <v>394.8</v>
      </c>
    </row>
    <row r="72" spans="1:3" x14ac:dyDescent="0.3">
      <c r="A72" s="26">
        <v>46001</v>
      </c>
      <c r="B72" s="27" t="s">
        <v>1</v>
      </c>
      <c r="C72" s="24">
        <v>254</v>
      </c>
    </row>
    <row r="73" spans="1:3" x14ac:dyDescent="0.3">
      <c r="A73" s="26">
        <v>46014</v>
      </c>
      <c r="B73" s="27" t="s">
        <v>4</v>
      </c>
      <c r="C73" s="24">
        <v>-175.19</v>
      </c>
    </row>
    <row r="74" spans="1:3" x14ac:dyDescent="0.3">
      <c r="A74" s="26">
        <v>46017</v>
      </c>
      <c r="B74" s="27" t="s">
        <v>4</v>
      </c>
      <c r="C74" s="24">
        <v>-120.13</v>
      </c>
    </row>
    <row r="75" spans="1:3" x14ac:dyDescent="0.3">
      <c r="A75" s="26">
        <v>46020</v>
      </c>
      <c r="B75" s="27" t="s">
        <v>4</v>
      </c>
      <c r="C75" s="24">
        <v>-101.71</v>
      </c>
    </row>
    <row r="76" spans="1:3" x14ac:dyDescent="0.3">
      <c r="A76" s="26">
        <v>46021</v>
      </c>
      <c r="B76" s="27" t="s">
        <v>4</v>
      </c>
      <c r="C76" s="24">
        <v>-134.16</v>
      </c>
    </row>
    <row r="77" spans="1:3" x14ac:dyDescent="0.3">
      <c r="A77" s="26">
        <v>46027</v>
      </c>
      <c r="B77" s="27" t="s">
        <v>4</v>
      </c>
      <c r="C77" s="24">
        <v>-124.72</v>
      </c>
    </row>
    <row r="78" spans="1:3" x14ac:dyDescent="0.3">
      <c r="A78" s="26">
        <v>46029</v>
      </c>
      <c r="B78" s="27" t="s">
        <v>4</v>
      </c>
      <c r="C78" s="24">
        <v>-6.41</v>
      </c>
    </row>
    <row r="79" spans="1:3" x14ac:dyDescent="0.3">
      <c r="A79" s="26">
        <v>46029</v>
      </c>
      <c r="B79" s="27" t="s">
        <v>1</v>
      </c>
      <c r="C79" s="24">
        <v>381.76</v>
      </c>
    </row>
    <row r="80" spans="1:3" x14ac:dyDescent="0.3">
      <c r="A80" s="26">
        <v>46034</v>
      </c>
      <c r="B80" s="27" t="s">
        <v>4</v>
      </c>
      <c r="C80" s="24">
        <v>-121.07</v>
      </c>
    </row>
    <row r="81" spans="1:3" x14ac:dyDescent="0.3">
      <c r="A81" s="26">
        <v>46035</v>
      </c>
      <c r="B81" s="27" t="s">
        <v>4</v>
      </c>
      <c r="C81" s="24">
        <v>-93.83</v>
      </c>
    </row>
    <row r="82" spans="1:3" x14ac:dyDescent="0.3">
      <c r="A82" s="26">
        <v>46036</v>
      </c>
      <c r="B82" s="27" t="s">
        <v>4</v>
      </c>
      <c r="C82" s="24">
        <v>-77.28</v>
      </c>
    </row>
    <row r="83" spans="1:3" x14ac:dyDescent="0.3">
      <c r="A83" s="26">
        <v>46036</v>
      </c>
      <c r="B83" s="27" t="s">
        <v>4</v>
      </c>
      <c r="C83" s="24">
        <v>-86.19</v>
      </c>
    </row>
    <row r="84" spans="1:3" x14ac:dyDescent="0.3">
      <c r="A84" s="26">
        <v>46036</v>
      </c>
      <c r="B84" s="27" t="s">
        <v>4</v>
      </c>
      <c r="C84" s="24">
        <v>-3.44</v>
      </c>
    </row>
    <row r="85" spans="1:3" x14ac:dyDescent="0.3">
      <c r="A85" s="26">
        <v>46036</v>
      </c>
      <c r="B85" s="27" t="s">
        <v>1</v>
      </c>
      <c r="C85" s="24">
        <v>164.54</v>
      </c>
    </row>
    <row r="86" spans="1:3" x14ac:dyDescent="0.3">
      <c r="A86" s="26">
        <v>46050</v>
      </c>
      <c r="B86" s="27" t="s">
        <v>4</v>
      </c>
      <c r="C86" s="24">
        <v>-132.78</v>
      </c>
    </row>
    <row r="87" spans="1:3" x14ac:dyDescent="0.3">
      <c r="A87" s="26">
        <v>46051</v>
      </c>
      <c r="B87" s="27" t="s">
        <v>4</v>
      </c>
      <c r="C87" s="24">
        <v>-31.75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A6F0-2612-43A6-AACA-F36EAF724038}">
  <sheetPr codeName="Hoja119"/>
  <dimension ref="A1:H87"/>
  <sheetViews>
    <sheetView view="pageBreakPreview" zoomScale="80" zoomScaleNormal="100" zoomScaleSheetLayoutView="80" workbookViewId="0">
      <selection activeCell="C88" sqref="C8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156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158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79.069999999999979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45819</v>
      </c>
      <c r="B5" s="32" t="s">
        <v>21</v>
      </c>
      <c r="C5" s="24">
        <v>85.51</v>
      </c>
      <c r="D5" s="30"/>
      <c r="E5" s="30"/>
      <c r="F5" s="30"/>
      <c r="G5" s="22"/>
    </row>
    <row r="6" spans="1:8" hidden="1" x14ac:dyDescent="0.3">
      <c r="A6" s="21">
        <v>45819</v>
      </c>
      <c r="B6" s="34" t="s">
        <v>21</v>
      </c>
      <c r="C6" s="24">
        <v>29.12</v>
      </c>
    </row>
    <row r="7" spans="1:8" hidden="1" x14ac:dyDescent="0.3">
      <c r="A7" s="21">
        <v>45826</v>
      </c>
      <c r="B7" s="27" t="s">
        <v>4</v>
      </c>
      <c r="C7" s="24">
        <v>-114.62</v>
      </c>
    </row>
    <row r="8" spans="1:8" hidden="1" x14ac:dyDescent="0.3">
      <c r="A8" s="26">
        <v>45827</v>
      </c>
      <c r="B8" s="32" t="s">
        <v>21</v>
      </c>
      <c r="C8" s="24">
        <v>75.930000000000007</v>
      </c>
    </row>
    <row r="9" spans="1:8" hidden="1" x14ac:dyDescent="0.3">
      <c r="A9" s="26">
        <v>45827</v>
      </c>
      <c r="B9" s="34" t="s">
        <v>21</v>
      </c>
      <c r="C9" s="24">
        <v>15.41</v>
      </c>
    </row>
    <row r="10" spans="1:8" hidden="1" x14ac:dyDescent="0.3">
      <c r="A10" s="26">
        <v>45834</v>
      </c>
      <c r="B10" s="31" t="s">
        <v>4</v>
      </c>
      <c r="C10" s="24">
        <v>-91.35</v>
      </c>
    </row>
    <row r="11" spans="1:8" hidden="1" x14ac:dyDescent="0.3">
      <c r="A11" s="26">
        <v>45834</v>
      </c>
      <c r="B11" s="32" t="s">
        <v>21</v>
      </c>
      <c r="C11" s="24">
        <v>45.1</v>
      </c>
    </row>
    <row r="12" spans="1:8" hidden="1" x14ac:dyDescent="0.3">
      <c r="A12" s="26">
        <v>45834</v>
      </c>
      <c r="B12" s="34" t="s">
        <v>21</v>
      </c>
      <c r="C12" s="24">
        <v>15.54</v>
      </c>
    </row>
    <row r="13" spans="1:8" hidden="1" x14ac:dyDescent="0.3">
      <c r="A13" s="26">
        <v>45841</v>
      </c>
      <c r="B13" s="32" t="s">
        <v>21</v>
      </c>
      <c r="C13" s="24">
        <v>37.5</v>
      </c>
    </row>
    <row r="14" spans="1:8" hidden="1" x14ac:dyDescent="0.3">
      <c r="A14" s="26">
        <v>45841</v>
      </c>
      <c r="B14" s="34" t="s">
        <v>21</v>
      </c>
      <c r="C14" s="24">
        <v>11.44</v>
      </c>
    </row>
    <row r="15" spans="1:8" hidden="1" x14ac:dyDescent="0.3">
      <c r="A15" s="26">
        <v>45848</v>
      </c>
      <c r="B15" s="27" t="s">
        <v>4</v>
      </c>
      <c r="C15" s="24">
        <v>-48.95</v>
      </c>
    </row>
    <row r="16" spans="1:8" hidden="1" x14ac:dyDescent="0.3">
      <c r="A16" s="26">
        <v>45848</v>
      </c>
      <c r="B16" s="27" t="s">
        <v>4</v>
      </c>
      <c r="C16" s="24">
        <v>-61.04</v>
      </c>
    </row>
    <row r="17" spans="1:3" hidden="1" x14ac:dyDescent="0.3">
      <c r="A17" s="26">
        <v>45848</v>
      </c>
      <c r="B17" s="32" t="s">
        <v>21</v>
      </c>
      <c r="C17" s="24">
        <v>50.2</v>
      </c>
    </row>
    <row r="18" spans="1:3" hidden="1" x14ac:dyDescent="0.3">
      <c r="A18" s="26">
        <v>45848</v>
      </c>
      <c r="B18" s="34" t="s">
        <v>21</v>
      </c>
      <c r="C18" s="24">
        <v>4.38</v>
      </c>
    </row>
    <row r="19" spans="1:3" hidden="1" x14ac:dyDescent="0.3">
      <c r="A19" s="26">
        <v>45855</v>
      </c>
      <c r="B19" s="32" t="s">
        <v>21</v>
      </c>
      <c r="C19" s="24">
        <v>49.5</v>
      </c>
    </row>
    <row r="20" spans="1:3" hidden="1" x14ac:dyDescent="0.3">
      <c r="A20" s="26">
        <v>45855</v>
      </c>
      <c r="B20" s="34" t="s">
        <v>21</v>
      </c>
      <c r="C20" s="24">
        <v>4.38</v>
      </c>
    </row>
    <row r="21" spans="1:3" hidden="1" x14ac:dyDescent="0.3">
      <c r="A21" s="26">
        <v>45860</v>
      </c>
      <c r="B21" s="27" t="s">
        <v>4</v>
      </c>
      <c r="C21" s="24">
        <v>-54.58</v>
      </c>
    </row>
    <row r="22" spans="1:3" hidden="1" x14ac:dyDescent="0.3">
      <c r="A22" s="26">
        <v>45862</v>
      </c>
      <c r="B22" s="27" t="s">
        <v>4</v>
      </c>
      <c r="C22" s="24">
        <v>-53.88</v>
      </c>
    </row>
    <row r="23" spans="1:3" hidden="1" x14ac:dyDescent="0.3">
      <c r="A23" s="26">
        <v>45862</v>
      </c>
      <c r="B23" s="32" t="s">
        <v>21</v>
      </c>
      <c r="C23" s="24">
        <v>78.05</v>
      </c>
    </row>
    <row r="24" spans="1:3" hidden="1" x14ac:dyDescent="0.3">
      <c r="A24" s="26">
        <v>45862</v>
      </c>
      <c r="B24" s="34" t="s">
        <v>21</v>
      </c>
      <c r="C24" s="24">
        <v>4.58</v>
      </c>
    </row>
    <row r="25" spans="1:3" hidden="1" x14ac:dyDescent="0.3">
      <c r="A25" s="26">
        <v>45869</v>
      </c>
      <c r="B25" s="32" t="s">
        <v>21</v>
      </c>
      <c r="C25" s="24">
        <v>46.5</v>
      </c>
    </row>
    <row r="26" spans="1:3" hidden="1" x14ac:dyDescent="0.3">
      <c r="A26" s="26">
        <v>45869</v>
      </c>
      <c r="B26" s="34" t="s">
        <v>21</v>
      </c>
      <c r="C26" s="24">
        <v>10.24</v>
      </c>
    </row>
    <row r="27" spans="1:3" hidden="1" x14ac:dyDescent="0.3">
      <c r="A27" s="26">
        <v>45870</v>
      </c>
      <c r="B27" s="27" t="s">
        <v>4</v>
      </c>
      <c r="C27" s="24">
        <v>-82.63</v>
      </c>
    </row>
    <row r="28" spans="1:3" hidden="1" x14ac:dyDescent="0.3">
      <c r="A28" s="26">
        <v>45876</v>
      </c>
      <c r="B28" s="32" t="s">
        <v>21</v>
      </c>
      <c r="C28" s="24">
        <v>76.900000000000006</v>
      </c>
    </row>
    <row r="29" spans="1:3" hidden="1" x14ac:dyDescent="0.3">
      <c r="A29" s="26">
        <v>45880</v>
      </c>
      <c r="B29" s="27" t="s">
        <v>4</v>
      </c>
      <c r="C29" s="24">
        <v>-56.75</v>
      </c>
    </row>
    <row r="30" spans="1:3" hidden="1" x14ac:dyDescent="0.3">
      <c r="A30" s="26">
        <v>45883</v>
      </c>
      <c r="B30" s="32" t="s">
        <v>21</v>
      </c>
      <c r="C30" s="24">
        <v>40.5</v>
      </c>
    </row>
    <row r="31" spans="1:3" hidden="1" x14ac:dyDescent="0.3">
      <c r="A31" s="26">
        <v>45887</v>
      </c>
      <c r="B31" s="27" t="s">
        <v>4</v>
      </c>
      <c r="C31" s="24">
        <v>-76.900000000000006</v>
      </c>
    </row>
    <row r="32" spans="1:3" hidden="1" x14ac:dyDescent="0.3">
      <c r="A32" s="26">
        <v>45890</v>
      </c>
      <c r="B32" s="32" t="s">
        <v>21</v>
      </c>
      <c r="C32" s="24">
        <v>62.2</v>
      </c>
    </row>
    <row r="33" spans="1:3" hidden="1" x14ac:dyDescent="0.3">
      <c r="A33" s="26">
        <v>45897</v>
      </c>
      <c r="B33" s="27" t="s">
        <v>4</v>
      </c>
      <c r="C33" s="24">
        <v>-62.2</v>
      </c>
    </row>
    <row r="34" spans="1:3" hidden="1" x14ac:dyDescent="0.3">
      <c r="A34" s="26">
        <v>45898</v>
      </c>
      <c r="B34" s="27" t="s">
        <v>4</v>
      </c>
      <c r="C34" s="24">
        <v>-40.5</v>
      </c>
    </row>
    <row r="35" spans="1:3" hidden="1" x14ac:dyDescent="0.3">
      <c r="A35" s="26">
        <v>45897</v>
      </c>
      <c r="B35" s="32" t="s">
        <v>21</v>
      </c>
      <c r="C35" s="24">
        <v>66.95</v>
      </c>
    </row>
    <row r="36" spans="1:3" hidden="1" x14ac:dyDescent="0.3">
      <c r="A36" s="26">
        <v>45897</v>
      </c>
      <c r="B36" s="34" t="s">
        <v>21</v>
      </c>
      <c r="C36" s="24">
        <v>4.58</v>
      </c>
    </row>
    <row r="37" spans="1:3" hidden="1" x14ac:dyDescent="0.3">
      <c r="A37" s="26">
        <v>45904</v>
      </c>
      <c r="B37" s="27" t="s">
        <v>4</v>
      </c>
      <c r="C37" s="24">
        <v>-71.53</v>
      </c>
    </row>
    <row r="38" spans="1:3" hidden="1" x14ac:dyDescent="0.3">
      <c r="A38" s="26">
        <v>45904</v>
      </c>
      <c r="B38" s="32" t="s">
        <v>21</v>
      </c>
      <c r="C38" s="24">
        <v>44.2</v>
      </c>
    </row>
    <row r="39" spans="1:3" hidden="1" x14ac:dyDescent="0.3">
      <c r="A39" s="26">
        <v>45912</v>
      </c>
      <c r="B39" s="27" t="s">
        <v>4</v>
      </c>
      <c r="C39" s="24">
        <v>-44.2</v>
      </c>
    </row>
    <row r="40" spans="1:3" hidden="1" x14ac:dyDescent="0.3">
      <c r="A40" s="26">
        <v>45911</v>
      </c>
      <c r="B40" s="32" t="s">
        <v>21</v>
      </c>
      <c r="C40" s="24">
        <v>51.6</v>
      </c>
    </row>
    <row r="41" spans="1:3" hidden="1" x14ac:dyDescent="0.3">
      <c r="A41" s="26">
        <v>45911</v>
      </c>
      <c r="B41" s="34" t="s">
        <v>21</v>
      </c>
      <c r="C41" s="24">
        <v>14.18</v>
      </c>
    </row>
    <row r="42" spans="1:3" hidden="1" x14ac:dyDescent="0.3">
      <c r="A42" s="26">
        <v>45918</v>
      </c>
      <c r="B42" s="32" t="s">
        <v>21</v>
      </c>
      <c r="C42" s="24">
        <v>68.55</v>
      </c>
    </row>
    <row r="43" spans="1:3" hidden="1" x14ac:dyDescent="0.3">
      <c r="A43" s="26">
        <v>45918</v>
      </c>
      <c r="B43" s="34" t="s">
        <v>21</v>
      </c>
      <c r="C43" s="24">
        <v>12.73</v>
      </c>
    </row>
    <row r="44" spans="1:3" hidden="1" x14ac:dyDescent="0.3">
      <c r="A44" s="26">
        <v>45919</v>
      </c>
      <c r="B44" s="27" t="s">
        <v>4</v>
      </c>
      <c r="C44" s="24">
        <v>-65.78</v>
      </c>
    </row>
    <row r="45" spans="1:3" hidden="1" x14ac:dyDescent="0.3">
      <c r="A45" s="26">
        <v>45925</v>
      </c>
      <c r="B45" s="32" t="s">
        <v>21</v>
      </c>
      <c r="C45" s="24">
        <v>41.1</v>
      </c>
    </row>
    <row r="46" spans="1:3" hidden="1" x14ac:dyDescent="0.3">
      <c r="A46" s="26">
        <v>45925</v>
      </c>
      <c r="B46" s="34" t="s">
        <v>21</v>
      </c>
      <c r="C46" s="24">
        <v>4.66</v>
      </c>
    </row>
    <row r="47" spans="1:3" hidden="1" x14ac:dyDescent="0.3">
      <c r="A47" s="26">
        <v>45930</v>
      </c>
      <c r="B47" s="27" t="s">
        <v>4</v>
      </c>
      <c r="C47" s="24">
        <v>-81.28</v>
      </c>
    </row>
    <row r="48" spans="1:3" hidden="1" x14ac:dyDescent="0.3">
      <c r="A48" s="26">
        <v>45932</v>
      </c>
      <c r="B48" s="27" t="s">
        <v>4</v>
      </c>
      <c r="C48" s="24">
        <v>-45.76</v>
      </c>
    </row>
    <row r="49" spans="1:3" hidden="1" x14ac:dyDescent="0.3">
      <c r="A49" s="26">
        <v>45932</v>
      </c>
      <c r="B49" s="32" t="s">
        <v>21</v>
      </c>
      <c r="C49" s="24">
        <v>58.7</v>
      </c>
    </row>
    <row r="50" spans="1:3" hidden="1" x14ac:dyDescent="0.3">
      <c r="A50" s="26">
        <v>45932</v>
      </c>
      <c r="B50" s="34" t="s">
        <v>21</v>
      </c>
      <c r="C50" s="24">
        <v>17.22</v>
      </c>
    </row>
    <row r="51" spans="1:3" hidden="1" x14ac:dyDescent="0.3">
      <c r="A51" s="26">
        <v>45939</v>
      </c>
      <c r="B51" s="32" t="s">
        <v>21</v>
      </c>
      <c r="C51" s="24">
        <v>60.3</v>
      </c>
    </row>
    <row r="52" spans="1:3" hidden="1" x14ac:dyDescent="0.3">
      <c r="A52" s="26">
        <v>45939</v>
      </c>
      <c r="B52" s="34" t="s">
        <v>21</v>
      </c>
      <c r="C52" s="24">
        <v>11.85</v>
      </c>
    </row>
    <row r="53" spans="1:3" hidden="1" x14ac:dyDescent="0.3">
      <c r="A53" s="26">
        <v>45946</v>
      </c>
      <c r="B53" s="32" t="s">
        <v>21</v>
      </c>
      <c r="C53" s="24">
        <v>80.08</v>
      </c>
    </row>
    <row r="54" spans="1:3" hidden="1" x14ac:dyDescent="0.3">
      <c r="A54" s="26">
        <v>45946</v>
      </c>
      <c r="B54" s="34" t="s">
        <v>21</v>
      </c>
      <c r="C54" s="24">
        <v>16.45</v>
      </c>
    </row>
    <row r="55" spans="1:3" hidden="1" x14ac:dyDescent="0.3">
      <c r="A55" s="26">
        <v>45947</v>
      </c>
      <c r="B55" s="27" t="s">
        <v>4</v>
      </c>
      <c r="C55" s="24">
        <v>-72.150000000000006</v>
      </c>
    </row>
    <row r="56" spans="1:3" hidden="1" x14ac:dyDescent="0.3">
      <c r="A56" s="26">
        <v>45953</v>
      </c>
      <c r="B56" s="27" t="s">
        <v>4</v>
      </c>
      <c r="C56" s="24">
        <v>-75.92</v>
      </c>
    </row>
    <row r="57" spans="1:3" hidden="1" x14ac:dyDescent="0.3">
      <c r="A57" s="26">
        <v>45953</v>
      </c>
      <c r="B57" s="27" t="s">
        <v>4</v>
      </c>
      <c r="C57" s="24">
        <v>-96.53</v>
      </c>
    </row>
    <row r="58" spans="1:3" x14ac:dyDescent="0.3">
      <c r="A58" s="26">
        <v>45953</v>
      </c>
      <c r="B58" s="32" t="s">
        <v>21</v>
      </c>
      <c r="C58" s="24">
        <v>58.7</v>
      </c>
    </row>
    <row r="59" spans="1:3" x14ac:dyDescent="0.3">
      <c r="A59" s="26">
        <v>45953</v>
      </c>
      <c r="B59" s="34" t="s">
        <v>21</v>
      </c>
      <c r="C59" s="24">
        <v>13.98</v>
      </c>
    </row>
    <row r="60" spans="1:3" x14ac:dyDescent="0.3">
      <c r="A60" s="26">
        <v>45960</v>
      </c>
      <c r="B60" s="27" t="s">
        <v>4</v>
      </c>
      <c r="C60" s="24">
        <v>-66.680000000000007</v>
      </c>
    </row>
    <row r="61" spans="1:3" x14ac:dyDescent="0.3">
      <c r="A61" s="26">
        <v>45960</v>
      </c>
      <c r="B61" s="32" t="s">
        <v>21</v>
      </c>
      <c r="C61" s="24">
        <v>55</v>
      </c>
    </row>
    <row r="62" spans="1:3" x14ac:dyDescent="0.3">
      <c r="A62" s="26">
        <v>45960</v>
      </c>
      <c r="B62" s="34" t="s">
        <v>21</v>
      </c>
      <c r="C62" s="24">
        <v>20.420000000000002</v>
      </c>
    </row>
    <row r="63" spans="1:3" x14ac:dyDescent="0.3">
      <c r="A63" s="26">
        <v>45967</v>
      </c>
      <c r="B63" s="27" t="s">
        <v>4</v>
      </c>
      <c r="C63" s="24">
        <v>-75.42</v>
      </c>
    </row>
    <row r="64" spans="1:3" x14ac:dyDescent="0.3">
      <c r="A64" s="26">
        <v>45967</v>
      </c>
      <c r="B64" s="32" t="s">
        <v>21</v>
      </c>
      <c r="C64" s="24">
        <v>64.58</v>
      </c>
    </row>
    <row r="65" spans="1:3" x14ac:dyDescent="0.3">
      <c r="A65" s="26">
        <v>45967</v>
      </c>
      <c r="B65" s="34" t="s">
        <v>21</v>
      </c>
      <c r="C65" s="24">
        <v>15.96</v>
      </c>
    </row>
    <row r="66" spans="1:3" x14ac:dyDescent="0.3">
      <c r="A66" s="26">
        <v>45974</v>
      </c>
      <c r="B66" s="27" t="s">
        <v>4</v>
      </c>
      <c r="C66" s="24">
        <v>-80.540000000000006</v>
      </c>
    </row>
    <row r="67" spans="1:3" x14ac:dyDescent="0.3">
      <c r="A67" s="26">
        <v>45974</v>
      </c>
      <c r="B67" s="27" t="s">
        <v>1</v>
      </c>
      <c r="C67" s="24">
        <v>67.87</v>
      </c>
    </row>
    <row r="68" spans="1:3" x14ac:dyDescent="0.3">
      <c r="A68" s="26">
        <v>45981</v>
      </c>
      <c r="B68" s="27" t="s">
        <v>4</v>
      </c>
      <c r="C68" s="24">
        <v>-67.87</v>
      </c>
    </row>
    <row r="69" spans="1:3" x14ac:dyDescent="0.3">
      <c r="A69" s="26">
        <v>45981</v>
      </c>
      <c r="B69" s="27" t="s">
        <v>1</v>
      </c>
      <c r="C69" s="24">
        <v>102.14</v>
      </c>
    </row>
    <row r="70" spans="1:3" x14ac:dyDescent="0.3">
      <c r="A70" s="26">
        <v>45986</v>
      </c>
      <c r="B70" s="27" t="s">
        <v>4</v>
      </c>
      <c r="C70" s="24">
        <v>-102.14</v>
      </c>
    </row>
    <row r="71" spans="1:3" x14ac:dyDescent="0.3">
      <c r="A71" s="26">
        <v>45988</v>
      </c>
      <c r="B71" s="27" t="s">
        <v>1</v>
      </c>
      <c r="C71" s="24">
        <v>130.56</v>
      </c>
    </row>
    <row r="72" spans="1:3" x14ac:dyDescent="0.3">
      <c r="A72" s="26">
        <v>45995</v>
      </c>
      <c r="B72" s="27" t="s">
        <v>4</v>
      </c>
      <c r="C72" s="24">
        <v>-129.03</v>
      </c>
    </row>
    <row r="73" spans="1:3" x14ac:dyDescent="0.3">
      <c r="A73" s="26">
        <v>45995</v>
      </c>
      <c r="B73" s="27" t="s">
        <v>1</v>
      </c>
      <c r="C73" s="24">
        <v>58.39</v>
      </c>
    </row>
    <row r="74" spans="1:3" x14ac:dyDescent="0.3">
      <c r="A74" s="26">
        <v>46002</v>
      </c>
      <c r="B74" s="27" t="s">
        <v>4</v>
      </c>
      <c r="C74" s="24">
        <v>-58.39</v>
      </c>
    </row>
    <row r="75" spans="1:3" x14ac:dyDescent="0.3">
      <c r="A75" s="26">
        <v>46002</v>
      </c>
      <c r="B75" s="27" t="s">
        <v>1</v>
      </c>
      <c r="C75" s="24">
        <v>72.97</v>
      </c>
    </row>
    <row r="76" spans="1:3" x14ac:dyDescent="0.3">
      <c r="A76" s="26">
        <v>46009</v>
      </c>
      <c r="B76" s="27" t="s">
        <v>4</v>
      </c>
      <c r="C76" s="24">
        <v>-72.97</v>
      </c>
    </row>
    <row r="77" spans="1:3" x14ac:dyDescent="0.3">
      <c r="A77" s="26">
        <v>46009</v>
      </c>
      <c r="B77" s="27" t="s">
        <v>1</v>
      </c>
      <c r="C77" s="24">
        <v>97.59</v>
      </c>
    </row>
    <row r="78" spans="1:3" x14ac:dyDescent="0.3">
      <c r="A78" s="26">
        <v>46020</v>
      </c>
      <c r="B78" s="27" t="s">
        <v>4</v>
      </c>
      <c r="C78" s="24">
        <v>-97.6</v>
      </c>
    </row>
    <row r="79" spans="1:3" x14ac:dyDescent="0.3">
      <c r="A79" s="26">
        <v>46021</v>
      </c>
      <c r="B79" s="27" t="s">
        <v>1</v>
      </c>
      <c r="C79" s="24">
        <v>75.83</v>
      </c>
    </row>
    <row r="80" spans="1:3" x14ac:dyDescent="0.3">
      <c r="A80" s="26">
        <v>46024</v>
      </c>
      <c r="B80" s="27" t="s">
        <v>4</v>
      </c>
      <c r="C80" s="24">
        <v>-75.83</v>
      </c>
    </row>
    <row r="81" spans="1:3" x14ac:dyDescent="0.3">
      <c r="A81" s="26">
        <v>46031</v>
      </c>
      <c r="B81" s="27" t="s">
        <v>1</v>
      </c>
      <c r="C81" s="24">
        <v>33</v>
      </c>
    </row>
    <row r="82" spans="1:3" x14ac:dyDescent="0.3">
      <c r="A82" s="26">
        <v>46038</v>
      </c>
      <c r="B82" s="27" t="s">
        <v>4</v>
      </c>
      <c r="C82" s="24">
        <v>-33</v>
      </c>
    </row>
    <row r="83" spans="1:3" x14ac:dyDescent="0.3">
      <c r="A83" s="26">
        <v>46037</v>
      </c>
      <c r="B83" s="27" t="s">
        <v>1</v>
      </c>
      <c r="C83" s="24">
        <v>73.739999999999995</v>
      </c>
    </row>
    <row r="84" spans="1:3" x14ac:dyDescent="0.3">
      <c r="A84" s="26">
        <v>46043</v>
      </c>
      <c r="B84" s="27" t="s">
        <v>4</v>
      </c>
      <c r="C84" s="24">
        <v>-73.739999999999995</v>
      </c>
    </row>
    <row r="85" spans="1:3" x14ac:dyDescent="0.3">
      <c r="A85" s="26">
        <v>46044</v>
      </c>
      <c r="B85" s="27" t="s">
        <v>1</v>
      </c>
      <c r="C85" s="24">
        <v>78.44</v>
      </c>
    </row>
    <row r="86" spans="1:3" x14ac:dyDescent="0.3">
      <c r="A86" s="26">
        <v>46051</v>
      </c>
      <c r="B86" s="27" t="s">
        <v>1</v>
      </c>
      <c r="C86" s="24">
        <v>71.98</v>
      </c>
    </row>
    <row r="87" spans="1:3" x14ac:dyDescent="0.3">
      <c r="A87" s="26">
        <v>46052</v>
      </c>
      <c r="B87" s="27" t="s">
        <v>4</v>
      </c>
      <c r="C87" s="24">
        <v>-78.45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71AFE-B2EB-4551-B3A3-9794C684DB34}">
  <sheetPr codeName="Hoja120"/>
  <dimension ref="A1:H12"/>
  <sheetViews>
    <sheetView view="pageBreakPreview" zoomScale="80" zoomScaleNormal="100" zoomScaleSheetLayoutView="8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188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0.16999999999999993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45819</v>
      </c>
      <c r="B5" s="32" t="s">
        <v>21</v>
      </c>
      <c r="C5" s="24">
        <v>15.74</v>
      </c>
      <c r="D5" s="30"/>
      <c r="E5" s="30"/>
      <c r="F5" s="30"/>
      <c r="G5" s="22"/>
    </row>
    <row r="6" spans="1:8" x14ac:dyDescent="0.3">
      <c r="A6" s="21">
        <v>45824</v>
      </c>
      <c r="B6" s="27" t="s">
        <v>4</v>
      </c>
      <c r="C6" s="24">
        <v>-15.57</v>
      </c>
    </row>
    <row r="7" spans="1:8" x14ac:dyDescent="0.3">
      <c r="A7" s="21"/>
    </row>
    <row r="10" spans="1:8" x14ac:dyDescent="0.3">
      <c r="B10" s="31"/>
    </row>
    <row r="12" spans="1:8" x14ac:dyDescent="0.3">
      <c r="B12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CBD2C-937F-4293-9859-B38F33F0A846}">
  <sheetPr codeName="Hoja185"/>
  <dimension ref="A1:L37"/>
  <sheetViews>
    <sheetView view="pageBreakPreview" zoomScale="70" zoomScaleNormal="100" zoomScaleSheetLayoutView="70" workbookViewId="0">
      <selection activeCell="C38" sqref="C3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239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51.759999999999977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45828</v>
      </c>
      <c r="B5" s="34" t="s">
        <v>21</v>
      </c>
      <c r="C5" s="24">
        <v>21.99</v>
      </c>
      <c r="D5" s="30"/>
      <c r="E5" s="30"/>
      <c r="F5" s="30"/>
      <c r="G5" s="22"/>
    </row>
    <row r="6" spans="1:8" x14ac:dyDescent="0.3">
      <c r="A6" s="21">
        <v>45835</v>
      </c>
      <c r="B6" s="32" t="s">
        <v>21</v>
      </c>
      <c r="C6" s="24">
        <v>9.84</v>
      </c>
    </row>
    <row r="7" spans="1:8" x14ac:dyDescent="0.3">
      <c r="A7" s="21">
        <v>45835</v>
      </c>
      <c r="B7" s="34" t="s">
        <v>21</v>
      </c>
      <c r="C7" s="24">
        <v>25.25</v>
      </c>
    </row>
    <row r="8" spans="1:8" x14ac:dyDescent="0.3">
      <c r="A8" s="26">
        <v>45846</v>
      </c>
      <c r="B8" s="27" t="s">
        <v>4</v>
      </c>
      <c r="C8" s="24">
        <v>-57.07</v>
      </c>
    </row>
    <row r="9" spans="1:8" x14ac:dyDescent="0.3">
      <c r="A9" s="26">
        <v>45849</v>
      </c>
      <c r="B9" s="34" t="s">
        <v>21</v>
      </c>
      <c r="C9" s="24">
        <v>31.1</v>
      </c>
    </row>
    <row r="10" spans="1:8" x14ac:dyDescent="0.3">
      <c r="A10" s="26">
        <v>45856</v>
      </c>
      <c r="B10" s="31" t="s">
        <v>7</v>
      </c>
      <c r="C10" s="24">
        <v>-34.25</v>
      </c>
    </row>
    <row r="11" spans="1:8" x14ac:dyDescent="0.3">
      <c r="A11" s="26">
        <v>45856</v>
      </c>
      <c r="B11" s="34" t="s">
        <v>21</v>
      </c>
      <c r="C11" s="24">
        <f>57.84+0.37</f>
        <v>58.21</v>
      </c>
    </row>
    <row r="12" spans="1:8" x14ac:dyDescent="0.3">
      <c r="A12" s="26">
        <v>45863</v>
      </c>
      <c r="B12" s="31" t="s">
        <v>7</v>
      </c>
      <c r="C12" s="24">
        <v>-54.84</v>
      </c>
    </row>
    <row r="13" spans="1:8" x14ac:dyDescent="0.3">
      <c r="A13" s="26">
        <v>45863</v>
      </c>
      <c r="B13" s="34" t="s">
        <v>21</v>
      </c>
      <c r="C13" s="24">
        <v>9.5</v>
      </c>
    </row>
    <row r="14" spans="1:8" x14ac:dyDescent="0.3">
      <c r="A14" s="26">
        <v>45870</v>
      </c>
      <c r="B14" s="27" t="s">
        <v>7</v>
      </c>
      <c r="C14" s="24">
        <v>-18.71</v>
      </c>
    </row>
    <row r="15" spans="1:8" x14ac:dyDescent="0.3">
      <c r="A15" s="26">
        <v>45870</v>
      </c>
      <c r="B15" s="34" t="s">
        <v>21</v>
      </c>
      <c r="C15" s="24">
        <v>9.9</v>
      </c>
    </row>
    <row r="16" spans="1:8" x14ac:dyDescent="0.3">
      <c r="A16" s="26">
        <v>45884</v>
      </c>
      <c r="B16" s="27" t="s">
        <v>7</v>
      </c>
      <c r="C16" s="24">
        <v>-16.13</v>
      </c>
    </row>
    <row r="17" spans="1:12" x14ac:dyDescent="0.3">
      <c r="A17" s="26">
        <v>45884</v>
      </c>
      <c r="B17" s="32" t="s">
        <v>21</v>
      </c>
      <c r="C17" s="24">
        <v>15.85</v>
      </c>
    </row>
    <row r="18" spans="1:12" x14ac:dyDescent="0.3">
      <c r="A18" s="26">
        <v>45884</v>
      </c>
      <c r="B18" s="34" t="s">
        <v>21</v>
      </c>
      <c r="C18" s="24">
        <v>35.130000000000003</v>
      </c>
    </row>
    <row r="19" spans="1:12" x14ac:dyDescent="0.3">
      <c r="A19" s="26">
        <v>45890</v>
      </c>
      <c r="B19" s="27" t="s">
        <v>4</v>
      </c>
      <c r="C19" s="24">
        <v>-31.5</v>
      </c>
    </row>
    <row r="20" spans="1:12" x14ac:dyDescent="0.3">
      <c r="A20" s="26">
        <v>45898</v>
      </c>
      <c r="B20" s="34" t="s">
        <v>21</v>
      </c>
      <c r="C20" s="24">
        <v>65.709999999999994</v>
      </c>
    </row>
    <row r="21" spans="1:12" x14ac:dyDescent="0.3">
      <c r="A21" s="26">
        <v>45912</v>
      </c>
      <c r="B21" s="27" t="s">
        <v>7</v>
      </c>
      <c r="C21" s="24">
        <v>-60</v>
      </c>
    </row>
    <row r="22" spans="1:12" x14ac:dyDescent="0.3">
      <c r="A22" s="26">
        <v>45919</v>
      </c>
      <c r="B22" s="34" t="s">
        <v>21</v>
      </c>
      <c r="C22" s="24">
        <v>21.12</v>
      </c>
    </row>
    <row r="23" spans="1:12" x14ac:dyDescent="0.3">
      <c r="A23" s="26">
        <v>45926</v>
      </c>
      <c r="B23" s="27" t="s">
        <v>4</v>
      </c>
      <c r="C23" s="24">
        <v>-21.88</v>
      </c>
    </row>
    <row r="24" spans="1:12" x14ac:dyDescent="0.3">
      <c r="A24" s="26">
        <v>45926</v>
      </c>
      <c r="B24" s="34" t="s">
        <v>21</v>
      </c>
      <c r="C24" s="24">
        <v>33.520000000000003</v>
      </c>
      <c r="L24" s="18">
        <v>15.85</v>
      </c>
    </row>
    <row r="25" spans="1:12" x14ac:dyDescent="0.3">
      <c r="A25" s="26">
        <v>45930</v>
      </c>
      <c r="B25" s="27" t="s">
        <v>4</v>
      </c>
      <c r="C25" s="24">
        <v>-33.520000000000003</v>
      </c>
    </row>
    <row r="26" spans="1:12" x14ac:dyDescent="0.3">
      <c r="A26" s="26">
        <v>45933</v>
      </c>
      <c r="B26" s="34" t="s">
        <v>21</v>
      </c>
      <c r="C26" s="24">
        <v>53.4</v>
      </c>
    </row>
    <row r="27" spans="1:12" x14ac:dyDescent="0.3">
      <c r="A27" s="26">
        <v>45933</v>
      </c>
      <c r="B27" s="46" t="s">
        <v>21</v>
      </c>
      <c r="C27" s="24">
        <v>10.38</v>
      </c>
    </row>
    <row r="28" spans="1:12" x14ac:dyDescent="0.3">
      <c r="A28" s="26">
        <v>45940</v>
      </c>
      <c r="B28" s="27" t="s">
        <v>4</v>
      </c>
      <c r="C28" s="24">
        <v>-63.78</v>
      </c>
    </row>
    <row r="29" spans="1:12" x14ac:dyDescent="0.3">
      <c r="A29" s="26">
        <v>45940</v>
      </c>
      <c r="B29" s="34" t="s">
        <v>21</v>
      </c>
      <c r="C29" s="24">
        <v>19.14</v>
      </c>
    </row>
    <row r="30" spans="1:12" x14ac:dyDescent="0.3">
      <c r="A30" s="26">
        <v>45947</v>
      </c>
      <c r="B30" s="27" t="s">
        <v>4</v>
      </c>
      <c r="C30" s="24">
        <v>-19.14</v>
      </c>
    </row>
    <row r="31" spans="1:12" x14ac:dyDescent="0.3">
      <c r="A31" s="26">
        <v>45947</v>
      </c>
      <c r="B31" s="34" t="s">
        <v>21</v>
      </c>
      <c r="C31" s="24">
        <v>51.3</v>
      </c>
    </row>
    <row r="32" spans="1:12" x14ac:dyDescent="0.3">
      <c r="A32" s="26">
        <v>45954</v>
      </c>
      <c r="B32" s="27" t="s">
        <v>4</v>
      </c>
      <c r="C32" s="24">
        <v>-53.3</v>
      </c>
    </row>
    <row r="33" spans="1:3" x14ac:dyDescent="0.3">
      <c r="A33" s="26">
        <v>45961</v>
      </c>
      <c r="B33" s="34" t="s">
        <v>21</v>
      </c>
      <c r="C33" s="24">
        <v>37.619999999999997</v>
      </c>
    </row>
    <row r="34" spans="1:3" x14ac:dyDescent="0.3">
      <c r="A34" s="26">
        <v>45968</v>
      </c>
      <c r="B34" s="27" t="s">
        <v>4</v>
      </c>
      <c r="C34" s="24">
        <v>-37.619999999999997</v>
      </c>
    </row>
    <row r="35" spans="1:3" x14ac:dyDescent="0.3">
      <c r="A35" s="26">
        <v>45989</v>
      </c>
      <c r="B35" s="27" t="s">
        <v>7</v>
      </c>
      <c r="C35" s="24">
        <v>-17.14</v>
      </c>
    </row>
    <row r="36" spans="1:3" x14ac:dyDescent="0.3">
      <c r="A36" s="26">
        <v>45989</v>
      </c>
      <c r="B36" s="27" t="s">
        <v>1</v>
      </c>
      <c r="C36" s="24">
        <v>16.38</v>
      </c>
    </row>
    <row r="37" spans="1:3" x14ac:dyDescent="0.3">
      <c r="A37" s="26">
        <v>46052</v>
      </c>
      <c r="B37" s="27" t="s">
        <v>1</v>
      </c>
      <c r="C37" s="24">
        <v>45.3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66160-B51C-4079-A163-032FFB4B4E1D}">
  <sheetPr codeName="Hoja186"/>
  <dimension ref="A1:H14"/>
  <sheetViews>
    <sheetView view="pageBreakPreview" zoomScale="80" zoomScaleNormal="100" zoomScaleSheetLayoutView="80" workbookViewId="0">
      <selection activeCell="C15" sqref="C1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392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266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6.6300000000000026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45826</v>
      </c>
      <c r="B5" s="32" t="s">
        <v>21</v>
      </c>
      <c r="C5" s="24">
        <v>66.59</v>
      </c>
      <c r="D5" s="30"/>
      <c r="E5" s="30"/>
      <c r="F5" s="30"/>
      <c r="G5" s="22"/>
    </row>
    <row r="6" spans="1:8" x14ac:dyDescent="0.3">
      <c r="A6" s="21">
        <v>45826</v>
      </c>
      <c r="B6" s="34" t="s">
        <v>21</v>
      </c>
      <c r="C6" s="24">
        <v>23.89</v>
      </c>
    </row>
    <row r="7" spans="1:8" x14ac:dyDescent="0.3">
      <c r="A7" s="26">
        <v>45888</v>
      </c>
      <c r="B7" s="27" t="s">
        <v>4</v>
      </c>
      <c r="C7" s="24">
        <v>-90.47</v>
      </c>
    </row>
    <row r="8" spans="1:8" x14ac:dyDescent="0.3">
      <c r="A8" s="26">
        <v>45898</v>
      </c>
      <c r="B8" s="32" t="s">
        <v>21</v>
      </c>
      <c r="C8" s="24">
        <v>62.34</v>
      </c>
    </row>
    <row r="9" spans="1:8" x14ac:dyDescent="0.3">
      <c r="A9" s="26">
        <v>45898</v>
      </c>
      <c r="B9" s="27" t="s">
        <v>4</v>
      </c>
      <c r="C9" s="24">
        <v>-62.92</v>
      </c>
    </row>
    <row r="10" spans="1:8" x14ac:dyDescent="0.3">
      <c r="A10" s="26">
        <v>46043</v>
      </c>
      <c r="B10" s="31" t="s">
        <v>1</v>
      </c>
      <c r="C10" s="24">
        <v>72.599999999999994</v>
      </c>
    </row>
    <row r="11" spans="1:8" x14ac:dyDescent="0.3">
      <c r="A11" s="26">
        <v>46044</v>
      </c>
      <c r="B11" s="27" t="s">
        <v>4</v>
      </c>
      <c r="C11" s="24">
        <v>-69</v>
      </c>
    </row>
    <row r="12" spans="1:8" x14ac:dyDescent="0.3">
      <c r="A12" s="26">
        <v>46051</v>
      </c>
      <c r="B12" s="31" t="s">
        <v>1</v>
      </c>
      <c r="C12" s="24">
        <v>123.24</v>
      </c>
    </row>
    <row r="13" spans="1:8" x14ac:dyDescent="0.3">
      <c r="A13" s="26">
        <v>46052</v>
      </c>
      <c r="B13" s="27" t="s">
        <v>4</v>
      </c>
      <c r="C13" s="24">
        <v>-93.49</v>
      </c>
    </row>
    <row r="14" spans="1:8" x14ac:dyDescent="0.3">
      <c r="A14" s="26">
        <v>46055</v>
      </c>
      <c r="B14" s="27" t="s">
        <v>4</v>
      </c>
      <c r="C14" s="24">
        <v>-26.15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3B705-BE04-4BD8-938D-0054EE18BBCE}">
  <sheetPr codeName="Hoja187"/>
  <dimension ref="A1:H48"/>
  <sheetViews>
    <sheetView view="pageBreakPreview" zoomScale="80" zoomScaleNormal="100" zoomScaleSheetLayoutView="80" workbookViewId="0">
      <selection activeCell="C49" sqref="C4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221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222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44.17000000000003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45821</v>
      </c>
      <c r="B5" s="32" t="s">
        <v>21</v>
      </c>
      <c r="C5" s="24">
        <v>15.85</v>
      </c>
      <c r="D5" s="30"/>
      <c r="E5" s="30"/>
      <c r="F5" s="30"/>
      <c r="G5" s="22"/>
    </row>
    <row r="6" spans="1:8" hidden="1" x14ac:dyDescent="0.3">
      <c r="A6" s="21">
        <v>45825</v>
      </c>
      <c r="B6" s="32" t="s">
        <v>21</v>
      </c>
      <c r="C6" s="24">
        <v>7.7</v>
      </c>
    </row>
    <row r="7" spans="1:8" hidden="1" x14ac:dyDescent="0.3">
      <c r="A7" s="21">
        <v>45825</v>
      </c>
      <c r="B7" s="34" t="s">
        <v>21</v>
      </c>
      <c r="C7" s="24">
        <v>22.05</v>
      </c>
    </row>
    <row r="8" spans="1:8" hidden="1" x14ac:dyDescent="0.3">
      <c r="A8" s="21">
        <v>45825</v>
      </c>
      <c r="B8" s="46" t="s">
        <v>21</v>
      </c>
      <c r="C8" s="24">
        <v>29.36</v>
      </c>
    </row>
    <row r="9" spans="1:8" hidden="1" x14ac:dyDescent="0.3">
      <c r="A9" s="26">
        <v>45828</v>
      </c>
      <c r="B9" s="27" t="s">
        <v>4</v>
      </c>
      <c r="C9" s="24">
        <v>-15.85</v>
      </c>
    </row>
    <row r="10" spans="1:8" hidden="1" x14ac:dyDescent="0.3">
      <c r="A10" s="26">
        <v>45832</v>
      </c>
      <c r="B10" s="31" t="s">
        <v>4</v>
      </c>
      <c r="C10" s="24">
        <v>-57.81</v>
      </c>
    </row>
    <row r="11" spans="1:8" hidden="1" x14ac:dyDescent="0.3">
      <c r="A11" s="26">
        <v>45853</v>
      </c>
      <c r="B11" s="32" t="s">
        <v>21</v>
      </c>
      <c r="C11" s="24">
        <v>15.85</v>
      </c>
    </row>
    <row r="12" spans="1:8" hidden="1" x14ac:dyDescent="0.3">
      <c r="A12" s="26">
        <v>45853</v>
      </c>
      <c r="B12" s="46" t="s">
        <v>21</v>
      </c>
      <c r="C12" s="24">
        <v>19.440000000000001</v>
      </c>
    </row>
    <row r="13" spans="1:8" hidden="1" x14ac:dyDescent="0.3">
      <c r="A13" s="26">
        <v>45860</v>
      </c>
      <c r="B13" s="32" t="s">
        <v>21</v>
      </c>
      <c r="C13" s="24">
        <v>23.35</v>
      </c>
    </row>
    <row r="14" spans="1:8" hidden="1" x14ac:dyDescent="0.3">
      <c r="A14" s="26">
        <v>45860</v>
      </c>
      <c r="B14" s="27" t="s">
        <v>7</v>
      </c>
      <c r="C14" s="24">
        <v>-36.590000000000003</v>
      </c>
    </row>
    <row r="15" spans="1:8" hidden="1" x14ac:dyDescent="0.3">
      <c r="A15" s="26">
        <v>45867</v>
      </c>
      <c r="B15" s="34" t="s">
        <v>21</v>
      </c>
      <c r="C15" s="24">
        <v>21.69</v>
      </c>
    </row>
    <row r="16" spans="1:8" hidden="1" x14ac:dyDescent="0.3">
      <c r="A16" s="26">
        <v>45867</v>
      </c>
      <c r="B16" s="46" t="s">
        <v>21</v>
      </c>
      <c r="C16" s="24">
        <v>9.6300000000000008</v>
      </c>
    </row>
    <row r="17" spans="1:3" hidden="1" x14ac:dyDescent="0.3">
      <c r="A17" s="26">
        <v>45868</v>
      </c>
      <c r="B17" s="27" t="s">
        <v>4</v>
      </c>
      <c r="C17" s="24">
        <v>-23.15</v>
      </c>
    </row>
    <row r="18" spans="1:3" hidden="1" x14ac:dyDescent="0.3">
      <c r="A18" s="26">
        <v>45881</v>
      </c>
      <c r="B18" s="27" t="s">
        <v>7</v>
      </c>
      <c r="C18" s="24">
        <v>-31.54</v>
      </c>
    </row>
    <row r="19" spans="1:3" x14ac:dyDescent="0.3">
      <c r="A19" s="26">
        <v>45902</v>
      </c>
      <c r="B19" s="32" t="s">
        <v>21</v>
      </c>
      <c r="C19" s="24">
        <v>15</v>
      </c>
    </row>
    <row r="20" spans="1:3" x14ac:dyDescent="0.3">
      <c r="A20" s="26">
        <v>45902</v>
      </c>
      <c r="B20" s="34" t="s">
        <v>21</v>
      </c>
      <c r="C20" s="24">
        <v>25.31</v>
      </c>
    </row>
    <row r="21" spans="1:3" x14ac:dyDescent="0.3">
      <c r="A21" s="26">
        <v>45902</v>
      </c>
      <c r="B21" s="46" t="s">
        <v>21</v>
      </c>
      <c r="C21" s="24">
        <v>27.84</v>
      </c>
    </row>
    <row r="22" spans="1:3" x14ac:dyDescent="0.3">
      <c r="A22" s="26">
        <v>45909</v>
      </c>
      <c r="B22" s="32" t="s">
        <v>21</v>
      </c>
      <c r="C22" s="24">
        <v>9.1999999999999993</v>
      </c>
    </row>
    <row r="23" spans="1:3" x14ac:dyDescent="0.3">
      <c r="A23" s="26">
        <v>45909</v>
      </c>
      <c r="B23" s="34" t="s">
        <v>21</v>
      </c>
      <c r="C23" s="24">
        <v>40.67</v>
      </c>
    </row>
    <row r="24" spans="1:3" x14ac:dyDescent="0.3">
      <c r="A24" s="26">
        <v>45909</v>
      </c>
      <c r="B24" s="46" t="s">
        <v>21</v>
      </c>
      <c r="C24" s="24">
        <v>11.68</v>
      </c>
    </row>
    <row r="25" spans="1:3" x14ac:dyDescent="0.3">
      <c r="A25" s="26">
        <v>45923</v>
      </c>
      <c r="B25" s="27" t="s">
        <v>4</v>
      </c>
      <c r="C25" s="24">
        <v>-25.53</v>
      </c>
    </row>
    <row r="26" spans="1:3" x14ac:dyDescent="0.3">
      <c r="A26" s="26">
        <v>45924</v>
      </c>
      <c r="B26" s="27" t="s">
        <v>4</v>
      </c>
      <c r="C26" s="24">
        <v>-58.83</v>
      </c>
    </row>
    <row r="27" spans="1:3" x14ac:dyDescent="0.3">
      <c r="A27" s="26">
        <v>45930</v>
      </c>
      <c r="B27" s="27" t="s">
        <v>7</v>
      </c>
      <c r="C27" s="24">
        <v>-40.61</v>
      </c>
    </row>
    <row r="28" spans="1:3" x14ac:dyDescent="0.3">
      <c r="A28" s="26">
        <v>45930</v>
      </c>
      <c r="B28" s="32" t="s">
        <v>21</v>
      </c>
      <c r="C28" s="24">
        <v>27.95</v>
      </c>
    </row>
    <row r="29" spans="1:3" x14ac:dyDescent="0.3">
      <c r="A29" s="26">
        <v>45930</v>
      </c>
      <c r="B29" s="34" t="s">
        <v>21</v>
      </c>
      <c r="C29" s="24">
        <v>8.6</v>
      </c>
    </row>
    <row r="30" spans="1:3" x14ac:dyDescent="0.3">
      <c r="A30" s="26">
        <v>45930</v>
      </c>
      <c r="B30" s="46" t="s">
        <v>21</v>
      </c>
      <c r="C30" s="24">
        <v>17.3</v>
      </c>
    </row>
    <row r="31" spans="1:3" x14ac:dyDescent="0.3">
      <c r="A31" s="26">
        <v>45947</v>
      </c>
      <c r="B31" s="27" t="s">
        <v>4</v>
      </c>
      <c r="C31" s="24">
        <v>-11.26</v>
      </c>
    </row>
    <row r="32" spans="1:3" x14ac:dyDescent="0.3">
      <c r="A32" s="26">
        <v>45951</v>
      </c>
      <c r="B32" s="27" t="s">
        <v>4</v>
      </c>
      <c r="C32" s="24">
        <v>-53.85</v>
      </c>
    </row>
    <row r="33" spans="1:3" x14ac:dyDescent="0.3">
      <c r="A33" s="26">
        <v>45951</v>
      </c>
      <c r="B33" s="34" t="s">
        <v>21</v>
      </c>
      <c r="C33" s="24">
        <v>16.59</v>
      </c>
    </row>
    <row r="34" spans="1:3" x14ac:dyDescent="0.3">
      <c r="A34" s="26">
        <v>45951</v>
      </c>
      <c r="B34" s="46" t="s">
        <v>21</v>
      </c>
      <c r="C34" s="24">
        <v>10.62</v>
      </c>
    </row>
    <row r="35" spans="1:3" x14ac:dyDescent="0.3">
      <c r="A35" s="26">
        <v>45972</v>
      </c>
      <c r="B35" s="27" t="s">
        <v>1</v>
      </c>
      <c r="C35" s="24">
        <v>113.63</v>
      </c>
    </row>
    <row r="36" spans="1:3" x14ac:dyDescent="0.3">
      <c r="A36" s="26">
        <v>45985</v>
      </c>
      <c r="B36" s="27" t="s">
        <v>4</v>
      </c>
      <c r="C36" s="24">
        <v>-65.81</v>
      </c>
    </row>
    <row r="37" spans="1:3" x14ac:dyDescent="0.3">
      <c r="A37" s="26">
        <v>45993</v>
      </c>
      <c r="B37" s="27" t="s">
        <v>4</v>
      </c>
      <c r="C37" s="24">
        <v>-34.619999999999997</v>
      </c>
    </row>
    <row r="38" spans="1:3" x14ac:dyDescent="0.3">
      <c r="A38" s="26">
        <v>45993</v>
      </c>
      <c r="B38" s="27" t="s">
        <v>4</v>
      </c>
      <c r="C38" s="24">
        <v>-40.5</v>
      </c>
    </row>
    <row r="39" spans="1:3" x14ac:dyDescent="0.3">
      <c r="A39" s="26">
        <v>45993</v>
      </c>
      <c r="B39" s="27" t="s">
        <v>1</v>
      </c>
      <c r="C39" s="24">
        <v>45.59</v>
      </c>
    </row>
    <row r="40" spans="1:3" x14ac:dyDescent="0.3">
      <c r="A40" s="26">
        <v>46008</v>
      </c>
      <c r="B40" s="27" t="s">
        <v>4</v>
      </c>
      <c r="C40" s="24">
        <v>-45.59</v>
      </c>
    </row>
    <row r="41" spans="1:3" x14ac:dyDescent="0.3">
      <c r="A41" s="26">
        <v>46008</v>
      </c>
      <c r="B41" s="27" t="s">
        <v>1</v>
      </c>
      <c r="C41" s="24">
        <v>66.790000000000006</v>
      </c>
    </row>
    <row r="42" spans="1:3" x14ac:dyDescent="0.3">
      <c r="A42" s="26">
        <v>46028</v>
      </c>
      <c r="B42" s="27" t="s">
        <v>4</v>
      </c>
      <c r="C42" s="24">
        <v>-23.36</v>
      </c>
    </row>
    <row r="43" spans="1:3" x14ac:dyDescent="0.3">
      <c r="A43" s="26">
        <v>46028</v>
      </c>
      <c r="B43" s="27" t="s">
        <v>7</v>
      </c>
      <c r="C43" s="24">
        <v>-43.18</v>
      </c>
    </row>
    <row r="44" spans="1:3" x14ac:dyDescent="0.3">
      <c r="A44" s="26">
        <v>46028</v>
      </c>
      <c r="B44" s="27" t="s">
        <v>1</v>
      </c>
      <c r="C44" s="24">
        <v>40.33</v>
      </c>
    </row>
    <row r="45" spans="1:3" x14ac:dyDescent="0.3">
      <c r="A45" s="26">
        <v>46035</v>
      </c>
      <c r="B45" s="27" t="s">
        <v>4</v>
      </c>
      <c r="C45" s="24">
        <v>-29.06</v>
      </c>
    </row>
    <row r="46" spans="1:3" x14ac:dyDescent="0.3">
      <c r="A46" s="26">
        <v>46035</v>
      </c>
      <c r="B46" s="27" t="s">
        <v>1</v>
      </c>
      <c r="C46" s="24">
        <v>13.8</v>
      </c>
    </row>
    <row r="47" spans="1:3" x14ac:dyDescent="0.3">
      <c r="A47" s="26">
        <v>46044</v>
      </c>
      <c r="B47" s="27" t="s">
        <v>4</v>
      </c>
      <c r="C47" s="24">
        <v>-18.68</v>
      </c>
    </row>
    <row r="48" spans="1:3" x14ac:dyDescent="0.3">
      <c r="A48" s="26">
        <v>46049</v>
      </c>
      <c r="B48" s="27" t="s">
        <v>1</v>
      </c>
      <c r="C48" s="24">
        <v>44.17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A0CC1-45B5-422B-B988-7DBF756DECD7}">
  <dimension ref="A1:I108"/>
  <sheetViews>
    <sheetView view="pageBreakPreview" zoomScale="80" zoomScaleNormal="100" zoomScaleSheetLayoutView="80" workbookViewId="0">
      <selection activeCell="C20" sqref="C2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450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451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1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45919</v>
      </c>
      <c r="B5" s="27" t="s">
        <v>21</v>
      </c>
      <c r="C5" s="24">
        <v>41.6</v>
      </c>
      <c r="D5" s="30"/>
      <c r="E5" s="30"/>
      <c r="F5" s="30"/>
      <c r="G5" s="22"/>
    </row>
    <row r="6" spans="1:8" x14ac:dyDescent="0.3">
      <c r="A6" s="21">
        <v>45919</v>
      </c>
      <c r="B6" s="32" t="s">
        <v>1</v>
      </c>
      <c r="C6" s="24">
        <v>48.19</v>
      </c>
      <c r="D6" s="25">
        <v>1</v>
      </c>
    </row>
    <row r="7" spans="1:8" x14ac:dyDescent="0.3">
      <c r="A7" s="21">
        <v>45919</v>
      </c>
      <c r="B7" s="34" t="s">
        <v>1</v>
      </c>
      <c r="C7" s="24">
        <v>44.1</v>
      </c>
    </row>
    <row r="8" spans="1:8" x14ac:dyDescent="0.3">
      <c r="A8" s="26">
        <v>45924</v>
      </c>
      <c r="B8" s="27" t="s">
        <v>4</v>
      </c>
      <c r="C8" s="24">
        <v>-53.94</v>
      </c>
    </row>
    <row r="9" spans="1:8" x14ac:dyDescent="0.3">
      <c r="A9" s="26">
        <v>45933</v>
      </c>
      <c r="B9" s="34" t="s">
        <v>1</v>
      </c>
      <c r="C9" s="24">
        <v>35.9</v>
      </c>
    </row>
    <row r="10" spans="1:8" x14ac:dyDescent="0.3">
      <c r="A10" s="26">
        <v>45940</v>
      </c>
      <c r="B10" s="31" t="s">
        <v>4</v>
      </c>
      <c r="C10" s="24">
        <v>-35.9</v>
      </c>
    </row>
    <row r="11" spans="1:8" x14ac:dyDescent="0.3">
      <c r="A11" s="26">
        <v>45940</v>
      </c>
      <c r="B11" s="31" t="s">
        <v>4</v>
      </c>
      <c r="C11" s="24">
        <v>-89.79</v>
      </c>
    </row>
    <row r="12" spans="1:8" x14ac:dyDescent="0.3">
      <c r="A12" s="26">
        <v>45954</v>
      </c>
      <c r="B12" s="27" t="s">
        <v>1</v>
      </c>
      <c r="C12" s="24">
        <v>46</v>
      </c>
    </row>
    <row r="13" spans="1:8" x14ac:dyDescent="0.3">
      <c r="A13" s="26">
        <v>45968</v>
      </c>
      <c r="B13" s="27" t="s">
        <v>4</v>
      </c>
      <c r="C13" s="24">
        <v>-36.159999999999997</v>
      </c>
    </row>
    <row r="14" spans="1:8" x14ac:dyDescent="0.3">
      <c r="A14" s="26">
        <v>45975</v>
      </c>
      <c r="B14" s="27" t="s">
        <v>1</v>
      </c>
      <c r="C14" s="24">
        <v>30.36</v>
      </c>
    </row>
    <row r="15" spans="1:8" x14ac:dyDescent="0.3">
      <c r="A15" s="26">
        <v>45979</v>
      </c>
      <c r="B15" s="27" t="s">
        <v>4</v>
      </c>
      <c r="C15" s="24">
        <v>-30.36</v>
      </c>
    </row>
    <row r="16" spans="1:8" x14ac:dyDescent="0.3">
      <c r="A16" s="26">
        <v>45981</v>
      </c>
      <c r="B16" s="27" t="s">
        <v>4</v>
      </c>
      <c r="C16" s="24">
        <v>-9.77</v>
      </c>
    </row>
    <row r="17" spans="1:3" x14ac:dyDescent="0.3">
      <c r="A17" s="26">
        <v>45982</v>
      </c>
      <c r="B17" s="27" t="s">
        <v>1</v>
      </c>
      <c r="C17" s="24">
        <v>82.26</v>
      </c>
    </row>
    <row r="18" spans="1:3" x14ac:dyDescent="0.3">
      <c r="A18" s="26">
        <v>46003</v>
      </c>
      <c r="B18" s="27" t="s">
        <v>1</v>
      </c>
      <c r="C18" s="24">
        <v>111.96</v>
      </c>
    </row>
    <row r="19" spans="1:3" x14ac:dyDescent="0.3">
      <c r="A19" s="26">
        <v>46031</v>
      </c>
      <c r="B19" s="27" t="s">
        <v>4</v>
      </c>
      <c r="C19" s="24">
        <v>-184.45</v>
      </c>
    </row>
    <row r="108" spans="9:9" x14ac:dyDescent="0.3">
      <c r="I108" s="18" t="s">
        <v>121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740A6-003A-4482-815E-2A02D0C34DE1}">
  <sheetPr codeName="Hoja121"/>
  <dimension ref="A1:I108"/>
  <sheetViews>
    <sheetView view="pageBreakPreview" zoomScale="80" zoomScaleNormal="100" zoomScaleSheetLayoutView="80" workbookViewId="0">
      <selection activeCell="C29" sqref="C2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182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67.380000000000024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45819</v>
      </c>
      <c r="B5" s="32" t="s">
        <v>21</v>
      </c>
      <c r="C5" s="24">
        <v>51.38</v>
      </c>
      <c r="D5" s="30"/>
      <c r="E5" s="30"/>
      <c r="F5" s="30"/>
      <c r="G5" s="22"/>
    </row>
    <row r="6" spans="1:8" x14ac:dyDescent="0.3">
      <c r="A6" s="21">
        <v>45831</v>
      </c>
      <c r="B6" s="27" t="s">
        <v>4</v>
      </c>
      <c r="C6" s="24">
        <v>-51.38</v>
      </c>
    </row>
    <row r="7" spans="1:8" x14ac:dyDescent="0.3">
      <c r="A7" s="21">
        <v>45846</v>
      </c>
      <c r="B7" s="32" t="s">
        <v>21</v>
      </c>
      <c r="C7" s="24">
        <v>100.72</v>
      </c>
    </row>
    <row r="8" spans="1:8" x14ac:dyDescent="0.3">
      <c r="A8" s="26">
        <v>45860</v>
      </c>
      <c r="B8" s="27" t="s">
        <v>4</v>
      </c>
      <c r="C8" s="24">
        <v>-100.72</v>
      </c>
    </row>
    <row r="9" spans="1:8" x14ac:dyDescent="0.3">
      <c r="A9" s="26">
        <v>45860</v>
      </c>
      <c r="B9" s="32" t="s">
        <v>21</v>
      </c>
      <c r="C9" s="24">
        <v>110.56</v>
      </c>
    </row>
    <row r="10" spans="1:8" x14ac:dyDescent="0.3">
      <c r="A10" s="26">
        <v>45870</v>
      </c>
      <c r="B10" s="31" t="s">
        <v>4</v>
      </c>
      <c r="C10" s="24">
        <v>-110.56</v>
      </c>
    </row>
    <row r="11" spans="1:8" x14ac:dyDescent="0.3">
      <c r="A11" s="26">
        <v>45874</v>
      </c>
      <c r="B11" s="32" t="s">
        <v>21</v>
      </c>
      <c r="C11" s="24">
        <f>74.85-G11</f>
        <v>67.11</v>
      </c>
      <c r="G11" s="24">
        <v>7.74</v>
      </c>
    </row>
    <row r="12" spans="1:8" x14ac:dyDescent="0.3">
      <c r="A12" s="26">
        <v>45881</v>
      </c>
      <c r="B12" s="32" t="s">
        <v>21</v>
      </c>
      <c r="C12" s="24">
        <v>83.08</v>
      </c>
    </row>
    <row r="13" spans="1:8" x14ac:dyDescent="0.3">
      <c r="A13" s="26">
        <v>45888</v>
      </c>
      <c r="B13" s="27" t="s">
        <v>4</v>
      </c>
      <c r="C13" s="24">
        <v>-67.58</v>
      </c>
    </row>
    <row r="14" spans="1:8" x14ac:dyDescent="0.3">
      <c r="A14" s="26">
        <v>45893</v>
      </c>
      <c r="B14" s="27" t="s">
        <v>23</v>
      </c>
      <c r="G14" s="24">
        <v>-7.74</v>
      </c>
    </row>
    <row r="15" spans="1:8" x14ac:dyDescent="0.3">
      <c r="A15" s="26">
        <v>45902</v>
      </c>
      <c r="B15" s="27" t="s">
        <v>4</v>
      </c>
      <c r="C15" s="24">
        <v>-83.08</v>
      </c>
    </row>
    <row r="16" spans="1:8" x14ac:dyDescent="0.3">
      <c r="A16" s="26">
        <v>45904</v>
      </c>
      <c r="B16" s="32" t="s">
        <v>21</v>
      </c>
      <c r="C16" s="24">
        <v>79.25</v>
      </c>
    </row>
    <row r="17" spans="1:3" x14ac:dyDescent="0.3">
      <c r="A17" s="26">
        <v>45917</v>
      </c>
      <c r="B17" s="27" t="s">
        <v>4</v>
      </c>
      <c r="C17" s="24">
        <v>-78.55</v>
      </c>
    </row>
    <row r="18" spans="1:3" x14ac:dyDescent="0.3">
      <c r="A18" s="26">
        <v>45923</v>
      </c>
      <c r="B18" s="32" t="s">
        <v>21</v>
      </c>
      <c r="C18" s="24">
        <v>116.57</v>
      </c>
    </row>
    <row r="19" spans="1:3" x14ac:dyDescent="0.3">
      <c r="A19" s="26">
        <v>45947</v>
      </c>
      <c r="B19" s="27" t="s">
        <v>4</v>
      </c>
      <c r="C19" s="24">
        <v>-116.57</v>
      </c>
    </row>
    <row r="20" spans="1:3" x14ac:dyDescent="0.3">
      <c r="A20" s="26">
        <v>45953</v>
      </c>
      <c r="B20" s="32" t="s">
        <v>21</v>
      </c>
      <c r="C20" s="24">
        <v>74.64</v>
      </c>
    </row>
    <row r="21" spans="1:3" x14ac:dyDescent="0.3">
      <c r="A21" s="26">
        <v>45979</v>
      </c>
      <c r="B21" s="27" t="s">
        <v>4</v>
      </c>
      <c r="C21" s="24">
        <v>-74.64</v>
      </c>
    </row>
    <row r="22" spans="1:3" x14ac:dyDescent="0.3">
      <c r="A22" s="26">
        <v>45986</v>
      </c>
      <c r="B22" s="27" t="s">
        <v>1</v>
      </c>
      <c r="C22" s="24">
        <v>74.64</v>
      </c>
    </row>
    <row r="23" spans="1:3" x14ac:dyDescent="0.3">
      <c r="A23" s="26">
        <v>46000</v>
      </c>
      <c r="B23" s="27" t="s">
        <v>4</v>
      </c>
      <c r="C23" s="24">
        <v>-74.64</v>
      </c>
    </row>
    <row r="24" spans="1:3" x14ac:dyDescent="0.3">
      <c r="A24" s="26">
        <v>46002</v>
      </c>
      <c r="B24" s="27" t="s">
        <v>1</v>
      </c>
      <c r="C24" s="24">
        <v>165.12</v>
      </c>
    </row>
    <row r="25" spans="1:3" x14ac:dyDescent="0.3">
      <c r="A25" s="26">
        <v>46028</v>
      </c>
      <c r="B25" s="27" t="s">
        <v>4</v>
      </c>
      <c r="C25" s="24">
        <v>-165.12</v>
      </c>
    </row>
    <row r="26" spans="1:3" x14ac:dyDescent="0.3">
      <c r="A26" s="26">
        <v>46035</v>
      </c>
      <c r="B26" s="27" t="s">
        <v>1</v>
      </c>
      <c r="C26" s="24">
        <v>39.36</v>
      </c>
    </row>
    <row r="27" spans="1:3" x14ac:dyDescent="0.3">
      <c r="A27" s="26">
        <v>46043</v>
      </c>
      <c r="B27" s="27" t="s">
        <v>4</v>
      </c>
      <c r="C27" s="24">
        <v>-39.049999999999997</v>
      </c>
    </row>
    <row r="28" spans="1:3" x14ac:dyDescent="0.3">
      <c r="A28" s="26">
        <v>46056</v>
      </c>
      <c r="B28" s="27" t="s">
        <v>1</v>
      </c>
      <c r="C28" s="24">
        <v>66.84</v>
      </c>
    </row>
    <row r="108" spans="9:9" x14ac:dyDescent="0.3">
      <c r="I108" s="18" t="s">
        <v>121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320A9-702D-4B20-B224-51EE9E68F8E8}">
  <dimension ref="A1:H86"/>
  <sheetViews>
    <sheetView view="pageBreakPreview" zoomScale="80" zoomScaleNormal="100" zoomScaleSheetLayoutView="80" workbookViewId="0">
      <selection activeCell="C74" sqref="C74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318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319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190.09999999999997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45835</v>
      </c>
      <c r="B5" s="32" t="s">
        <v>21</v>
      </c>
      <c r="C5" s="24">
        <v>42.29</v>
      </c>
      <c r="D5" s="30"/>
      <c r="E5" s="30"/>
      <c r="F5" s="30"/>
      <c r="G5" s="22"/>
    </row>
    <row r="6" spans="1:8" hidden="1" x14ac:dyDescent="0.3">
      <c r="A6" s="21">
        <v>45841</v>
      </c>
      <c r="B6" s="27" t="s">
        <v>291</v>
      </c>
      <c r="C6" s="24">
        <v>-42.29</v>
      </c>
    </row>
    <row r="7" spans="1:8" hidden="1" x14ac:dyDescent="0.3">
      <c r="A7" s="21">
        <v>45849</v>
      </c>
      <c r="B7" s="32" t="s">
        <v>21</v>
      </c>
      <c r="C7" s="24">
        <v>42.39</v>
      </c>
    </row>
    <row r="8" spans="1:8" hidden="1" x14ac:dyDescent="0.3">
      <c r="A8" s="26">
        <v>45862</v>
      </c>
      <c r="B8" s="27" t="s">
        <v>4</v>
      </c>
      <c r="C8" s="24">
        <v>-42.39</v>
      </c>
    </row>
    <row r="9" spans="1:8" hidden="1" x14ac:dyDescent="0.3">
      <c r="A9" s="26">
        <v>45862</v>
      </c>
      <c r="B9" s="34" t="s">
        <v>21</v>
      </c>
      <c r="C9" s="24">
        <v>88.7</v>
      </c>
    </row>
    <row r="10" spans="1:8" hidden="1" x14ac:dyDescent="0.3">
      <c r="A10" s="26">
        <v>45862</v>
      </c>
      <c r="B10" s="32" t="s">
        <v>21</v>
      </c>
      <c r="C10" s="24">
        <v>12.1</v>
      </c>
    </row>
    <row r="11" spans="1:8" hidden="1" x14ac:dyDescent="0.3">
      <c r="A11" s="26">
        <v>45869</v>
      </c>
      <c r="B11" s="27" t="s">
        <v>7</v>
      </c>
      <c r="C11" s="24">
        <v>-100.8</v>
      </c>
    </row>
    <row r="12" spans="1:8" hidden="1" x14ac:dyDescent="0.3">
      <c r="A12" s="26">
        <v>45876</v>
      </c>
      <c r="B12" s="32" t="s">
        <v>21</v>
      </c>
      <c r="C12" s="24">
        <v>35.4</v>
      </c>
    </row>
    <row r="13" spans="1:8" hidden="1" x14ac:dyDescent="0.3">
      <c r="A13" s="26">
        <v>45883</v>
      </c>
      <c r="B13" s="27" t="s">
        <v>7</v>
      </c>
      <c r="C13" s="24">
        <v>-35.409999999999997</v>
      </c>
    </row>
    <row r="14" spans="1:8" hidden="1" x14ac:dyDescent="0.3">
      <c r="A14" s="26">
        <v>45883</v>
      </c>
      <c r="B14" s="32" t="s">
        <v>21</v>
      </c>
      <c r="C14" s="24">
        <v>17.34</v>
      </c>
    </row>
    <row r="15" spans="1:8" hidden="1" x14ac:dyDescent="0.3">
      <c r="A15" s="26">
        <v>45883</v>
      </c>
      <c r="B15" s="34" t="s">
        <v>21</v>
      </c>
      <c r="C15" s="24">
        <v>65.790000000000006</v>
      </c>
    </row>
    <row r="16" spans="1:8" hidden="1" x14ac:dyDescent="0.3">
      <c r="A16" s="26">
        <v>45889</v>
      </c>
      <c r="B16" s="27" t="s">
        <v>4</v>
      </c>
      <c r="C16" s="24">
        <v>-83.13</v>
      </c>
    </row>
    <row r="17" spans="1:3" hidden="1" x14ac:dyDescent="0.3">
      <c r="A17" s="26">
        <v>45890</v>
      </c>
      <c r="B17" s="32" t="s">
        <v>21</v>
      </c>
      <c r="C17" s="24">
        <v>20.45</v>
      </c>
    </row>
    <row r="18" spans="1:3" hidden="1" x14ac:dyDescent="0.3">
      <c r="A18" s="26">
        <v>45890</v>
      </c>
      <c r="B18" s="34" t="s">
        <v>21</v>
      </c>
      <c r="C18" s="24">
        <v>226.68</v>
      </c>
    </row>
    <row r="19" spans="1:3" hidden="1" x14ac:dyDescent="0.3">
      <c r="A19" s="26">
        <v>45890</v>
      </c>
      <c r="B19" s="46" t="s">
        <v>21</v>
      </c>
      <c r="C19" s="24">
        <v>12.18</v>
      </c>
    </row>
    <row r="20" spans="1:3" hidden="1" x14ac:dyDescent="0.3">
      <c r="A20" s="26">
        <v>45897</v>
      </c>
      <c r="B20" s="27" t="s">
        <v>4</v>
      </c>
      <c r="C20" s="24">
        <v>-259.31</v>
      </c>
    </row>
    <row r="21" spans="1:3" hidden="1" x14ac:dyDescent="0.3">
      <c r="A21" s="26">
        <v>45897</v>
      </c>
      <c r="B21" s="32" t="s">
        <v>21</v>
      </c>
      <c r="C21" s="24">
        <v>12.1</v>
      </c>
    </row>
    <row r="22" spans="1:3" hidden="1" x14ac:dyDescent="0.3">
      <c r="A22" s="26">
        <v>45897</v>
      </c>
      <c r="B22" s="34" t="s">
        <v>21</v>
      </c>
      <c r="C22" s="24">
        <v>32.35</v>
      </c>
    </row>
    <row r="23" spans="1:3" hidden="1" x14ac:dyDescent="0.3">
      <c r="A23" s="26">
        <v>45902</v>
      </c>
      <c r="B23" s="27" t="s">
        <v>4</v>
      </c>
      <c r="C23" s="24">
        <v>-44.45</v>
      </c>
    </row>
    <row r="24" spans="1:3" hidden="1" x14ac:dyDescent="0.3">
      <c r="A24" s="26">
        <v>45904</v>
      </c>
      <c r="B24" s="32" t="s">
        <v>21</v>
      </c>
      <c r="C24" s="24">
        <v>42.05</v>
      </c>
    </row>
    <row r="25" spans="1:3" hidden="1" x14ac:dyDescent="0.3">
      <c r="A25" s="26">
        <v>45904</v>
      </c>
      <c r="B25" s="34" t="s">
        <v>21</v>
      </c>
      <c r="C25" s="24">
        <v>133.47</v>
      </c>
    </row>
    <row r="26" spans="1:3" hidden="1" x14ac:dyDescent="0.3">
      <c r="A26" s="26">
        <v>45918</v>
      </c>
      <c r="B26" s="27" t="s">
        <v>4</v>
      </c>
      <c r="C26" s="24">
        <v>-175.52</v>
      </c>
    </row>
    <row r="27" spans="1:3" hidden="1" x14ac:dyDescent="0.3">
      <c r="A27" s="26">
        <v>45918</v>
      </c>
      <c r="B27" s="32" t="s">
        <v>21</v>
      </c>
      <c r="C27" s="24">
        <v>13.8</v>
      </c>
    </row>
    <row r="28" spans="1:3" hidden="1" x14ac:dyDescent="0.3">
      <c r="A28" s="26">
        <v>45918</v>
      </c>
      <c r="B28" s="34" t="s">
        <v>21</v>
      </c>
      <c r="C28" s="24">
        <v>108.3</v>
      </c>
    </row>
    <row r="29" spans="1:3" hidden="1" x14ac:dyDescent="0.3">
      <c r="A29" s="26">
        <v>45925</v>
      </c>
      <c r="B29" s="27" t="s">
        <v>4</v>
      </c>
      <c r="C29" s="24">
        <v>-122.1</v>
      </c>
    </row>
    <row r="30" spans="1:3" hidden="1" x14ac:dyDescent="0.3">
      <c r="A30" s="26">
        <v>45925</v>
      </c>
      <c r="B30" s="32" t="s">
        <v>21</v>
      </c>
      <c r="C30" s="24">
        <v>21.94</v>
      </c>
    </row>
    <row r="31" spans="1:3" hidden="1" x14ac:dyDescent="0.3">
      <c r="A31" s="26">
        <v>45925</v>
      </c>
      <c r="B31" s="34" t="s">
        <v>21</v>
      </c>
      <c r="C31" s="24">
        <v>107.14</v>
      </c>
    </row>
    <row r="32" spans="1:3" hidden="1" x14ac:dyDescent="0.3">
      <c r="A32" s="26">
        <v>45902</v>
      </c>
      <c r="B32" s="32" t="s">
        <v>21</v>
      </c>
      <c r="C32" s="24">
        <v>19.48</v>
      </c>
    </row>
    <row r="33" spans="1:3" hidden="1" x14ac:dyDescent="0.3">
      <c r="A33" s="26">
        <v>45902</v>
      </c>
      <c r="B33" s="34" t="s">
        <v>21</v>
      </c>
      <c r="C33" s="24">
        <v>100.7</v>
      </c>
    </row>
    <row r="34" spans="1:3" hidden="1" x14ac:dyDescent="0.3">
      <c r="A34" s="26">
        <v>45903</v>
      </c>
      <c r="B34" s="27" t="s">
        <v>4</v>
      </c>
      <c r="C34" s="24">
        <v>-129.08000000000001</v>
      </c>
    </row>
    <row r="35" spans="1:3" hidden="1" x14ac:dyDescent="0.3">
      <c r="A35" s="26">
        <v>45938</v>
      </c>
      <c r="B35" s="27" t="s">
        <v>4</v>
      </c>
      <c r="C35" s="24">
        <v>-120.18</v>
      </c>
    </row>
    <row r="36" spans="1:3" hidden="1" x14ac:dyDescent="0.3">
      <c r="A36" s="26">
        <v>45939</v>
      </c>
      <c r="B36" s="32" t="s">
        <v>21</v>
      </c>
      <c r="C36" s="24">
        <v>16.7</v>
      </c>
    </row>
    <row r="37" spans="1:3" hidden="1" x14ac:dyDescent="0.3">
      <c r="A37" s="26">
        <v>45939</v>
      </c>
      <c r="B37" s="34" t="s">
        <v>21</v>
      </c>
      <c r="C37" s="24">
        <v>111.13</v>
      </c>
    </row>
    <row r="38" spans="1:3" hidden="1" x14ac:dyDescent="0.3">
      <c r="A38" s="26">
        <v>45944</v>
      </c>
      <c r="B38" s="27" t="s">
        <v>4</v>
      </c>
      <c r="C38" s="24">
        <v>-127.83</v>
      </c>
    </row>
    <row r="39" spans="1:3" hidden="1" x14ac:dyDescent="0.3">
      <c r="A39" s="26">
        <v>45946</v>
      </c>
      <c r="B39" s="32" t="s">
        <v>21</v>
      </c>
      <c r="C39" s="24">
        <v>44.64</v>
      </c>
    </row>
    <row r="40" spans="1:3" hidden="1" x14ac:dyDescent="0.3">
      <c r="A40" s="26">
        <v>45946</v>
      </c>
      <c r="B40" s="34" t="s">
        <v>21</v>
      </c>
      <c r="C40" s="24">
        <v>166.85</v>
      </c>
    </row>
    <row r="41" spans="1:3" hidden="1" x14ac:dyDescent="0.3">
      <c r="A41" s="26">
        <v>45951</v>
      </c>
      <c r="B41" s="27" t="s">
        <v>4</v>
      </c>
      <c r="C41" s="24">
        <v>-211.49</v>
      </c>
    </row>
    <row r="42" spans="1:3" x14ac:dyDescent="0.3">
      <c r="A42" s="26">
        <v>45953</v>
      </c>
      <c r="B42" s="32" t="s">
        <v>21</v>
      </c>
      <c r="C42" s="24">
        <v>38</v>
      </c>
    </row>
    <row r="43" spans="1:3" x14ac:dyDescent="0.3">
      <c r="A43" s="26">
        <v>45953</v>
      </c>
      <c r="B43" s="34" t="s">
        <v>21</v>
      </c>
      <c r="C43" s="24">
        <v>198.54</v>
      </c>
    </row>
    <row r="44" spans="1:3" x14ac:dyDescent="0.3">
      <c r="A44" s="26">
        <v>45953</v>
      </c>
      <c r="B44" s="46" t="s">
        <v>21</v>
      </c>
      <c r="C44" s="24">
        <v>3</v>
      </c>
    </row>
    <row r="45" spans="1:3" x14ac:dyDescent="0.3">
      <c r="A45" s="26">
        <v>45960</v>
      </c>
      <c r="B45" s="27" t="s">
        <v>4</v>
      </c>
      <c r="C45" s="24">
        <v>-239.53</v>
      </c>
    </row>
    <row r="46" spans="1:3" x14ac:dyDescent="0.3">
      <c r="A46" s="26">
        <v>45960</v>
      </c>
      <c r="B46" s="32" t="s">
        <v>21</v>
      </c>
      <c r="C46" s="24">
        <v>54.9</v>
      </c>
    </row>
    <row r="47" spans="1:3" x14ac:dyDescent="0.3">
      <c r="A47" s="26">
        <v>45960</v>
      </c>
      <c r="B47" s="34" t="s">
        <v>21</v>
      </c>
      <c r="C47" s="24">
        <v>126.8</v>
      </c>
    </row>
    <row r="48" spans="1:3" x14ac:dyDescent="0.3">
      <c r="A48" s="26">
        <v>45967</v>
      </c>
      <c r="B48" s="27" t="s">
        <v>4</v>
      </c>
      <c r="C48" s="24">
        <v>-181.7</v>
      </c>
    </row>
    <row r="49" spans="1:3" x14ac:dyDescent="0.3">
      <c r="A49" s="26">
        <v>45967</v>
      </c>
      <c r="B49" s="32" t="s">
        <v>21</v>
      </c>
      <c r="C49" s="24">
        <v>12.1</v>
      </c>
    </row>
    <row r="50" spans="1:3" x14ac:dyDescent="0.3">
      <c r="A50" s="26">
        <v>45967</v>
      </c>
      <c r="B50" s="34" t="s">
        <v>21</v>
      </c>
      <c r="C50" s="24">
        <v>98.8</v>
      </c>
    </row>
    <row r="51" spans="1:3" x14ac:dyDescent="0.3">
      <c r="A51" s="26">
        <v>45974</v>
      </c>
      <c r="B51" s="27" t="s">
        <v>4</v>
      </c>
      <c r="C51" s="24">
        <v>-110.9</v>
      </c>
    </row>
    <row r="52" spans="1:3" x14ac:dyDescent="0.3">
      <c r="A52" s="26">
        <v>45974</v>
      </c>
      <c r="B52" s="27" t="s">
        <v>1</v>
      </c>
      <c r="C52" s="24">
        <v>307.49</v>
      </c>
    </row>
    <row r="53" spans="1:3" x14ac:dyDescent="0.3">
      <c r="A53" s="26">
        <v>45981</v>
      </c>
      <c r="B53" s="27" t="s">
        <v>4</v>
      </c>
      <c r="C53" s="24">
        <v>-307.49</v>
      </c>
    </row>
    <row r="54" spans="1:3" x14ac:dyDescent="0.3">
      <c r="A54" s="26">
        <v>45981</v>
      </c>
      <c r="B54" s="27" t="s">
        <v>1</v>
      </c>
      <c r="C54" s="24">
        <v>305.08999999999997</v>
      </c>
    </row>
    <row r="55" spans="1:3" x14ac:dyDescent="0.3">
      <c r="A55" s="26">
        <v>45987</v>
      </c>
      <c r="B55" s="27" t="s">
        <v>4</v>
      </c>
      <c r="C55" s="24">
        <v>-305.08999999999997</v>
      </c>
    </row>
    <row r="56" spans="1:3" x14ac:dyDescent="0.3">
      <c r="A56" s="26">
        <v>45988</v>
      </c>
      <c r="B56" s="27" t="s">
        <v>1</v>
      </c>
      <c r="C56" s="24">
        <v>113.26</v>
      </c>
    </row>
    <row r="57" spans="1:3" x14ac:dyDescent="0.3">
      <c r="A57" s="26">
        <v>45995</v>
      </c>
      <c r="B57" s="27" t="s">
        <v>4</v>
      </c>
      <c r="C57" s="24">
        <v>-113.26</v>
      </c>
    </row>
    <row r="58" spans="1:3" x14ac:dyDescent="0.3">
      <c r="A58" s="26">
        <v>45995</v>
      </c>
      <c r="B58" s="27" t="s">
        <v>1</v>
      </c>
      <c r="C58" s="24">
        <v>184.27</v>
      </c>
    </row>
    <row r="59" spans="1:3" x14ac:dyDescent="0.3">
      <c r="A59" s="26">
        <v>46002</v>
      </c>
      <c r="B59" s="27" t="s">
        <v>4</v>
      </c>
      <c r="C59" s="24">
        <v>-184.27</v>
      </c>
    </row>
    <row r="60" spans="1:3" x14ac:dyDescent="0.3">
      <c r="A60" s="26">
        <v>46002</v>
      </c>
      <c r="B60" s="27" t="s">
        <v>1</v>
      </c>
      <c r="C60" s="24">
        <v>105.45</v>
      </c>
    </row>
    <row r="61" spans="1:3" x14ac:dyDescent="0.3">
      <c r="A61" s="26">
        <v>46010</v>
      </c>
      <c r="B61" s="27" t="s">
        <v>4</v>
      </c>
      <c r="C61" s="24">
        <v>-105.45</v>
      </c>
    </row>
    <row r="62" spans="1:3" x14ac:dyDescent="0.3">
      <c r="A62" s="26">
        <v>46015</v>
      </c>
      <c r="B62" s="27" t="s">
        <v>1</v>
      </c>
      <c r="C62" s="24">
        <v>128.78</v>
      </c>
    </row>
    <row r="63" spans="1:3" x14ac:dyDescent="0.3">
      <c r="A63" s="26">
        <v>46021</v>
      </c>
      <c r="B63" s="27" t="s">
        <v>1</v>
      </c>
      <c r="C63" s="24">
        <v>17.34</v>
      </c>
    </row>
    <row r="64" spans="1:3" x14ac:dyDescent="0.3">
      <c r="A64" s="26">
        <v>46028</v>
      </c>
      <c r="B64" s="27" t="s">
        <v>4</v>
      </c>
      <c r="C64" s="24">
        <v>-146.12</v>
      </c>
    </row>
    <row r="65" spans="1:3" x14ac:dyDescent="0.3">
      <c r="A65" s="26">
        <v>46030</v>
      </c>
      <c r="B65" s="27" t="s">
        <v>1</v>
      </c>
      <c r="C65" s="24">
        <v>152.38999999999999</v>
      </c>
    </row>
    <row r="66" spans="1:3" x14ac:dyDescent="0.3">
      <c r="A66" s="26">
        <v>46037</v>
      </c>
      <c r="B66" s="27" t="s">
        <v>4</v>
      </c>
      <c r="C66" s="24">
        <v>-152.38999999999999</v>
      </c>
    </row>
    <row r="67" spans="1:3" x14ac:dyDescent="0.3">
      <c r="A67" s="26">
        <v>46037</v>
      </c>
      <c r="B67" s="27" t="s">
        <v>1</v>
      </c>
      <c r="C67" s="24">
        <v>139.72999999999999</v>
      </c>
    </row>
    <row r="68" spans="1:3" x14ac:dyDescent="0.3">
      <c r="A68" s="26">
        <v>46044</v>
      </c>
      <c r="B68" s="27" t="s">
        <v>1</v>
      </c>
      <c r="C68" s="24">
        <v>110.21</v>
      </c>
    </row>
    <row r="69" spans="1:3" x14ac:dyDescent="0.3">
      <c r="A69" s="26">
        <v>46045</v>
      </c>
      <c r="B69" s="27" t="s">
        <v>4</v>
      </c>
      <c r="C69" s="24">
        <v>-139.72999999999999</v>
      </c>
    </row>
    <row r="70" spans="1:3" x14ac:dyDescent="0.3">
      <c r="A70" s="26">
        <v>46045</v>
      </c>
      <c r="B70" s="27" t="s">
        <v>4</v>
      </c>
      <c r="C70" s="24">
        <v>-110.21</v>
      </c>
    </row>
    <row r="71" spans="1:3" x14ac:dyDescent="0.3">
      <c r="A71" s="26">
        <v>46051</v>
      </c>
      <c r="B71" s="27" t="s">
        <v>4</v>
      </c>
      <c r="C71" s="24">
        <v>-110.21</v>
      </c>
    </row>
    <row r="72" spans="1:3" x14ac:dyDescent="0.3">
      <c r="A72" s="26">
        <v>46051</v>
      </c>
      <c r="B72" s="27" t="s">
        <v>1</v>
      </c>
      <c r="C72" s="24">
        <v>196.35</v>
      </c>
    </row>
    <row r="73" spans="1:3" x14ac:dyDescent="0.3">
      <c r="A73" s="26">
        <v>46052</v>
      </c>
      <c r="B73" s="27" t="s">
        <v>1</v>
      </c>
      <c r="C73" s="24">
        <v>103.96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6CB0B-6EDD-48D6-935F-5FB4D9819129}">
  <dimension ref="A1:H67"/>
  <sheetViews>
    <sheetView view="pageBreakPreview" topLeftCell="A29" zoomScale="80" zoomScaleNormal="100" zoomScaleSheetLayoutView="80" workbookViewId="0">
      <selection activeCell="C68" sqref="C6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429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4920.2499999999991</v>
      </c>
      <c r="D3" s="20">
        <f>SUM(D$4:D$1048576)</f>
        <v>39</v>
      </c>
      <c r="E3" s="20">
        <f>SUM(E$5:E$1048576)</f>
        <v>-4</v>
      </c>
      <c r="F3" s="20">
        <f>SUM(F$5:F$1048576)</f>
        <v>-6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45909</v>
      </c>
      <c r="B5" s="27" t="s">
        <v>21</v>
      </c>
      <c r="C5" s="24">
        <v>1707.4</v>
      </c>
      <c r="D5" s="30">
        <v>61</v>
      </c>
      <c r="E5" s="30"/>
      <c r="F5" s="30"/>
      <c r="G5" s="22"/>
    </row>
    <row r="6" spans="1:8" hidden="1" x14ac:dyDescent="0.3">
      <c r="A6" s="21">
        <v>45909</v>
      </c>
      <c r="B6" s="27" t="s">
        <v>22</v>
      </c>
      <c r="D6" s="25">
        <v>11</v>
      </c>
    </row>
    <row r="7" spans="1:8" hidden="1" x14ac:dyDescent="0.3">
      <c r="A7" s="21">
        <v>45909</v>
      </c>
      <c r="B7" s="32" t="s">
        <v>1</v>
      </c>
      <c r="C7" s="24">
        <v>373.53</v>
      </c>
    </row>
    <row r="8" spans="1:8" hidden="1" x14ac:dyDescent="0.3">
      <c r="A8" s="21">
        <v>45909</v>
      </c>
      <c r="B8" s="50" t="s">
        <v>1</v>
      </c>
      <c r="C8" s="24">
        <v>375.83</v>
      </c>
    </row>
    <row r="9" spans="1:8" hidden="1" x14ac:dyDescent="0.3">
      <c r="A9" s="21">
        <v>45909</v>
      </c>
      <c r="B9" s="45" t="s">
        <v>1</v>
      </c>
      <c r="C9" s="24">
        <v>44.15</v>
      </c>
    </row>
    <row r="10" spans="1:8" hidden="1" x14ac:dyDescent="0.3">
      <c r="A10" s="26">
        <v>45912</v>
      </c>
      <c r="B10" s="27" t="s">
        <v>1</v>
      </c>
      <c r="C10" s="24">
        <v>535.6</v>
      </c>
      <c r="D10" s="25">
        <v>5</v>
      </c>
    </row>
    <row r="11" spans="1:8" hidden="1" x14ac:dyDescent="0.3">
      <c r="A11" s="26">
        <v>45916</v>
      </c>
      <c r="B11" s="27" t="s">
        <v>1</v>
      </c>
      <c r="C11" s="24">
        <v>712</v>
      </c>
      <c r="D11" s="25">
        <f>34+8</f>
        <v>42</v>
      </c>
    </row>
    <row r="12" spans="1:8" hidden="1" x14ac:dyDescent="0.3">
      <c r="A12" s="26">
        <v>45918</v>
      </c>
      <c r="B12" s="27" t="s">
        <v>291</v>
      </c>
      <c r="C12" s="24">
        <v>-3000</v>
      </c>
    </row>
    <row r="13" spans="1:8" hidden="1" x14ac:dyDescent="0.3">
      <c r="A13" s="26">
        <v>45919</v>
      </c>
      <c r="B13" s="27" t="s">
        <v>1</v>
      </c>
      <c r="C13" s="24">
        <v>1046.2</v>
      </c>
      <c r="D13" s="25">
        <v>-27</v>
      </c>
    </row>
    <row r="14" spans="1:8" hidden="1" x14ac:dyDescent="0.3">
      <c r="A14" s="26">
        <v>45919</v>
      </c>
      <c r="B14" s="32" t="s">
        <v>1</v>
      </c>
      <c r="C14" s="24">
        <v>88.54</v>
      </c>
    </row>
    <row r="15" spans="1:8" hidden="1" x14ac:dyDescent="0.3">
      <c r="A15" s="26">
        <v>45929</v>
      </c>
      <c r="B15" s="27" t="s">
        <v>4</v>
      </c>
      <c r="C15" s="24">
        <v>-1024.78</v>
      </c>
    </row>
    <row r="16" spans="1:8" hidden="1" x14ac:dyDescent="0.3">
      <c r="A16" s="26">
        <v>45929</v>
      </c>
      <c r="B16" s="27" t="s">
        <v>4</v>
      </c>
      <c r="C16" s="24">
        <v>-845.45</v>
      </c>
    </row>
    <row r="17" spans="1:8" hidden="1" x14ac:dyDescent="0.3">
      <c r="A17" s="26">
        <v>45929</v>
      </c>
      <c r="B17" s="27" t="s">
        <v>4</v>
      </c>
      <c r="C17" s="24">
        <v>-13.02</v>
      </c>
    </row>
    <row r="18" spans="1:8" x14ac:dyDescent="0.3">
      <c r="A18" s="26">
        <v>45930</v>
      </c>
      <c r="B18" s="27" t="s">
        <v>1</v>
      </c>
      <c r="C18" s="24">
        <v>2259</v>
      </c>
      <c r="D18" s="25">
        <v>13</v>
      </c>
    </row>
    <row r="19" spans="1:8" x14ac:dyDescent="0.3">
      <c r="A19" s="26">
        <v>45930</v>
      </c>
      <c r="B19" s="32" t="s">
        <v>1</v>
      </c>
      <c r="C19" s="24">
        <v>79.260000000000005</v>
      </c>
    </row>
    <row r="20" spans="1:8" x14ac:dyDescent="0.3">
      <c r="A20" s="26">
        <v>45932</v>
      </c>
      <c r="B20" s="50" t="s">
        <v>1</v>
      </c>
      <c r="C20" s="24">
        <v>41</v>
      </c>
    </row>
    <row r="21" spans="1:8" x14ac:dyDescent="0.3">
      <c r="A21" s="26">
        <v>45932</v>
      </c>
      <c r="B21" s="45" t="s">
        <v>1</v>
      </c>
      <c r="C21" s="24">
        <v>42.09</v>
      </c>
    </row>
    <row r="22" spans="1:8" x14ac:dyDescent="0.3">
      <c r="A22" s="26">
        <v>45933</v>
      </c>
      <c r="B22" s="27" t="s">
        <v>1</v>
      </c>
      <c r="C22" s="24">
        <v>416</v>
      </c>
      <c r="D22" s="25">
        <f>20+3</f>
        <v>23</v>
      </c>
    </row>
    <row r="23" spans="1:8" x14ac:dyDescent="0.3">
      <c r="A23" s="26">
        <v>45944</v>
      </c>
      <c r="B23" s="27" t="s">
        <v>4</v>
      </c>
      <c r="C23" s="24">
        <v>-664.15</v>
      </c>
    </row>
    <row r="24" spans="1:8" x14ac:dyDescent="0.3">
      <c r="A24" s="26">
        <v>45945</v>
      </c>
      <c r="B24" s="27" t="s">
        <v>4</v>
      </c>
      <c r="C24" s="24">
        <v>-1386.19</v>
      </c>
    </row>
    <row r="25" spans="1:8" x14ac:dyDescent="0.3">
      <c r="A25" s="26">
        <v>45946</v>
      </c>
      <c r="B25" s="27" t="s">
        <v>4</v>
      </c>
      <c r="C25" s="24">
        <v>-263.63</v>
      </c>
    </row>
    <row r="26" spans="1:8" x14ac:dyDescent="0.3">
      <c r="A26" s="26">
        <v>45946</v>
      </c>
      <c r="B26" s="27" t="s">
        <v>1</v>
      </c>
      <c r="C26" s="24">
        <v>2567.91</v>
      </c>
      <c r="D26" s="25">
        <v>-5</v>
      </c>
    </row>
    <row r="27" spans="1:8" x14ac:dyDescent="0.3">
      <c r="A27" s="26">
        <v>45946</v>
      </c>
      <c r="B27" s="27" t="s">
        <v>402</v>
      </c>
      <c r="C27" s="24">
        <v>575.64</v>
      </c>
      <c r="D27" s="25">
        <v>-123</v>
      </c>
    </row>
    <row r="28" spans="1:8" x14ac:dyDescent="0.3">
      <c r="A28" s="26">
        <v>45946</v>
      </c>
      <c r="B28" s="32" t="s">
        <v>1</v>
      </c>
      <c r="C28" s="24">
        <v>81.209999999999994</v>
      </c>
      <c r="E28" s="25">
        <v>-2</v>
      </c>
    </row>
    <row r="29" spans="1:8" x14ac:dyDescent="0.3">
      <c r="A29" s="26">
        <v>45947</v>
      </c>
      <c r="B29" s="27" t="s">
        <v>4</v>
      </c>
      <c r="C29" s="24">
        <v>-515.36</v>
      </c>
    </row>
    <row r="30" spans="1:8" x14ac:dyDescent="0.3">
      <c r="A30" s="26">
        <v>45951</v>
      </c>
      <c r="B30" s="27" t="s">
        <v>1</v>
      </c>
      <c r="C30" s="24">
        <v>621</v>
      </c>
    </row>
    <row r="31" spans="1:8" x14ac:dyDescent="0.3">
      <c r="A31" s="26">
        <v>45952</v>
      </c>
      <c r="B31" s="32" t="s">
        <v>1</v>
      </c>
      <c r="C31" s="24">
        <v>9.84</v>
      </c>
    </row>
    <row r="32" spans="1:8" x14ac:dyDescent="0.3">
      <c r="A32" s="26">
        <v>45952</v>
      </c>
      <c r="B32" s="50" t="s">
        <v>1</v>
      </c>
      <c r="C32" s="24">
        <v>148.04</v>
      </c>
      <c r="H32" s="78"/>
    </row>
    <row r="33" spans="1:3" x14ac:dyDescent="0.3">
      <c r="A33" s="26">
        <v>45952</v>
      </c>
      <c r="B33" s="45" t="s">
        <v>1</v>
      </c>
      <c r="C33" s="24">
        <v>53.28</v>
      </c>
    </row>
    <row r="34" spans="1:3" x14ac:dyDescent="0.3">
      <c r="A34" s="26">
        <v>45958</v>
      </c>
      <c r="B34" s="32" t="s">
        <v>1</v>
      </c>
      <c r="C34" s="24">
        <v>80</v>
      </c>
    </row>
    <row r="35" spans="1:3" x14ac:dyDescent="0.3">
      <c r="A35" s="26">
        <v>45961</v>
      </c>
      <c r="B35" s="27" t="s">
        <v>4</v>
      </c>
      <c r="C35" s="24">
        <v>-2336.0300000000002</v>
      </c>
    </row>
    <row r="36" spans="1:3" x14ac:dyDescent="0.3">
      <c r="A36" s="26">
        <v>45964</v>
      </c>
      <c r="B36" s="27" t="s">
        <v>4</v>
      </c>
      <c r="C36" s="24">
        <v>-803.71</v>
      </c>
    </row>
    <row r="37" spans="1:3" x14ac:dyDescent="0.3">
      <c r="A37" s="26">
        <v>45966</v>
      </c>
      <c r="B37" s="27" t="s">
        <v>4</v>
      </c>
      <c r="C37" s="24">
        <v>-428.96</v>
      </c>
    </row>
    <row r="38" spans="1:3" x14ac:dyDescent="0.3">
      <c r="A38" s="26">
        <v>45966</v>
      </c>
      <c r="B38" s="27" t="s">
        <v>4</v>
      </c>
      <c r="C38" s="24">
        <v>-44.22</v>
      </c>
    </row>
    <row r="39" spans="1:3" x14ac:dyDescent="0.3">
      <c r="A39" s="26">
        <v>45966</v>
      </c>
      <c r="B39" s="27" t="s">
        <v>1</v>
      </c>
      <c r="C39" s="24">
        <v>3077.18</v>
      </c>
    </row>
    <row r="40" spans="1:3" x14ac:dyDescent="0.3">
      <c r="A40" s="26">
        <v>45966</v>
      </c>
      <c r="B40" s="32" t="s">
        <v>1</v>
      </c>
      <c r="C40" s="24">
        <v>187.62</v>
      </c>
    </row>
    <row r="41" spans="1:3" x14ac:dyDescent="0.3">
      <c r="A41" s="26">
        <v>45967</v>
      </c>
      <c r="B41" s="50" t="s">
        <v>1</v>
      </c>
      <c r="C41" s="24">
        <v>334.45</v>
      </c>
    </row>
    <row r="42" spans="1:3" x14ac:dyDescent="0.3">
      <c r="A42" s="26">
        <v>45967</v>
      </c>
      <c r="B42" s="45" t="s">
        <v>1</v>
      </c>
      <c r="C42" s="24">
        <v>12.95</v>
      </c>
    </row>
    <row r="43" spans="1:3" x14ac:dyDescent="0.3">
      <c r="A43" s="26">
        <v>45975</v>
      </c>
      <c r="B43" s="27" t="s">
        <v>1</v>
      </c>
      <c r="C43" s="24">
        <v>519.6</v>
      </c>
    </row>
    <row r="44" spans="1:3" x14ac:dyDescent="0.3">
      <c r="A44" s="26">
        <v>45978</v>
      </c>
      <c r="B44" s="27" t="s">
        <v>4</v>
      </c>
      <c r="C44" s="24">
        <v>-253.74</v>
      </c>
    </row>
    <row r="45" spans="1:3" x14ac:dyDescent="0.3">
      <c r="A45" s="26">
        <v>45979</v>
      </c>
      <c r="B45" s="27" t="s">
        <v>4</v>
      </c>
      <c r="C45" s="24">
        <v>-168.89</v>
      </c>
    </row>
    <row r="46" spans="1:3" x14ac:dyDescent="0.3">
      <c r="A46" s="26">
        <v>45980</v>
      </c>
      <c r="B46" s="27" t="s">
        <v>4</v>
      </c>
      <c r="C46" s="24">
        <v>-2151.42</v>
      </c>
    </row>
    <row r="47" spans="1:3" x14ac:dyDescent="0.3">
      <c r="A47" s="26">
        <v>45980</v>
      </c>
      <c r="B47" s="27" t="s">
        <v>4</v>
      </c>
      <c r="C47" s="24">
        <v>-837.01</v>
      </c>
    </row>
    <row r="48" spans="1:3" x14ac:dyDescent="0.3">
      <c r="A48" s="26">
        <v>45980</v>
      </c>
      <c r="B48" s="27" t="s">
        <v>4</v>
      </c>
      <c r="C48" s="24">
        <v>-102.21</v>
      </c>
    </row>
    <row r="49" spans="1:6" x14ac:dyDescent="0.3">
      <c r="A49" s="26">
        <v>45980</v>
      </c>
      <c r="B49" s="27" t="s">
        <v>4</v>
      </c>
      <c r="C49" s="24">
        <v>-504.73</v>
      </c>
    </row>
    <row r="50" spans="1:6" x14ac:dyDescent="0.3">
      <c r="A50" s="26">
        <v>45981</v>
      </c>
      <c r="B50" s="27" t="s">
        <v>1</v>
      </c>
      <c r="C50" s="24">
        <v>2476.52</v>
      </c>
      <c r="D50" s="25">
        <v>22</v>
      </c>
    </row>
    <row r="51" spans="1:6" x14ac:dyDescent="0.3">
      <c r="A51" s="26">
        <v>45981</v>
      </c>
      <c r="B51" s="27" t="s">
        <v>1</v>
      </c>
      <c r="C51" s="24">
        <v>86.68</v>
      </c>
    </row>
    <row r="52" spans="1:6" x14ac:dyDescent="0.3">
      <c r="A52" s="26">
        <v>45987</v>
      </c>
      <c r="B52" s="27" t="s">
        <v>4</v>
      </c>
      <c r="C52" s="24">
        <v>-1395.89</v>
      </c>
    </row>
    <row r="53" spans="1:6" x14ac:dyDescent="0.3">
      <c r="A53" s="26">
        <v>45996</v>
      </c>
      <c r="B53" s="27" t="s">
        <v>1</v>
      </c>
      <c r="C53" s="24">
        <v>138.91999999999999</v>
      </c>
    </row>
    <row r="54" spans="1:6" x14ac:dyDescent="0.3">
      <c r="A54" s="26">
        <v>46003</v>
      </c>
      <c r="B54" s="27" t="s">
        <v>1</v>
      </c>
      <c r="C54" s="24">
        <v>2304.4699999999998</v>
      </c>
    </row>
    <row r="55" spans="1:6" x14ac:dyDescent="0.3">
      <c r="A55" s="26">
        <v>46003</v>
      </c>
      <c r="B55" s="27" t="s">
        <v>1</v>
      </c>
      <c r="C55" s="24">
        <v>38.880000000000003</v>
      </c>
    </row>
    <row r="56" spans="1:6" x14ac:dyDescent="0.3">
      <c r="A56" s="26">
        <v>46003</v>
      </c>
      <c r="B56" s="27" t="s">
        <v>1</v>
      </c>
      <c r="C56" s="24">
        <v>387.05</v>
      </c>
    </row>
    <row r="57" spans="1:6" x14ac:dyDescent="0.3">
      <c r="A57" s="26">
        <v>46006</v>
      </c>
      <c r="B57" s="27" t="s">
        <v>4</v>
      </c>
      <c r="C57" s="24">
        <v>-889.99</v>
      </c>
    </row>
    <row r="58" spans="1:6" x14ac:dyDescent="0.3">
      <c r="A58" s="26">
        <v>46013</v>
      </c>
      <c r="B58" s="27" t="s">
        <v>4</v>
      </c>
      <c r="C58" s="24">
        <v>-217.24</v>
      </c>
    </row>
    <row r="59" spans="1:6" x14ac:dyDescent="0.3">
      <c r="A59" s="26">
        <v>46030</v>
      </c>
      <c r="B59" s="27" t="s">
        <v>4</v>
      </c>
      <c r="C59" s="24">
        <v>-1245.98</v>
      </c>
    </row>
    <row r="60" spans="1:6" x14ac:dyDescent="0.3">
      <c r="A60" s="26">
        <v>46031</v>
      </c>
      <c r="B60" s="27" t="s">
        <v>4</v>
      </c>
      <c r="C60" s="24">
        <v>-709.21</v>
      </c>
    </row>
    <row r="61" spans="1:6" x14ac:dyDescent="0.3">
      <c r="A61" s="26">
        <v>46031</v>
      </c>
      <c r="B61" s="27" t="s">
        <v>4</v>
      </c>
      <c r="C61" s="24">
        <v>-1198.56</v>
      </c>
    </row>
    <row r="62" spans="1:6" x14ac:dyDescent="0.3">
      <c r="A62" s="26">
        <v>46031</v>
      </c>
      <c r="B62" s="27" t="s">
        <v>4</v>
      </c>
      <c r="C62" s="24">
        <v>-255.08</v>
      </c>
    </row>
    <row r="63" spans="1:6" x14ac:dyDescent="0.3">
      <c r="A63" s="26">
        <v>46031</v>
      </c>
      <c r="B63" s="27" t="s">
        <v>1</v>
      </c>
      <c r="C63" s="24">
        <v>3781.18</v>
      </c>
      <c r="D63" s="25">
        <v>17</v>
      </c>
      <c r="E63" s="25">
        <v>-2</v>
      </c>
      <c r="F63" s="25">
        <v>-6</v>
      </c>
    </row>
    <row r="64" spans="1:6" x14ac:dyDescent="0.3">
      <c r="A64" s="26">
        <v>46031</v>
      </c>
      <c r="B64" s="27" t="s">
        <v>1</v>
      </c>
      <c r="C64" s="24">
        <v>317.72000000000003</v>
      </c>
    </row>
    <row r="65" spans="1:3" x14ac:dyDescent="0.3">
      <c r="A65" s="26">
        <v>46031</v>
      </c>
      <c r="B65" s="27" t="s">
        <v>503</v>
      </c>
      <c r="C65" s="24">
        <v>-7.2</v>
      </c>
    </row>
    <row r="66" spans="1:3" x14ac:dyDescent="0.3">
      <c r="A66" s="26">
        <v>46042</v>
      </c>
      <c r="B66" s="27" t="s">
        <v>4</v>
      </c>
      <c r="C66" s="24">
        <v>-166.39</v>
      </c>
    </row>
    <row r="67" spans="1:3" x14ac:dyDescent="0.3">
      <c r="A67" s="26">
        <v>46042</v>
      </c>
      <c r="B67" s="27" t="s">
        <v>1</v>
      </c>
      <c r="C67" s="24">
        <v>828.55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B4F7C-9DF1-4835-88B0-C5138196A746}">
  <dimension ref="A1:M80"/>
  <sheetViews>
    <sheetView view="pageBreakPreview" zoomScaleNormal="100" zoomScaleSheetLayoutView="100" workbookViewId="0">
      <selection activeCell="C8" sqref="C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533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-3.0000000000001137E-2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46031</v>
      </c>
      <c r="B5" s="71" t="s">
        <v>21</v>
      </c>
      <c r="C5" s="24">
        <v>168.69</v>
      </c>
      <c r="D5" s="30"/>
      <c r="E5" s="30"/>
      <c r="F5" s="30"/>
      <c r="G5" s="22"/>
    </row>
    <row r="6" spans="1:8" x14ac:dyDescent="0.3">
      <c r="A6" s="21">
        <v>46035</v>
      </c>
      <c r="B6" s="71" t="s">
        <v>7</v>
      </c>
      <c r="C6" s="24">
        <v>-80</v>
      </c>
    </row>
    <row r="7" spans="1:8" x14ac:dyDescent="0.3">
      <c r="A7" s="26">
        <v>46038</v>
      </c>
      <c r="B7" s="71" t="s">
        <v>7</v>
      </c>
      <c r="C7" s="24">
        <v>-88.72</v>
      </c>
    </row>
    <row r="10" spans="1:8" x14ac:dyDescent="0.3">
      <c r="B10" s="71"/>
    </row>
    <row r="11" spans="1:8" x14ac:dyDescent="0.3">
      <c r="B11" s="71"/>
    </row>
    <row r="12" spans="1:8" x14ac:dyDescent="0.3">
      <c r="B12" s="71"/>
    </row>
    <row r="13" spans="1:8" x14ac:dyDescent="0.3">
      <c r="B13" s="71"/>
    </row>
    <row r="15" spans="1:8" x14ac:dyDescent="0.3">
      <c r="B15" s="71"/>
    </row>
    <row r="16" spans="1:8" x14ac:dyDescent="0.3">
      <c r="B16" s="71"/>
    </row>
    <row r="17" spans="2:8" x14ac:dyDescent="0.3">
      <c r="B17" s="71"/>
    </row>
    <row r="21" spans="2:8" x14ac:dyDescent="0.3">
      <c r="B21" s="71"/>
    </row>
    <row r="22" spans="2:8" x14ac:dyDescent="0.3">
      <c r="B22" s="71"/>
    </row>
    <row r="23" spans="2:8" x14ac:dyDescent="0.3">
      <c r="B23" s="71"/>
    </row>
    <row r="24" spans="2:8" x14ac:dyDescent="0.3">
      <c r="B24" s="71"/>
    </row>
    <row r="25" spans="2:8" x14ac:dyDescent="0.3">
      <c r="B25" s="71"/>
    </row>
    <row r="28" spans="2:8" x14ac:dyDescent="0.3">
      <c r="B28" s="71"/>
    </row>
    <row r="29" spans="2:8" x14ac:dyDescent="0.3">
      <c r="B29" s="71"/>
    </row>
    <row r="30" spans="2:8" x14ac:dyDescent="0.3">
      <c r="B30" s="71"/>
    </row>
    <row r="32" spans="2:8" x14ac:dyDescent="0.3">
      <c r="B32" s="71"/>
      <c r="H32" s="78"/>
    </row>
    <row r="33" spans="2:2" x14ac:dyDescent="0.3">
      <c r="B33" s="71"/>
    </row>
    <row r="35" spans="2:2" x14ac:dyDescent="0.3">
      <c r="B35" s="71"/>
    </row>
    <row r="36" spans="2:2" x14ac:dyDescent="0.3">
      <c r="B36" s="71"/>
    </row>
    <row r="38" spans="2:2" x14ac:dyDescent="0.3">
      <c r="B38" s="71"/>
    </row>
    <row r="39" spans="2:2" x14ac:dyDescent="0.3">
      <c r="B39" s="71"/>
    </row>
    <row r="40" spans="2:2" x14ac:dyDescent="0.3">
      <c r="B40" s="71"/>
    </row>
    <row r="42" spans="2:2" x14ac:dyDescent="0.3">
      <c r="B42" s="71"/>
    </row>
    <row r="43" spans="2:2" x14ac:dyDescent="0.3">
      <c r="B43" s="71"/>
    </row>
    <row r="44" spans="2:2" x14ac:dyDescent="0.3">
      <c r="B44" s="71"/>
    </row>
    <row r="46" spans="2:2" x14ac:dyDescent="0.3">
      <c r="B46" s="71"/>
    </row>
    <row r="47" spans="2:2" x14ac:dyDescent="0.3">
      <c r="B47" s="71"/>
    </row>
    <row r="48" spans="2:2" x14ac:dyDescent="0.3">
      <c r="B48" s="71"/>
    </row>
    <row r="49" spans="2:13" x14ac:dyDescent="0.3">
      <c r="B49" s="71"/>
    </row>
    <row r="52" spans="2:13" x14ac:dyDescent="0.3">
      <c r="M52" s="87"/>
    </row>
    <row r="55" spans="2:13" x14ac:dyDescent="0.3">
      <c r="B55" s="71"/>
    </row>
    <row r="56" spans="2:13" x14ac:dyDescent="0.3">
      <c r="B56" s="71"/>
    </row>
    <row r="57" spans="2:13" x14ac:dyDescent="0.3">
      <c r="B57" s="71"/>
    </row>
    <row r="61" spans="2:13" x14ac:dyDescent="0.3">
      <c r="B61" s="71"/>
    </row>
    <row r="62" spans="2:13" x14ac:dyDescent="0.3">
      <c r="B62" s="71"/>
    </row>
    <row r="66" spans="2:11" x14ac:dyDescent="0.3">
      <c r="B66" s="71"/>
    </row>
    <row r="67" spans="2:11" x14ac:dyDescent="0.3">
      <c r="B67" s="71"/>
    </row>
    <row r="68" spans="2:11" x14ac:dyDescent="0.3">
      <c r="B68" s="71"/>
    </row>
    <row r="80" spans="2:11" x14ac:dyDescent="0.3">
      <c r="K80" s="18">
        <f>1437.91/158.9289</f>
        <v>9.0475048905516875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BC18-D8B9-4808-A807-CDF72D12D169}">
  <sheetPr codeName="Hoja188"/>
  <dimension ref="A1:M88"/>
  <sheetViews>
    <sheetView view="pageBreakPreview" topLeftCell="A58" zoomScaleNormal="100" zoomScaleSheetLayoutView="100" workbookViewId="0">
      <selection activeCell="C88" sqref="C8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241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672.49200000000008</v>
      </c>
      <c r="D3" s="20">
        <f>SUM(D$4:D$1048576)</f>
        <v>0</v>
      </c>
      <c r="E3" s="20">
        <f>SUM(E$5:E$1048576)</f>
        <v>0</v>
      </c>
      <c r="F3" s="20">
        <f>SUM(F$5:F$1048576)</f>
        <v>-2</v>
      </c>
      <c r="G3" s="19">
        <f>SUM(G$5:G$1048576)</f>
        <v>22.828000000000007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45821</v>
      </c>
      <c r="B5" s="32" t="s">
        <v>21</v>
      </c>
      <c r="C5" s="24">
        <v>35.53</v>
      </c>
      <c r="D5" s="30"/>
      <c r="E5" s="30"/>
      <c r="F5" s="30"/>
      <c r="G5" s="22"/>
    </row>
    <row r="6" spans="1:8" x14ac:dyDescent="0.3">
      <c r="A6" s="21">
        <v>45821</v>
      </c>
      <c r="B6" s="34" t="s">
        <v>21</v>
      </c>
      <c r="C6" s="24">
        <v>11.34</v>
      </c>
    </row>
    <row r="7" spans="1:8" x14ac:dyDescent="0.3">
      <c r="A7" s="26">
        <v>45828</v>
      </c>
      <c r="B7" s="34" t="s">
        <v>21</v>
      </c>
      <c r="C7" s="24">
        <v>20.100000000000001</v>
      </c>
    </row>
    <row r="8" spans="1:8" x14ac:dyDescent="0.3">
      <c r="A8" s="26">
        <v>45835</v>
      </c>
      <c r="B8" s="27" t="s">
        <v>291</v>
      </c>
      <c r="C8" s="24">
        <v>-45.85</v>
      </c>
    </row>
    <row r="9" spans="1:8" x14ac:dyDescent="0.3">
      <c r="A9" s="26">
        <v>45835</v>
      </c>
      <c r="B9" s="27" t="s">
        <v>4</v>
      </c>
      <c r="C9" s="24">
        <v>-20.440000000000001</v>
      </c>
    </row>
    <row r="10" spans="1:8" x14ac:dyDescent="0.3">
      <c r="A10" s="26">
        <v>45835</v>
      </c>
      <c r="B10" s="32" t="s">
        <v>21</v>
      </c>
      <c r="C10" s="24">
        <v>44.98</v>
      </c>
    </row>
    <row r="11" spans="1:8" x14ac:dyDescent="0.3">
      <c r="A11" s="26">
        <v>45835</v>
      </c>
      <c r="B11" s="34" t="s">
        <v>21</v>
      </c>
      <c r="C11" s="24">
        <v>35.340000000000003</v>
      </c>
    </row>
    <row r="12" spans="1:8" x14ac:dyDescent="0.3">
      <c r="A12" s="26">
        <v>45835</v>
      </c>
      <c r="B12" s="46" t="s">
        <v>21</v>
      </c>
      <c r="C12" s="24">
        <v>5.66</v>
      </c>
    </row>
    <row r="13" spans="1:8" x14ac:dyDescent="0.3">
      <c r="A13" s="26">
        <v>45842</v>
      </c>
      <c r="B13" s="34" t="s">
        <v>21</v>
      </c>
      <c r="C13" s="24">
        <v>7.25</v>
      </c>
    </row>
    <row r="14" spans="1:8" x14ac:dyDescent="0.3">
      <c r="A14" s="26">
        <v>45859</v>
      </c>
      <c r="B14" s="27" t="s">
        <v>4</v>
      </c>
      <c r="C14" s="24">
        <v>-46.47</v>
      </c>
    </row>
    <row r="15" spans="1:8" x14ac:dyDescent="0.3">
      <c r="A15" s="26">
        <v>45856</v>
      </c>
      <c r="B15" s="32" t="s">
        <v>21</v>
      </c>
      <c r="C15" s="24">
        <v>35.53</v>
      </c>
    </row>
    <row r="16" spans="1:8" x14ac:dyDescent="0.3">
      <c r="A16" s="26">
        <v>45856</v>
      </c>
      <c r="B16" s="46" t="s">
        <v>21</v>
      </c>
      <c r="C16" s="24">
        <v>4.3</v>
      </c>
    </row>
    <row r="17" spans="1:8" x14ac:dyDescent="0.3">
      <c r="A17" s="26">
        <v>45856</v>
      </c>
      <c r="B17" s="34" t="s">
        <v>21</v>
      </c>
      <c r="C17" s="24">
        <v>45.26</v>
      </c>
    </row>
    <row r="18" spans="1:8" x14ac:dyDescent="0.3">
      <c r="A18" s="26">
        <v>45863</v>
      </c>
      <c r="B18" s="27" t="s">
        <v>4</v>
      </c>
      <c r="C18" s="24">
        <v>-85.98</v>
      </c>
    </row>
    <row r="19" spans="1:8" x14ac:dyDescent="0.3">
      <c r="A19" s="26">
        <v>45863</v>
      </c>
      <c r="B19" s="27" t="s">
        <v>4</v>
      </c>
      <c r="C19" s="24">
        <v>-53.57</v>
      </c>
    </row>
    <row r="20" spans="1:8" x14ac:dyDescent="0.3">
      <c r="A20" s="26">
        <v>45863</v>
      </c>
      <c r="B20" s="27" t="s">
        <v>4</v>
      </c>
      <c r="C20" s="24">
        <v>-31.76</v>
      </c>
    </row>
    <row r="21" spans="1:8" x14ac:dyDescent="0.3">
      <c r="A21" s="26">
        <v>45863</v>
      </c>
      <c r="B21" s="32" t="s">
        <v>21</v>
      </c>
      <c r="C21" s="24">
        <v>15</v>
      </c>
    </row>
    <row r="22" spans="1:8" x14ac:dyDescent="0.3">
      <c r="A22" s="26">
        <v>45863</v>
      </c>
      <c r="B22" s="34" t="s">
        <v>21</v>
      </c>
      <c r="C22" s="24">
        <v>178.06</v>
      </c>
    </row>
    <row r="23" spans="1:8" x14ac:dyDescent="0.3">
      <c r="A23" s="26">
        <v>45870</v>
      </c>
      <c r="B23" s="32" t="s">
        <v>21</v>
      </c>
      <c r="C23" s="24">
        <v>19.5</v>
      </c>
    </row>
    <row r="24" spans="1:8" x14ac:dyDescent="0.3">
      <c r="A24" s="26">
        <v>45870</v>
      </c>
      <c r="B24" s="34" t="s">
        <v>21</v>
      </c>
      <c r="C24" s="24">
        <v>59.04</v>
      </c>
    </row>
    <row r="25" spans="1:8" x14ac:dyDescent="0.3">
      <c r="A25" s="26">
        <v>45870</v>
      </c>
      <c r="B25" s="46" t="s">
        <v>21</v>
      </c>
      <c r="C25" s="24">
        <v>4.2</v>
      </c>
    </row>
    <row r="26" spans="1:8" x14ac:dyDescent="0.3">
      <c r="A26" s="26">
        <v>45877</v>
      </c>
      <c r="B26" s="27" t="s">
        <v>4</v>
      </c>
      <c r="C26" s="24">
        <v>-192.37</v>
      </c>
    </row>
    <row r="27" spans="1:8" x14ac:dyDescent="0.3">
      <c r="A27" s="26">
        <v>45877</v>
      </c>
      <c r="B27" s="27" t="s">
        <v>4</v>
      </c>
      <c r="C27" s="24">
        <v>-47.58</v>
      </c>
    </row>
    <row r="28" spans="1:8" x14ac:dyDescent="0.3">
      <c r="A28" s="26">
        <v>45877</v>
      </c>
      <c r="B28" s="32" t="s">
        <v>21</v>
      </c>
      <c r="C28" s="24">
        <f>70.21-G28</f>
        <v>62.949999999999996</v>
      </c>
      <c r="G28" s="94">
        <v>7.26</v>
      </c>
    </row>
    <row r="29" spans="1:8" x14ac:dyDescent="0.3">
      <c r="A29" s="26">
        <v>45877</v>
      </c>
      <c r="B29" s="34" t="s">
        <v>21</v>
      </c>
      <c r="C29" s="24">
        <f>933.57-G29</f>
        <v>926.1400000000001</v>
      </c>
      <c r="G29" s="94">
        <f>5.34+2.09</f>
        <v>7.43</v>
      </c>
    </row>
    <row r="30" spans="1:8" x14ac:dyDescent="0.3">
      <c r="A30" s="26">
        <v>45877</v>
      </c>
      <c r="B30" s="46" t="s">
        <v>21</v>
      </c>
      <c r="C30" s="24">
        <f>16.17-G30</f>
        <v>14.500000000000002</v>
      </c>
      <c r="G30" s="94">
        <v>1.67</v>
      </c>
    </row>
    <row r="31" spans="1:8" x14ac:dyDescent="0.3">
      <c r="A31" s="26">
        <v>45880</v>
      </c>
      <c r="B31" s="27" t="s">
        <v>4</v>
      </c>
      <c r="C31" s="24">
        <v>-1000.66</v>
      </c>
      <c r="G31" s="94">
        <v>-16.36</v>
      </c>
    </row>
    <row r="32" spans="1:8" x14ac:dyDescent="0.3">
      <c r="A32" s="26">
        <v>45891</v>
      </c>
      <c r="B32" s="32" t="s">
        <v>21</v>
      </c>
      <c r="C32" s="24">
        <f>35.45-G32</f>
        <v>31.790000000000003</v>
      </c>
      <c r="G32" s="94">
        <v>3.66</v>
      </c>
      <c r="H32" s="78"/>
    </row>
    <row r="33" spans="1:7" x14ac:dyDescent="0.3">
      <c r="A33" s="26">
        <v>45891</v>
      </c>
      <c r="B33" s="34" t="s">
        <v>21</v>
      </c>
      <c r="C33" s="24">
        <f>72.4-G33</f>
        <v>67.160000000000011</v>
      </c>
      <c r="G33" s="94">
        <v>5.24</v>
      </c>
    </row>
    <row r="34" spans="1:7" x14ac:dyDescent="0.3">
      <c r="A34" s="26">
        <v>45898</v>
      </c>
      <c r="B34" s="27" t="s">
        <v>4</v>
      </c>
      <c r="C34" s="24">
        <v>-97.53</v>
      </c>
      <c r="G34" s="94">
        <v>-8.9</v>
      </c>
    </row>
    <row r="35" spans="1:7" x14ac:dyDescent="0.3">
      <c r="A35" s="26">
        <v>45905</v>
      </c>
      <c r="B35" s="32" t="s">
        <v>21</v>
      </c>
      <c r="C35" s="24">
        <f>44.52-G35</f>
        <v>39.92</v>
      </c>
      <c r="G35" s="94">
        <v>4.5999999999999996</v>
      </c>
    </row>
    <row r="36" spans="1:7" x14ac:dyDescent="0.3">
      <c r="A36" s="26">
        <v>45905</v>
      </c>
      <c r="B36" s="34" t="s">
        <v>21</v>
      </c>
      <c r="C36" s="24">
        <v>13.54</v>
      </c>
    </row>
    <row r="37" spans="1:7" x14ac:dyDescent="0.3">
      <c r="A37" s="26">
        <v>45912</v>
      </c>
      <c r="B37" s="27" t="s">
        <v>4</v>
      </c>
      <c r="C37" s="24">
        <v>-54.05</v>
      </c>
      <c r="G37" s="94">
        <v>-4.5999999999999996</v>
      </c>
    </row>
    <row r="38" spans="1:7" x14ac:dyDescent="0.3">
      <c r="A38" s="26">
        <v>45912</v>
      </c>
      <c r="B38" s="32" t="s">
        <v>21</v>
      </c>
      <c r="C38" s="24">
        <f>41.62-G38</f>
        <v>37.32</v>
      </c>
      <c r="G38" s="94">
        <v>4.3</v>
      </c>
    </row>
    <row r="39" spans="1:7" x14ac:dyDescent="0.3">
      <c r="A39" s="26">
        <v>45912</v>
      </c>
      <c r="B39" s="34" t="s">
        <v>21</v>
      </c>
      <c r="C39" s="24">
        <f>45.84-G39</f>
        <v>41.11</v>
      </c>
      <c r="G39" s="94">
        <v>4.7300000000000004</v>
      </c>
    </row>
    <row r="40" spans="1:7" x14ac:dyDescent="0.3">
      <c r="A40" s="26">
        <v>45919</v>
      </c>
      <c r="B40" s="34" t="s">
        <v>21</v>
      </c>
      <c r="C40" s="24">
        <f>110.14-G40</f>
        <v>105.66</v>
      </c>
      <c r="G40" s="94">
        <v>4.4800000000000004</v>
      </c>
    </row>
    <row r="41" spans="1:7" x14ac:dyDescent="0.3">
      <c r="A41" s="26">
        <v>45926</v>
      </c>
      <c r="B41" s="27" t="s">
        <v>4</v>
      </c>
      <c r="C41" s="24">
        <v>-105.66</v>
      </c>
      <c r="G41" s="94">
        <v>-4.4800000000000004</v>
      </c>
    </row>
    <row r="42" spans="1:7" x14ac:dyDescent="0.3">
      <c r="A42" s="26">
        <v>45926</v>
      </c>
      <c r="B42" s="32" t="s">
        <v>21</v>
      </c>
      <c r="C42" s="24">
        <f>24.85-G42</f>
        <v>22.28</v>
      </c>
      <c r="G42" s="94">
        <v>2.57</v>
      </c>
    </row>
    <row r="43" spans="1:7" x14ac:dyDescent="0.3">
      <c r="A43" s="26">
        <v>45926</v>
      </c>
      <c r="B43" s="34" t="s">
        <v>21</v>
      </c>
      <c r="C43" s="24">
        <f>83.33-G43</f>
        <v>82.31</v>
      </c>
      <c r="G43" s="94">
        <v>1.02</v>
      </c>
    </row>
    <row r="44" spans="1:7" x14ac:dyDescent="0.3">
      <c r="A44" s="26">
        <v>45926</v>
      </c>
      <c r="B44" s="46" t="s">
        <v>21</v>
      </c>
      <c r="C44" s="24">
        <f>5.84-G44</f>
        <v>5.24</v>
      </c>
      <c r="G44" s="94">
        <v>0.6</v>
      </c>
    </row>
    <row r="45" spans="1:7" x14ac:dyDescent="0.3">
      <c r="A45" s="26">
        <v>45931</v>
      </c>
      <c r="B45" s="27" t="s">
        <v>4</v>
      </c>
      <c r="C45" s="24">
        <v>-110.29</v>
      </c>
      <c r="G45" s="94">
        <v>-4.1900000000000004</v>
      </c>
    </row>
    <row r="46" spans="1:7" x14ac:dyDescent="0.3">
      <c r="A46" s="26">
        <v>45933</v>
      </c>
      <c r="B46" s="32" t="s">
        <v>21</v>
      </c>
      <c r="C46" s="24">
        <f>19.68-G46</f>
        <v>17.649999999999999</v>
      </c>
      <c r="G46" s="94">
        <v>2.0299999999999998</v>
      </c>
    </row>
    <row r="47" spans="1:7" x14ac:dyDescent="0.3">
      <c r="A47" s="26">
        <v>45933</v>
      </c>
      <c r="B47" s="34" t="s">
        <v>21</v>
      </c>
      <c r="C47" s="24">
        <f>197.86-G47</f>
        <v>186.71</v>
      </c>
      <c r="G47" s="94">
        <v>11.15</v>
      </c>
    </row>
    <row r="48" spans="1:7" x14ac:dyDescent="0.3">
      <c r="A48" s="26">
        <v>45940</v>
      </c>
      <c r="B48" s="32" t="s">
        <v>21</v>
      </c>
      <c r="C48" s="24">
        <f>16.38-G48</f>
        <v>14.69</v>
      </c>
      <c r="G48" s="94">
        <v>1.69</v>
      </c>
    </row>
    <row r="49" spans="1:13" x14ac:dyDescent="0.3">
      <c r="A49" s="26">
        <v>45940</v>
      </c>
      <c r="B49" s="34" t="s">
        <v>21</v>
      </c>
      <c r="C49" s="24">
        <f>27.09-G49</f>
        <v>24.3</v>
      </c>
      <c r="G49" s="94">
        <v>2.79</v>
      </c>
    </row>
    <row r="50" spans="1:13" x14ac:dyDescent="0.3">
      <c r="A50" s="26">
        <v>45943</v>
      </c>
      <c r="B50" s="27" t="s">
        <v>4</v>
      </c>
      <c r="C50" s="24">
        <v>-125</v>
      </c>
    </row>
    <row r="51" spans="1:13" x14ac:dyDescent="0.3">
      <c r="A51" s="26">
        <v>45944</v>
      </c>
      <c r="B51" s="27" t="s">
        <v>4</v>
      </c>
      <c r="C51" s="24">
        <v>-60</v>
      </c>
    </row>
    <row r="52" spans="1:13" x14ac:dyDescent="0.3">
      <c r="A52" s="26">
        <v>45946</v>
      </c>
      <c r="B52" s="27" t="s">
        <v>4</v>
      </c>
      <c r="C52" s="24">
        <v>-21.4</v>
      </c>
      <c r="G52" s="94">
        <v>-13.18</v>
      </c>
      <c r="M52" s="87"/>
    </row>
    <row r="53" spans="1:13" x14ac:dyDescent="0.3">
      <c r="A53" s="26">
        <v>45954</v>
      </c>
      <c r="B53" s="27" t="s">
        <v>4</v>
      </c>
      <c r="C53" s="24">
        <v>-39.340000000000003</v>
      </c>
      <c r="G53" s="94">
        <v>-4.4800000000000004</v>
      </c>
    </row>
    <row r="54" spans="1:13" x14ac:dyDescent="0.3">
      <c r="A54" s="26">
        <v>45954</v>
      </c>
      <c r="B54" s="27" t="s">
        <v>4</v>
      </c>
      <c r="C54" s="24">
        <v>-123</v>
      </c>
    </row>
    <row r="55" spans="1:13" x14ac:dyDescent="0.3">
      <c r="A55" s="26">
        <v>45954</v>
      </c>
      <c r="B55" s="32" t="s">
        <v>21</v>
      </c>
      <c r="C55" s="24">
        <f>15-G55</f>
        <v>13.45</v>
      </c>
      <c r="G55" s="94">
        <v>1.55</v>
      </c>
    </row>
    <row r="56" spans="1:13" x14ac:dyDescent="0.3">
      <c r="A56" s="26">
        <v>45954</v>
      </c>
      <c r="B56" s="34" t="s">
        <v>21</v>
      </c>
      <c r="C56" s="24">
        <f>152.01-G56</f>
        <v>136.982</v>
      </c>
      <c r="G56" s="94">
        <v>15.028</v>
      </c>
    </row>
    <row r="57" spans="1:13" x14ac:dyDescent="0.3">
      <c r="A57" s="26">
        <v>45954</v>
      </c>
      <c r="B57" s="34" t="s">
        <v>21</v>
      </c>
      <c r="C57" s="24">
        <v>123</v>
      </c>
    </row>
    <row r="58" spans="1:13" x14ac:dyDescent="0.3">
      <c r="A58" s="26">
        <v>45961</v>
      </c>
      <c r="B58" s="27" t="s">
        <v>4</v>
      </c>
      <c r="C58" s="24">
        <v>-134.13999999999999</v>
      </c>
    </row>
    <row r="59" spans="1:13" x14ac:dyDescent="0.3">
      <c r="A59" s="26">
        <v>45961</v>
      </c>
      <c r="B59" s="27" t="s">
        <v>4</v>
      </c>
      <c r="C59" s="24">
        <v>-16.28</v>
      </c>
    </row>
    <row r="60" spans="1:13" x14ac:dyDescent="0.3">
      <c r="A60" s="26">
        <v>45961</v>
      </c>
      <c r="B60" s="27" t="s">
        <v>4</v>
      </c>
      <c r="C60" s="24">
        <v>-78.41</v>
      </c>
    </row>
    <row r="61" spans="1:13" x14ac:dyDescent="0.3">
      <c r="A61" s="26">
        <v>45961</v>
      </c>
      <c r="B61" s="32" t="s">
        <v>21</v>
      </c>
      <c r="C61" s="24">
        <f>44.28-G61</f>
        <v>44.28</v>
      </c>
    </row>
    <row r="62" spans="1:13" x14ac:dyDescent="0.3">
      <c r="A62" s="26">
        <v>45961</v>
      </c>
      <c r="B62" s="34" t="s">
        <v>21</v>
      </c>
      <c r="C62" s="24">
        <f>104.65-G62</f>
        <v>104.65</v>
      </c>
    </row>
    <row r="63" spans="1:13" x14ac:dyDescent="0.3">
      <c r="A63" s="26">
        <v>45965</v>
      </c>
      <c r="B63" s="27" t="s">
        <v>23</v>
      </c>
      <c r="G63" s="94">
        <v>-16.579999999999998</v>
      </c>
    </row>
    <row r="64" spans="1:13" x14ac:dyDescent="0.3">
      <c r="A64" s="26">
        <v>45968</v>
      </c>
      <c r="B64" s="27" t="s">
        <v>4</v>
      </c>
      <c r="C64" s="24">
        <v>-74.400000000000006</v>
      </c>
    </row>
    <row r="65" spans="1:11" x14ac:dyDescent="0.3">
      <c r="A65" s="26">
        <v>45968</v>
      </c>
      <c r="B65" s="27" t="s">
        <v>4</v>
      </c>
      <c r="C65" s="24">
        <v>-74.53</v>
      </c>
    </row>
    <row r="66" spans="1:11" x14ac:dyDescent="0.3">
      <c r="A66" s="26">
        <v>45968</v>
      </c>
      <c r="B66" s="32" t="s">
        <v>21</v>
      </c>
      <c r="C66" s="24">
        <f>42.18-G66</f>
        <v>37.82</v>
      </c>
      <c r="G66" s="94">
        <v>4.3600000000000003</v>
      </c>
    </row>
    <row r="67" spans="1:11" x14ac:dyDescent="0.3">
      <c r="A67" s="26">
        <v>45968</v>
      </c>
      <c r="B67" s="34" t="s">
        <v>21</v>
      </c>
      <c r="C67" s="24">
        <f>108.6-G67</f>
        <v>97.81</v>
      </c>
      <c r="G67" s="94">
        <v>10.79</v>
      </c>
    </row>
    <row r="68" spans="1:11" x14ac:dyDescent="0.3">
      <c r="A68" s="26">
        <v>45968</v>
      </c>
      <c r="B68" s="46" t="s">
        <v>21</v>
      </c>
      <c r="C68" s="24">
        <f>22.98-G68</f>
        <v>20.61</v>
      </c>
      <c r="G68" s="94">
        <v>2.37</v>
      </c>
    </row>
    <row r="69" spans="1:11" x14ac:dyDescent="0.3">
      <c r="A69" s="26">
        <v>45975</v>
      </c>
      <c r="B69" s="27" t="s">
        <v>1</v>
      </c>
      <c r="C69" s="24">
        <f>37.53-G69</f>
        <v>32.96</v>
      </c>
      <c r="G69" s="94">
        <v>4.57</v>
      </c>
    </row>
    <row r="70" spans="1:11" x14ac:dyDescent="0.3">
      <c r="A70" s="26">
        <v>45978</v>
      </c>
      <c r="B70" s="27" t="s">
        <v>4</v>
      </c>
      <c r="C70" s="24">
        <v>-38.06</v>
      </c>
    </row>
    <row r="71" spans="1:11" x14ac:dyDescent="0.3">
      <c r="A71" s="26">
        <v>45978</v>
      </c>
      <c r="B71" s="27" t="s">
        <v>4</v>
      </c>
      <c r="C71" s="24">
        <v>-118.18</v>
      </c>
      <c r="G71" s="94">
        <v>-17.52</v>
      </c>
    </row>
    <row r="72" spans="1:11" x14ac:dyDescent="0.3">
      <c r="A72" s="26">
        <v>45982</v>
      </c>
      <c r="B72" s="27" t="s">
        <v>4</v>
      </c>
      <c r="C72" s="24">
        <v>-33.42</v>
      </c>
      <c r="G72" s="94">
        <v>-4.57</v>
      </c>
    </row>
    <row r="73" spans="1:11" x14ac:dyDescent="0.3">
      <c r="A73" s="26">
        <v>45982</v>
      </c>
      <c r="B73" s="27" t="s">
        <v>1</v>
      </c>
      <c r="C73" s="24">
        <f>81.63-G73</f>
        <v>74.589999999999989</v>
      </c>
      <c r="G73" s="94">
        <v>7.04</v>
      </c>
    </row>
    <row r="74" spans="1:11" x14ac:dyDescent="0.3">
      <c r="A74" s="26">
        <v>45993</v>
      </c>
      <c r="B74" s="27" t="s">
        <v>23</v>
      </c>
      <c r="G74" s="94">
        <v>-7.04</v>
      </c>
    </row>
    <row r="75" spans="1:11" x14ac:dyDescent="0.3">
      <c r="A75" s="26">
        <v>46003</v>
      </c>
      <c r="B75" s="27" t="s">
        <v>1</v>
      </c>
      <c r="C75" s="24">
        <f>217.48-G75</f>
        <v>217.48</v>
      </c>
      <c r="F75" s="25">
        <v>-2</v>
      </c>
    </row>
    <row r="76" spans="1:11" x14ac:dyDescent="0.3">
      <c r="A76" s="26">
        <v>46008</v>
      </c>
      <c r="B76" s="27" t="s">
        <v>4</v>
      </c>
      <c r="C76" s="24">
        <v>-73.19</v>
      </c>
    </row>
    <row r="77" spans="1:11" x14ac:dyDescent="0.3">
      <c r="A77" s="26">
        <v>46011</v>
      </c>
      <c r="B77" s="27" t="s">
        <v>4</v>
      </c>
      <c r="C77" s="24">
        <v>-153.43</v>
      </c>
    </row>
    <row r="78" spans="1:11" x14ac:dyDescent="0.3">
      <c r="A78" s="26">
        <v>46020</v>
      </c>
      <c r="B78" s="27" t="s">
        <v>4</v>
      </c>
      <c r="C78" s="24">
        <v>-62.48</v>
      </c>
      <c r="G78" s="94">
        <v>-9.0299999999999994</v>
      </c>
    </row>
    <row r="79" spans="1:11" x14ac:dyDescent="0.3">
      <c r="A79" s="26">
        <v>46038</v>
      </c>
      <c r="B79" s="27" t="s">
        <v>1</v>
      </c>
      <c r="C79" s="24">
        <f>390.25-G79</f>
        <v>368.62</v>
      </c>
      <c r="G79" s="24">
        <v>21.63</v>
      </c>
    </row>
    <row r="80" spans="1:11" x14ac:dyDescent="0.3">
      <c r="A80" s="26">
        <v>46045</v>
      </c>
      <c r="B80" s="27" t="s">
        <v>4</v>
      </c>
      <c r="C80" s="24">
        <v>-104.72</v>
      </c>
      <c r="K80" s="18">
        <f>1437.91/158.9289</f>
        <v>9.0475048905516875</v>
      </c>
    </row>
    <row r="81" spans="1:11" x14ac:dyDescent="0.3">
      <c r="A81" s="26">
        <v>46045</v>
      </c>
      <c r="B81" s="27" t="s">
        <v>1</v>
      </c>
      <c r="C81" s="24">
        <f>493.46-G81</f>
        <v>486</v>
      </c>
      <c r="G81" s="94">
        <v>7.46</v>
      </c>
    </row>
    <row r="82" spans="1:11" x14ac:dyDescent="0.3">
      <c r="A82" s="26">
        <v>46048</v>
      </c>
      <c r="B82" s="27" t="s">
        <v>4</v>
      </c>
      <c r="C82" s="24">
        <v>-163.13</v>
      </c>
    </row>
    <row r="83" spans="1:11" x14ac:dyDescent="0.3">
      <c r="A83" s="26">
        <v>46048</v>
      </c>
      <c r="B83" s="27" t="s">
        <v>4</v>
      </c>
      <c r="C83" s="24">
        <v>-42.19</v>
      </c>
    </row>
    <row r="84" spans="1:11" x14ac:dyDescent="0.3">
      <c r="A84" s="26">
        <v>46049</v>
      </c>
      <c r="B84" s="27" t="s">
        <v>4</v>
      </c>
      <c r="C84" s="24">
        <v>-91.94</v>
      </c>
    </row>
    <row r="85" spans="1:11" x14ac:dyDescent="0.3">
      <c r="A85" s="26">
        <v>46051</v>
      </c>
      <c r="B85" s="27" t="s">
        <v>4</v>
      </c>
      <c r="C85" s="24">
        <v>-35.75</v>
      </c>
    </row>
    <row r="86" spans="1:11" x14ac:dyDescent="0.3">
      <c r="A86" s="26">
        <v>46051</v>
      </c>
      <c r="B86" s="27" t="s">
        <v>4</v>
      </c>
      <c r="C86" s="24">
        <v>-60.5</v>
      </c>
      <c r="G86" s="94">
        <v>-7.46</v>
      </c>
      <c r="K86" s="18">
        <f>2653.38/352.7063</f>
        <v>7.5229163754659334</v>
      </c>
    </row>
    <row r="87" spans="1:11" x14ac:dyDescent="0.3">
      <c r="A87" s="26">
        <v>46052</v>
      </c>
      <c r="B87" s="27" t="s">
        <v>1</v>
      </c>
      <c r="C87" s="24">
        <f>451.15-G87</f>
        <v>449.95</v>
      </c>
      <c r="G87" s="24">
        <v>1.2</v>
      </c>
    </row>
    <row r="88" spans="1:11" x14ac:dyDescent="0.3">
      <c r="A88" s="26">
        <v>46056</v>
      </c>
      <c r="B88" s="27" t="s">
        <v>4</v>
      </c>
      <c r="C88" s="24">
        <v>-134.37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8654-6564-45CA-9454-7442D20ED089}">
  <dimension ref="A1:M68"/>
  <sheetViews>
    <sheetView view="pageBreakPreview" zoomScaleNormal="100" zoomScaleSheetLayoutView="100" workbookViewId="0">
      <selection activeCell="C14" sqref="C14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517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518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78.239999999999981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46002</v>
      </c>
      <c r="B5" s="71" t="s">
        <v>21</v>
      </c>
      <c r="C5" s="24">
        <v>171.09</v>
      </c>
      <c r="D5" s="30"/>
      <c r="E5" s="30"/>
      <c r="F5" s="30"/>
      <c r="G5" s="22"/>
    </row>
    <row r="6" spans="1:8" x14ac:dyDescent="0.3">
      <c r="A6" s="21">
        <v>46009</v>
      </c>
      <c r="B6" s="71" t="s">
        <v>291</v>
      </c>
      <c r="C6" s="24">
        <v>-171.09</v>
      </c>
    </row>
    <row r="7" spans="1:8" x14ac:dyDescent="0.3">
      <c r="A7" s="26">
        <v>46021</v>
      </c>
      <c r="B7" s="71" t="s">
        <v>1</v>
      </c>
      <c r="C7" s="24">
        <v>81.56</v>
      </c>
    </row>
    <row r="8" spans="1:8" x14ac:dyDescent="0.3">
      <c r="A8" s="26">
        <v>46028</v>
      </c>
      <c r="B8" s="27" t="s">
        <v>4</v>
      </c>
      <c r="C8" s="24">
        <v>-81.56</v>
      </c>
    </row>
    <row r="9" spans="1:8" x14ac:dyDescent="0.3">
      <c r="A9" s="26">
        <v>46030</v>
      </c>
      <c r="B9" s="27" t="s">
        <v>1</v>
      </c>
      <c r="C9" s="24">
        <v>70.97</v>
      </c>
    </row>
    <row r="10" spans="1:8" x14ac:dyDescent="0.3">
      <c r="A10" s="26">
        <v>46037</v>
      </c>
      <c r="B10" s="71" t="s">
        <v>4</v>
      </c>
      <c r="C10" s="24">
        <v>-70.97</v>
      </c>
    </row>
    <row r="11" spans="1:8" x14ac:dyDescent="0.3">
      <c r="A11" s="26">
        <v>46037</v>
      </c>
      <c r="B11" s="71" t="s">
        <v>1</v>
      </c>
      <c r="C11" s="24">
        <v>181.16</v>
      </c>
    </row>
    <row r="12" spans="1:8" x14ac:dyDescent="0.3">
      <c r="A12" s="26">
        <v>46051</v>
      </c>
      <c r="B12" s="71" t="s">
        <v>1</v>
      </c>
      <c r="C12" s="24">
        <v>78.239999999999995</v>
      </c>
    </row>
    <row r="13" spans="1:8" x14ac:dyDescent="0.3">
      <c r="A13" s="26">
        <v>46055</v>
      </c>
      <c r="B13" s="71" t="s">
        <v>4</v>
      </c>
      <c r="C13" s="24">
        <v>-181.16</v>
      </c>
    </row>
    <row r="15" spans="1:8" x14ac:dyDescent="0.3">
      <c r="B15" s="71"/>
    </row>
    <row r="16" spans="1:8" x14ac:dyDescent="0.3">
      <c r="B16" s="71"/>
    </row>
    <row r="17" spans="2:8" x14ac:dyDescent="0.3">
      <c r="B17" s="71"/>
    </row>
    <row r="21" spans="2:8" x14ac:dyDescent="0.3">
      <c r="B21" s="71"/>
    </row>
    <row r="22" spans="2:8" x14ac:dyDescent="0.3">
      <c r="B22" s="71"/>
    </row>
    <row r="23" spans="2:8" x14ac:dyDescent="0.3">
      <c r="B23" s="71"/>
    </row>
    <row r="24" spans="2:8" x14ac:dyDescent="0.3">
      <c r="B24" s="71"/>
    </row>
    <row r="25" spans="2:8" x14ac:dyDescent="0.3">
      <c r="B25" s="71"/>
    </row>
    <row r="28" spans="2:8" x14ac:dyDescent="0.3">
      <c r="B28" s="71"/>
    </row>
    <row r="29" spans="2:8" x14ac:dyDescent="0.3">
      <c r="B29" s="71"/>
    </row>
    <row r="30" spans="2:8" x14ac:dyDescent="0.3">
      <c r="B30" s="71"/>
    </row>
    <row r="32" spans="2:8" x14ac:dyDescent="0.3">
      <c r="B32" s="71"/>
      <c r="H32" s="78"/>
    </row>
    <row r="33" spans="2:2" x14ac:dyDescent="0.3">
      <c r="B33" s="71"/>
    </row>
    <row r="35" spans="2:2" x14ac:dyDescent="0.3">
      <c r="B35" s="71"/>
    </row>
    <row r="36" spans="2:2" x14ac:dyDescent="0.3">
      <c r="B36" s="71"/>
    </row>
    <row r="38" spans="2:2" x14ac:dyDescent="0.3">
      <c r="B38" s="71"/>
    </row>
    <row r="39" spans="2:2" x14ac:dyDescent="0.3">
      <c r="B39" s="71"/>
    </row>
    <row r="40" spans="2:2" x14ac:dyDescent="0.3">
      <c r="B40" s="71"/>
    </row>
    <row r="42" spans="2:2" x14ac:dyDescent="0.3">
      <c r="B42" s="71"/>
    </row>
    <row r="43" spans="2:2" x14ac:dyDescent="0.3">
      <c r="B43" s="71"/>
    </row>
    <row r="44" spans="2:2" x14ac:dyDescent="0.3">
      <c r="B44" s="71"/>
    </row>
    <row r="46" spans="2:2" x14ac:dyDescent="0.3">
      <c r="B46" s="71"/>
    </row>
    <row r="47" spans="2:2" x14ac:dyDescent="0.3">
      <c r="B47" s="71"/>
    </row>
    <row r="48" spans="2:2" x14ac:dyDescent="0.3">
      <c r="B48" s="71"/>
    </row>
    <row r="49" spans="2:13" x14ac:dyDescent="0.3">
      <c r="B49" s="71"/>
    </row>
    <row r="52" spans="2:13" x14ac:dyDescent="0.3">
      <c r="M52" s="87"/>
    </row>
    <row r="55" spans="2:13" x14ac:dyDescent="0.3">
      <c r="B55" s="71"/>
    </row>
    <row r="56" spans="2:13" x14ac:dyDescent="0.3">
      <c r="B56" s="71"/>
    </row>
    <row r="57" spans="2:13" x14ac:dyDescent="0.3">
      <c r="B57" s="71"/>
    </row>
    <row r="61" spans="2:13" x14ac:dyDescent="0.3">
      <c r="B61" s="71"/>
    </row>
    <row r="62" spans="2:13" x14ac:dyDescent="0.3">
      <c r="B62" s="71"/>
    </row>
    <row r="66" spans="2:2" x14ac:dyDescent="0.3">
      <c r="B66" s="71"/>
    </row>
    <row r="67" spans="2:2" x14ac:dyDescent="0.3">
      <c r="B67" s="71"/>
    </row>
    <row r="68" spans="2:2" x14ac:dyDescent="0.3">
      <c r="B68" s="7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EF495-960F-4C43-AD48-2ECF5F47C7BA}">
  <sheetPr codeName="Hoja122"/>
  <dimension ref="A1:H51"/>
  <sheetViews>
    <sheetView view="pageBreakPreview" topLeftCell="A13" zoomScale="80" zoomScaleNormal="100" zoomScaleSheetLayoutView="80" workbookViewId="0">
      <selection activeCell="C52" sqref="C5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181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499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104.23999999999998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45819</v>
      </c>
      <c r="B5" s="32" t="s">
        <v>21</v>
      </c>
      <c r="C5" s="24">
        <v>15.85</v>
      </c>
      <c r="D5" s="30"/>
      <c r="E5" s="30"/>
      <c r="F5" s="30"/>
      <c r="G5" s="22"/>
    </row>
    <row r="6" spans="1:8" x14ac:dyDescent="0.3">
      <c r="A6" s="21">
        <v>45819</v>
      </c>
      <c r="B6" s="34" t="s">
        <v>21</v>
      </c>
      <c r="C6" s="24">
        <v>38.520000000000003</v>
      </c>
    </row>
    <row r="7" spans="1:8" x14ac:dyDescent="0.3">
      <c r="A7" s="21">
        <v>45820</v>
      </c>
      <c r="B7" s="27" t="s">
        <v>1</v>
      </c>
      <c r="C7" s="24">
        <v>-54.02</v>
      </c>
    </row>
    <row r="8" spans="1:8" x14ac:dyDescent="0.3">
      <c r="A8" s="26">
        <v>45832</v>
      </c>
      <c r="B8" s="32" t="s">
        <v>21</v>
      </c>
      <c r="C8" s="24">
        <v>9.84</v>
      </c>
    </row>
    <row r="9" spans="1:8" x14ac:dyDescent="0.3">
      <c r="A9" s="26">
        <v>45832</v>
      </c>
      <c r="B9" s="34" t="s">
        <v>21</v>
      </c>
      <c r="C9" s="24">
        <v>74.64</v>
      </c>
    </row>
    <row r="10" spans="1:8" x14ac:dyDescent="0.3">
      <c r="A10" s="21">
        <v>45832</v>
      </c>
      <c r="B10" s="45" t="s">
        <v>1</v>
      </c>
      <c r="C10" s="24">
        <v>31.95</v>
      </c>
    </row>
    <row r="11" spans="1:8" x14ac:dyDescent="0.3">
      <c r="A11" s="21">
        <v>45832</v>
      </c>
      <c r="B11" s="27" t="s">
        <v>4</v>
      </c>
      <c r="C11" s="24">
        <v>-116.43</v>
      </c>
    </row>
    <row r="12" spans="1:8" x14ac:dyDescent="0.3">
      <c r="A12" s="26">
        <v>45840</v>
      </c>
      <c r="B12" s="31" t="s">
        <v>4</v>
      </c>
      <c r="C12" s="24">
        <v>-86</v>
      </c>
    </row>
    <row r="13" spans="1:8" x14ac:dyDescent="0.3">
      <c r="A13" s="26">
        <v>45840</v>
      </c>
      <c r="B13" s="31" t="s">
        <v>4</v>
      </c>
      <c r="C13" s="24">
        <v>-0.63</v>
      </c>
    </row>
    <row r="14" spans="1:8" x14ac:dyDescent="0.3">
      <c r="A14" s="26">
        <v>45839</v>
      </c>
      <c r="B14" s="34" t="s">
        <v>21</v>
      </c>
      <c r="C14" s="24">
        <v>84.84</v>
      </c>
    </row>
    <row r="15" spans="1:8" x14ac:dyDescent="0.3">
      <c r="A15" s="26">
        <v>45846</v>
      </c>
      <c r="B15" s="32" t="s">
        <v>21</v>
      </c>
      <c r="C15" s="24">
        <v>15</v>
      </c>
    </row>
    <row r="16" spans="1:8" x14ac:dyDescent="0.3">
      <c r="A16" s="26">
        <v>45846</v>
      </c>
      <c r="B16" s="34" t="s">
        <v>21</v>
      </c>
      <c r="C16" s="24">
        <v>53.74</v>
      </c>
    </row>
    <row r="17" spans="1:3" x14ac:dyDescent="0.3">
      <c r="A17" s="26">
        <v>45846</v>
      </c>
      <c r="B17" s="45" t="s">
        <v>1</v>
      </c>
      <c r="C17" s="24">
        <v>16.32</v>
      </c>
    </row>
    <row r="18" spans="1:3" x14ac:dyDescent="0.3">
      <c r="A18" s="26">
        <v>45847</v>
      </c>
      <c r="B18" s="27" t="s">
        <v>4</v>
      </c>
      <c r="C18" s="24">
        <v>-83.53</v>
      </c>
    </row>
    <row r="19" spans="1:3" x14ac:dyDescent="0.3">
      <c r="A19" s="26">
        <v>45867</v>
      </c>
      <c r="B19" s="32" t="s">
        <v>21</v>
      </c>
      <c r="C19" s="24">
        <v>15</v>
      </c>
    </row>
    <row r="20" spans="1:3" x14ac:dyDescent="0.3">
      <c r="A20" s="26">
        <v>45867</v>
      </c>
      <c r="B20" s="34" t="s">
        <v>21</v>
      </c>
      <c r="C20" s="24">
        <v>25.56</v>
      </c>
    </row>
    <row r="21" spans="1:3" x14ac:dyDescent="0.3">
      <c r="A21" s="26">
        <v>45881</v>
      </c>
      <c r="B21" s="32" t="s">
        <v>21</v>
      </c>
      <c r="C21" s="24">
        <v>15.85</v>
      </c>
    </row>
    <row r="22" spans="1:3" x14ac:dyDescent="0.3">
      <c r="A22" s="26">
        <v>45888</v>
      </c>
      <c r="B22" s="27" t="s">
        <v>4</v>
      </c>
      <c r="C22" s="24">
        <v>-56.5</v>
      </c>
    </row>
    <row r="23" spans="1:3" x14ac:dyDescent="0.3">
      <c r="A23" s="26">
        <v>45889</v>
      </c>
      <c r="B23" s="27" t="s">
        <v>4</v>
      </c>
      <c r="C23" s="24">
        <v>-108.02</v>
      </c>
    </row>
    <row r="24" spans="1:3" x14ac:dyDescent="0.3">
      <c r="A24" s="26">
        <v>45888</v>
      </c>
      <c r="B24" s="34" t="s">
        <v>21</v>
      </c>
      <c r="C24" s="24">
        <v>108.02</v>
      </c>
    </row>
    <row r="25" spans="1:3" x14ac:dyDescent="0.3">
      <c r="A25" s="26">
        <v>45895</v>
      </c>
      <c r="B25" s="32" t="s">
        <v>21</v>
      </c>
      <c r="C25" s="24">
        <v>35.53</v>
      </c>
    </row>
    <row r="26" spans="1:3" x14ac:dyDescent="0.3">
      <c r="A26" s="26">
        <v>45902</v>
      </c>
      <c r="B26" s="32" t="s">
        <v>21</v>
      </c>
      <c r="C26" s="24">
        <v>15</v>
      </c>
    </row>
    <row r="27" spans="1:3" x14ac:dyDescent="0.3">
      <c r="A27" s="26">
        <v>45909</v>
      </c>
      <c r="B27" s="27" t="s">
        <v>4</v>
      </c>
      <c r="C27" s="24">
        <v>-50.53</v>
      </c>
    </row>
    <row r="28" spans="1:3" x14ac:dyDescent="0.3">
      <c r="A28" s="26">
        <v>45909</v>
      </c>
      <c r="B28" s="34" t="s">
        <v>21</v>
      </c>
      <c r="C28" s="24">
        <v>66.06</v>
      </c>
    </row>
    <row r="29" spans="1:3" x14ac:dyDescent="0.3">
      <c r="A29" s="26">
        <v>45923</v>
      </c>
      <c r="B29" s="27" t="s">
        <v>4</v>
      </c>
      <c r="C29" s="24">
        <v>-66.06</v>
      </c>
    </row>
    <row r="30" spans="1:3" x14ac:dyDescent="0.3">
      <c r="A30" s="26">
        <v>45923</v>
      </c>
      <c r="B30" s="32" t="s">
        <v>21</v>
      </c>
      <c r="C30" s="24">
        <v>47.68</v>
      </c>
    </row>
    <row r="31" spans="1:3" x14ac:dyDescent="0.3">
      <c r="A31" s="26">
        <v>45923</v>
      </c>
      <c r="B31" s="34" t="s">
        <v>21</v>
      </c>
      <c r="C31" s="24">
        <v>136.36000000000001</v>
      </c>
    </row>
    <row r="32" spans="1:3" x14ac:dyDescent="0.3">
      <c r="A32" s="26">
        <v>45930</v>
      </c>
      <c r="B32" s="27" t="s">
        <v>4</v>
      </c>
      <c r="C32" s="24">
        <v>-184.04</v>
      </c>
    </row>
    <row r="33" spans="1:3" x14ac:dyDescent="0.3">
      <c r="A33" s="26">
        <v>45930</v>
      </c>
      <c r="B33" s="27" t="s">
        <v>4</v>
      </c>
      <c r="C33" s="24">
        <v>-79.27</v>
      </c>
    </row>
    <row r="34" spans="1:3" x14ac:dyDescent="0.3">
      <c r="A34" s="26">
        <v>45930</v>
      </c>
      <c r="B34" s="32" t="s">
        <v>21</v>
      </c>
      <c r="C34" s="24">
        <v>15.85</v>
      </c>
    </row>
    <row r="35" spans="1:3" x14ac:dyDescent="0.3">
      <c r="A35" s="26">
        <v>45930</v>
      </c>
      <c r="B35" s="34" t="s">
        <v>21</v>
      </c>
      <c r="C35" s="24">
        <v>63.16</v>
      </c>
    </row>
    <row r="36" spans="1:3" x14ac:dyDescent="0.3">
      <c r="A36" s="26">
        <v>45951</v>
      </c>
      <c r="B36" s="32" t="s">
        <v>21</v>
      </c>
      <c r="C36" s="24">
        <v>41.22</v>
      </c>
    </row>
    <row r="37" spans="1:3" x14ac:dyDescent="0.3">
      <c r="A37" s="26">
        <v>45965</v>
      </c>
      <c r="B37" s="32" t="s">
        <v>21</v>
      </c>
      <c r="C37" s="24">
        <v>16.38</v>
      </c>
    </row>
    <row r="38" spans="1:3" x14ac:dyDescent="0.3">
      <c r="A38" s="26">
        <v>45980</v>
      </c>
      <c r="B38" s="27" t="s">
        <v>4</v>
      </c>
      <c r="C38" s="24">
        <v>-119.32</v>
      </c>
    </row>
    <row r="39" spans="1:3" x14ac:dyDescent="0.3">
      <c r="A39" s="26">
        <v>45980</v>
      </c>
      <c r="B39" s="27" t="s">
        <v>1</v>
      </c>
      <c r="C39" s="24">
        <v>61.72</v>
      </c>
    </row>
    <row r="40" spans="1:3" x14ac:dyDescent="0.3">
      <c r="A40" s="26">
        <v>45986</v>
      </c>
      <c r="B40" s="27" t="s">
        <v>1</v>
      </c>
      <c r="C40" s="24">
        <v>97.4</v>
      </c>
    </row>
    <row r="41" spans="1:3" x14ac:dyDescent="0.3">
      <c r="A41" s="26">
        <v>46000</v>
      </c>
      <c r="B41" s="27" t="s">
        <v>4</v>
      </c>
      <c r="C41" s="24">
        <v>-279.22000000000003</v>
      </c>
    </row>
    <row r="42" spans="1:3" x14ac:dyDescent="0.3">
      <c r="A42" s="26">
        <v>46000</v>
      </c>
      <c r="B42" s="27" t="s">
        <v>1</v>
      </c>
      <c r="C42" s="24">
        <v>184.82</v>
      </c>
    </row>
    <row r="43" spans="1:3" x14ac:dyDescent="0.3">
      <c r="A43" s="26">
        <v>46007</v>
      </c>
      <c r="B43" s="27" t="s">
        <v>4</v>
      </c>
      <c r="C43" s="24">
        <v>-126.81</v>
      </c>
    </row>
    <row r="44" spans="1:3" x14ac:dyDescent="0.3">
      <c r="A44" s="26">
        <v>46007</v>
      </c>
      <c r="B44" s="27" t="s">
        <v>1</v>
      </c>
      <c r="C44" s="24">
        <v>122.7</v>
      </c>
    </row>
    <row r="45" spans="1:3" x14ac:dyDescent="0.3">
      <c r="A45" s="26">
        <v>46014</v>
      </c>
      <c r="B45" s="27" t="s">
        <v>1</v>
      </c>
      <c r="C45" s="24">
        <v>89.33</v>
      </c>
    </row>
    <row r="46" spans="1:3" x14ac:dyDescent="0.3">
      <c r="A46" s="26">
        <v>46028</v>
      </c>
      <c r="B46" s="27" t="s">
        <v>1</v>
      </c>
      <c r="C46" s="24">
        <v>55.02</v>
      </c>
    </row>
    <row r="47" spans="1:3" x14ac:dyDescent="0.3">
      <c r="A47" s="26">
        <v>46035</v>
      </c>
      <c r="B47" s="27" t="s">
        <v>4</v>
      </c>
      <c r="C47" s="24">
        <v>-143.02000000000001</v>
      </c>
    </row>
    <row r="48" spans="1:3" x14ac:dyDescent="0.3">
      <c r="A48" s="26">
        <v>46035</v>
      </c>
      <c r="B48" s="27" t="s">
        <v>1</v>
      </c>
      <c r="C48" s="24">
        <v>46.68</v>
      </c>
    </row>
    <row r="49" spans="1:3" x14ac:dyDescent="0.3">
      <c r="A49" s="26">
        <v>46042</v>
      </c>
      <c r="B49" s="27" t="s">
        <v>4</v>
      </c>
      <c r="C49" s="24">
        <v>-350.98</v>
      </c>
    </row>
    <row r="50" spans="1:3" x14ac:dyDescent="0.3">
      <c r="A50" s="26">
        <v>46042</v>
      </c>
      <c r="B50" s="27" t="s">
        <v>1</v>
      </c>
      <c r="C50" s="24">
        <v>304.3</v>
      </c>
    </row>
    <row r="51" spans="1:3" x14ac:dyDescent="0.3">
      <c r="A51" s="26">
        <v>46056</v>
      </c>
      <c r="B51" s="27" t="s">
        <v>1</v>
      </c>
      <c r="C51" s="24">
        <v>104.28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77C78-11C8-43A3-843B-7A9BC1AC40A2}">
  <dimension ref="A1:H31"/>
  <sheetViews>
    <sheetView view="pageBreakPreview" zoomScale="80" zoomScaleNormal="100" zoomScaleSheetLayoutView="80" workbookViewId="0">
      <selection sqref="A1:H3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417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45889</v>
      </c>
      <c r="B5" s="31" t="s">
        <v>291</v>
      </c>
      <c r="C5" s="24">
        <v>-77.2</v>
      </c>
      <c r="D5" s="30"/>
      <c r="E5" s="30"/>
      <c r="F5" s="30"/>
      <c r="G5" s="22"/>
    </row>
    <row r="6" spans="1:8" x14ac:dyDescent="0.3">
      <c r="A6" s="21">
        <v>45889</v>
      </c>
      <c r="B6" s="72" t="s">
        <v>21</v>
      </c>
      <c r="C6" s="24">
        <v>77.2</v>
      </c>
    </row>
    <row r="7" spans="1:8" x14ac:dyDescent="0.3">
      <c r="A7" s="21"/>
    </row>
    <row r="9" spans="1:8" x14ac:dyDescent="0.3">
      <c r="B9" s="72"/>
    </row>
    <row r="10" spans="1:8" x14ac:dyDescent="0.3">
      <c r="B10" s="31"/>
    </row>
    <row r="12" spans="1:8" x14ac:dyDescent="0.3">
      <c r="B12" s="31"/>
    </row>
    <row r="13" spans="1:8" x14ac:dyDescent="0.3">
      <c r="B13" s="72"/>
    </row>
    <row r="27" spans="2:2" x14ac:dyDescent="0.3">
      <c r="B27" s="72"/>
    </row>
    <row r="28" spans="2:2" x14ac:dyDescent="0.3">
      <c r="B28" s="73"/>
    </row>
    <row r="31" spans="2:2" x14ac:dyDescent="0.3">
      <c r="B31" s="72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5AF3-C7EF-4F88-9F44-36059946E63E}">
  <dimension ref="A1:I72"/>
  <sheetViews>
    <sheetView view="pageBreakPreview" zoomScale="80" zoomScaleNormal="100" zoomScaleSheetLayoutView="80" workbookViewId="0">
      <selection activeCell="C21" sqref="C21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509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326.59000000000009</v>
      </c>
      <c r="D3" s="20">
        <f>SUM(D$4:D$1048576)</f>
        <v>8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45993</v>
      </c>
      <c r="B5" s="31" t="s">
        <v>21</v>
      </c>
      <c r="C5" s="24">
        <v>151.69999999999999</v>
      </c>
      <c r="D5" s="30">
        <v>6</v>
      </c>
      <c r="E5" s="30"/>
      <c r="F5" s="30"/>
      <c r="G5" s="22"/>
    </row>
    <row r="6" spans="1:9" x14ac:dyDescent="0.3">
      <c r="A6" s="21">
        <v>46000</v>
      </c>
      <c r="B6" s="31" t="s">
        <v>291</v>
      </c>
      <c r="C6" s="24">
        <v>-151.69999999999999</v>
      </c>
    </row>
    <row r="7" spans="1:9" x14ac:dyDescent="0.3">
      <c r="A7" s="21">
        <v>46000</v>
      </c>
      <c r="B7" s="31" t="s">
        <v>1</v>
      </c>
      <c r="C7" s="24">
        <v>508.26</v>
      </c>
      <c r="D7" s="25">
        <v>6</v>
      </c>
      <c r="I7" s="18" t="s">
        <v>516</v>
      </c>
    </row>
    <row r="8" spans="1:9" x14ac:dyDescent="0.3">
      <c r="A8" s="21">
        <v>46000</v>
      </c>
      <c r="B8" s="31" t="s">
        <v>503</v>
      </c>
      <c r="C8" s="24">
        <v>-22.8</v>
      </c>
    </row>
    <row r="9" spans="1:9" x14ac:dyDescent="0.3">
      <c r="A9" s="26">
        <v>46014</v>
      </c>
      <c r="B9" s="31" t="s">
        <v>4</v>
      </c>
      <c r="C9" s="24">
        <v>-377.88</v>
      </c>
    </row>
    <row r="10" spans="1:9" x14ac:dyDescent="0.3">
      <c r="A10" s="26">
        <v>46014</v>
      </c>
      <c r="B10" s="31" t="s">
        <v>1</v>
      </c>
      <c r="C10" s="24">
        <v>468.47</v>
      </c>
      <c r="D10" s="25">
        <v>-4</v>
      </c>
    </row>
    <row r="11" spans="1:9" x14ac:dyDescent="0.3">
      <c r="A11" s="26">
        <v>46020</v>
      </c>
      <c r="B11" s="31" t="s">
        <v>4</v>
      </c>
      <c r="C11" s="24">
        <v>-116.62</v>
      </c>
    </row>
    <row r="12" spans="1:9" x14ac:dyDescent="0.3">
      <c r="A12" s="26">
        <v>46027</v>
      </c>
      <c r="B12" s="31" t="s">
        <v>4</v>
      </c>
      <c r="C12" s="24">
        <v>-328.21</v>
      </c>
    </row>
    <row r="13" spans="1:9" x14ac:dyDescent="0.3">
      <c r="A13" s="26">
        <v>46027</v>
      </c>
      <c r="B13" s="31" t="s">
        <v>4</v>
      </c>
      <c r="C13" s="24">
        <v>-432.52</v>
      </c>
    </row>
    <row r="14" spans="1:9" x14ac:dyDescent="0.3">
      <c r="A14" s="26">
        <v>46028</v>
      </c>
      <c r="B14" s="31" t="s">
        <v>1</v>
      </c>
      <c r="C14" s="24">
        <v>726.94</v>
      </c>
    </row>
    <row r="15" spans="1:9" x14ac:dyDescent="0.3">
      <c r="A15" s="26">
        <v>46042</v>
      </c>
      <c r="B15" s="31" t="s">
        <v>4</v>
      </c>
      <c r="C15" s="24">
        <v>-145.13</v>
      </c>
    </row>
    <row r="16" spans="1:9" x14ac:dyDescent="0.3">
      <c r="A16" s="26">
        <v>46050</v>
      </c>
      <c r="B16" s="31" t="s">
        <v>1</v>
      </c>
      <c r="C16" s="24">
        <v>199.8</v>
      </c>
    </row>
    <row r="17" spans="1:3" x14ac:dyDescent="0.3">
      <c r="A17" s="26">
        <v>46051</v>
      </c>
      <c r="B17" s="31" t="s">
        <v>4</v>
      </c>
      <c r="C17" s="24">
        <v>-317.62</v>
      </c>
    </row>
    <row r="18" spans="1:3" x14ac:dyDescent="0.3">
      <c r="A18" s="26">
        <v>46056</v>
      </c>
      <c r="B18" s="31" t="s">
        <v>4</v>
      </c>
      <c r="C18" s="24">
        <v>-220.37</v>
      </c>
    </row>
    <row r="19" spans="1:3" x14ac:dyDescent="0.3">
      <c r="A19" s="26">
        <v>46056</v>
      </c>
      <c r="B19" s="31" t="s">
        <v>4</v>
      </c>
      <c r="C19" s="24">
        <v>-43.83</v>
      </c>
    </row>
    <row r="20" spans="1:3" x14ac:dyDescent="0.3">
      <c r="A20" s="26">
        <v>46056</v>
      </c>
      <c r="B20" s="31" t="s">
        <v>1</v>
      </c>
      <c r="C20" s="24">
        <v>428.1</v>
      </c>
    </row>
    <row r="21" spans="1:3" x14ac:dyDescent="0.3">
      <c r="B21" s="31"/>
    </row>
    <row r="22" spans="1:3" x14ac:dyDescent="0.3">
      <c r="B22" s="31"/>
    </row>
    <row r="23" spans="1:3" x14ac:dyDescent="0.3">
      <c r="B23" s="31"/>
    </row>
    <row r="24" spans="1:3" x14ac:dyDescent="0.3">
      <c r="B24" s="31"/>
    </row>
    <row r="25" spans="1:3" x14ac:dyDescent="0.3">
      <c r="B25" s="31"/>
    </row>
    <row r="26" spans="1:3" x14ac:dyDescent="0.3">
      <c r="B26" s="31"/>
    </row>
    <row r="27" spans="1:3" x14ac:dyDescent="0.3">
      <c r="B27" s="31"/>
    </row>
    <row r="28" spans="1:3" x14ac:dyDescent="0.3">
      <c r="B28" s="31"/>
    </row>
    <row r="29" spans="1:3" x14ac:dyDescent="0.3">
      <c r="B29" s="31"/>
    </row>
    <row r="30" spans="1:3" x14ac:dyDescent="0.3">
      <c r="B30" s="31"/>
    </row>
    <row r="31" spans="1:3" x14ac:dyDescent="0.3">
      <c r="B31" s="31"/>
    </row>
    <row r="32" spans="1:3" x14ac:dyDescent="0.3">
      <c r="B32" s="31"/>
    </row>
    <row r="33" spans="2:2" x14ac:dyDescent="0.3">
      <c r="B33" s="31"/>
    </row>
    <row r="34" spans="2:2" x14ac:dyDescent="0.3">
      <c r="B34" s="31"/>
    </row>
    <row r="35" spans="2:2" x14ac:dyDescent="0.3">
      <c r="B35" s="31"/>
    </row>
    <row r="36" spans="2:2" x14ac:dyDescent="0.3">
      <c r="B36" s="31"/>
    </row>
    <row r="37" spans="2:2" x14ac:dyDescent="0.3">
      <c r="B37" s="31"/>
    </row>
    <row r="38" spans="2:2" x14ac:dyDescent="0.3">
      <c r="B38" s="31"/>
    </row>
    <row r="39" spans="2:2" x14ac:dyDescent="0.3">
      <c r="B39" s="31"/>
    </row>
    <row r="40" spans="2:2" x14ac:dyDescent="0.3">
      <c r="B40" s="31"/>
    </row>
    <row r="41" spans="2:2" x14ac:dyDescent="0.3">
      <c r="B41" s="31"/>
    </row>
    <row r="42" spans="2:2" x14ac:dyDescent="0.3">
      <c r="B42" s="31"/>
    </row>
    <row r="43" spans="2:2" x14ac:dyDescent="0.3">
      <c r="B43" s="31"/>
    </row>
    <row r="44" spans="2:2" x14ac:dyDescent="0.3">
      <c r="B44" s="31"/>
    </row>
    <row r="45" spans="2:2" x14ac:dyDescent="0.3">
      <c r="B45" s="31"/>
    </row>
    <row r="46" spans="2:2" x14ac:dyDescent="0.3">
      <c r="B46" s="31"/>
    </row>
    <row r="47" spans="2:2" x14ac:dyDescent="0.3">
      <c r="B47" s="31"/>
    </row>
    <row r="48" spans="2:2" x14ac:dyDescent="0.3">
      <c r="B48" s="31"/>
    </row>
    <row r="49" spans="2:2" x14ac:dyDescent="0.3">
      <c r="B49" s="31"/>
    </row>
    <row r="50" spans="2:2" x14ac:dyDescent="0.3">
      <c r="B50" s="31"/>
    </row>
    <row r="51" spans="2:2" x14ac:dyDescent="0.3">
      <c r="B51" s="31"/>
    </row>
    <row r="52" spans="2:2" x14ac:dyDescent="0.3">
      <c r="B52" s="31"/>
    </row>
    <row r="53" spans="2:2" x14ac:dyDescent="0.3">
      <c r="B53" s="31"/>
    </row>
    <row r="54" spans="2:2" x14ac:dyDescent="0.3">
      <c r="B54" s="31"/>
    </row>
    <row r="55" spans="2:2" x14ac:dyDescent="0.3">
      <c r="B55" s="31"/>
    </row>
    <row r="56" spans="2:2" x14ac:dyDescent="0.3">
      <c r="B56" s="31"/>
    </row>
    <row r="57" spans="2:2" x14ac:dyDescent="0.3">
      <c r="B57" s="31"/>
    </row>
    <row r="58" spans="2:2" x14ac:dyDescent="0.3">
      <c r="B58" s="31"/>
    </row>
    <row r="59" spans="2:2" x14ac:dyDescent="0.3">
      <c r="B59" s="31"/>
    </row>
    <row r="60" spans="2:2" x14ac:dyDescent="0.3">
      <c r="B60" s="31"/>
    </row>
    <row r="61" spans="2:2" x14ac:dyDescent="0.3">
      <c r="B61" s="31"/>
    </row>
    <row r="62" spans="2:2" x14ac:dyDescent="0.3">
      <c r="B62" s="31"/>
    </row>
    <row r="63" spans="2:2" x14ac:dyDescent="0.3">
      <c r="B63" s="31"/>
    </row>
    <row r="64" spans="2:2" x14ac:dyDescent="0.3">
      <c r="B64" s="31"/>
    </row>
    <row r="65" spans="2:2" x14ac:dyDescent="0.3">
      <c r="B65" s="31"/>
    </row>
    <row r="66" spans="2:2" x14ac:dyDescent="0.3">
      <c r="B66" s="31"/>
    </row>
    <row r="67" spans="2:2" x14ac:dyDescent="0.3">
      <c r="B67" s="31"/>
    </row>
    <row r="68" spans="2:2" x14ac:dyDescent="0.3">
      <c r="B68" s="31"/>
    </row>
    <row r="69" spans="2:2" x14ac:dyDescent="0.3">
      <c r="B69" s="31"/>
    </row>
    <row r="70" spans="2:2" x14ac:dyDescent="0.3">
      <c r="B70" s="31"/>
    </row>
    <row r="71" spans="2:2" x14ac:dyDescent="0.3">
      <c r="B71" s="31"/>
    </row>
    <row r="72" spans="2:2" x14ac:dyDescent="0.3">
      <c r="B72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427E2-0436-46BD-80BA-5F25E96944B7}">
  <sheetPr codeName="Hoja123"/>
  <dimension ref="A1:I97"/>
  <sheetViews>
    <sheetView view="pageBreakPreview" zoomScale="80" zoomScaleNormal="100" zoomScaleSheetLayoutView="80" workbookViewId="0">
      <selection activeCell="C98" sqref="C9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127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2412.9899999999971</v>
      </c>
      <c r="D3" s="20">
        <f>SUM(D$4:D$1048576)</f>
        <v>89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45815</v>
      </c>
      <c r="B5" s="31" t="s">
        <v>21</v>
      </c>
      <c r="C5" s="24">
        <v>4931.45</v>
      </c>
      <c r="D5" s="30">
        <v>206</v>
      </c>
      <c r="E5" s="30"/>
      <c r="F5" s="30"/>
      <c r="G5" s="22"/>
    </row>
    <row r="6" spans="1:8" hidden="1" x14ac:dyDescent="0.3">
      <c r="A6" s="21">
        <v>45815</v>
      </c>
      <c r="B6" s="31" t="s">
        <v>22</v>
      </c>
      <c r="D6" s="25">
        <v>30</v>
      </c>
    </row>
    <row r="7" spans="1:8" hidden="1" x14ac:dyDescent="0.3">
      <c r="A7" s="21">
        <v>45815</v>
      </c>
      <c r="B7" s="72" t="s">
        <v>21</v>
      </c>
      <c r="C7" s="24">
        <v>95.1</v>
      </c>
      <c r="D7" s="25">
        <v>6</v>
      </c>
    </row>
    <row r="8" spans="1:8" hidden="1" x14ac:dyDescent="0.3">
      <c r="A8" s="26">
        <v>45821</v>
      </c>
      <c r="B8" s="27" t="s">
        <v>1</v>
      </c>
      <c r="C8" s="24">
        <v>1471.6</v>
      </c>
    </row>
    <row r="9" spans="1:8" hidden="1" x14ac:dyDescent="0.3">
      <c r="A9" s="26">
        <v>45821</v>
      </c>
      <c r="B9" s="72" t="s">
        <v>21</v>
      </c>
      <c r="C9" s="24">
        <v>180.14</v>
      </c>
    </row>
    <row r="10" spans="1:8" hidden="1" x14ac:dyDescent="0.3">
      <c r="A10" s="26">
        <v>45828</v>
      </c>
      <c r="B10" s="31" t="s">
        <v>291</v>
      </c>
      <c r="C10" s="24">
        <v>-2844.88</v>
      </c>
    </row>
    <row r="11" spans="1:8" hidden="1" x14ac:dyDescent="0.3">
      <c r="A11" s="26">
        <v>45834</v>
      </c>
      <c r="B11" s="27" t="s">
        <v>4</v>
      </c>
      <c r="C11" s="24">
        <v>-899.93</v>
      </c>
    </row>
    <row r="12" spans="1:8" hidden="1" x14ac:dyDescent="0.3">
      <c r="A12" s="26">
        <v>45835</v>
      </c>
      <c r="B12" s="31" t="s">
        <v>1</v>
      </c>
      <c r="C12" s="24">
        <v>3267.2</v>
      </c>
      <c r="D12" s="25">
        <v>-2</v>
      </c>
    </row>
    <row r="13" spans="1:8" hidden="1" x14ac:dyDescent="0.3">
      <c r="A13" s="26">
        <v>45835</v>
      </c>
      <c r="B13" s="72" t="s">
        <v>21</v>
      </c>
      <c r="C13" s="24">
        <v>34.46</v>
      </c>
    </row>
    <row r="14" spans="1:8" hidden="1" x14ac:dyDescent="0.3">
      <c r="A14" s="26">
        <v>45847</v>
      </c>
      <c r="B14" s="27" t="s">
        <v>1</v>
      </c>
      <c r="C14" s="24">
        <v>15</v>
      </c>
    </row>
    <row r="15" spans="1:8" hidden="1" x14ac:dyDescent="0.3">
      <c r="A15" s="26">
        <v>45849</v>
      </c>
      <c r="B15" s="27" t="s">
        <v>4</v>
      </c>
      <c r="C15" s="24">
        <v>-1398.46</v>
      </c>
    </row>
    <row r="16" spans="1:8" hidden="1" x14ac:dyDescent="0.3">
      <c r="A16" s="26">
        <v>45852</v>
      </c>
      <c r="B16" s="27" t="s">
        <v>4</v>
      </c>
      <c r="C16" s="24">
        <v>-198.41</v>
      </c>
    </row>
    <row r="17" spans="1:4" hidden="1" x14ac:dyDescent="0.3">
      <c r="A17" s="26">
        <v>45855</v>
      </c>
      <c r="B17" s="27" t="s">
        <v>22</v>
      </c>
      <c r="D17" s="25">
        <v>-200</v>
      </c>
    </row>
    <row r="18" spans="1:4" hidden="1" x14ac:dyDescent="0.3">
      <c r="A18" s="26">
        <v>45856</v>
      </c>
      <c r="B18" s="27" t="s">
        <v>4</v>
      </c>
      <c r="C18" s="24">
        <v>-228.26</v>
      </c>
    </row>
    <row r="19" spans="1:4" hidden="1" x14ac:dyDescent="0.3">
      <c r="A19" s="26">
        <v>45856</v>
      </c>
      <c r="B19" s="27" t="s">
        <v>4</v>
      </c>
      <c r="C19" s="24">
        <v>-1235.97</v>
      </c>
    </row>
    <row r="20" spans="1:4" hidden="1" x14ac:dyDescent="0.3">
      <c r="A20" s="26">
        <v>45868</v>
      </c>
      <c r="B20" s="27" t="s">
        <v>4</v>
      </c>
      <c r="C20" s="24">
        <v>-1210.8699999999999</v>
      </c>
    </row>
    <row r="21" spans="1:4" hidden="1" x14ac:dyDescent="0.3">
      <c r="A21" s="26">
        <v>45868</v>
      </c>
      <c r="B21" s="27" t="s">
        <v>4</v>
      </c>
      <c r="C21" s="24">
        <v>-403.62</v>
      </c>
    </row>
    <row r="22" spans="1:4" hidden="1" x14ac:dyDescent="0.3">
      <c r="A22" s="26">
        <v>45868</v>
      </c>
      <c r="B22" s="27" t="s">
        <v>4</v>
      </c>
      <c r="C22" s="24">
        <v>-161.44999999999999</v>
      </c>
    </row>
    <row r="23" spans="1:4" hidden="1" x14ac:dyDescent="0.3">
      <c r="A23" s="26">
        <v>45868</v>
      </c>
      <c r="B23" s="27" t="s">
        <v>4</v>
      </c>
      <c r="C23" s="24">
        <v>-807.25</v>
      </c>
    </row>
    <row r="24" spans="1:4" hidden="1" x14ac:dyDescent="0.3">
      <c r="A24" s="26">
        <v>45868</v>
      </c>
      <c r="B24" s="27" t="s">
        <v>4</v>
      </c>
      <c r="C24" s="24">
        <v>-460.13</v>
      </c>
    </row>
    <row r="25" spans="1:4" hidden="1" x14ac:dyDescent="0.3">
      <c r="A25" s="26">
        <v>45869</v>
      </c>
      <c r="B25" s="27" t="s">
        <v>4</v>
      </c>
      <c r="C25" s="24">
        <v>-144.99</v>
      </c>
      <c r="D25" s="25">
        <v>-40</v>
      </c>
    </row>
    <row r="26" spans="1:4" hidden="1" x14ac:dyDescent="0.3">
      <c r="A26" s="26">
        <v>45869</v>
      </c>
      <c r="B26" s="27" t="s">
        <v>1</v>
      </c>
      <c r="C26" s="24">
        <v>3353.2</v>
      </c>
      <c r="D26" s="25">
        <v>24</v>
      </c>
    </row>
    <row r="27" spans="1:4" hidden="1" x14ac:dyDescent="0.3">
      <c r="A27" s="26">
        <v>45869</v>
      </c>
      <c r="B27" s="72" t="s">
        <v>21</v>
      </c>
      <c r="C27" s="24">
        <v>158.21</v>
      </c>
    </row>
    <row r="28" spans="1:4" hidden="1" x14ac:dyDescent="0.3">
      <c r="A28" s="26">
        <v>45870</v>
      </c>
      <c r="B28" s="73" t="s">
        <v>21</v>
      </c>
      <c r="C28" s="24">
        <v>217.96</v>
      </c>
    </row>
    <row r="29" spans="1:4" hidden="1" x14ac:dyDescent="0.3">
      <c r="A29" s="26">
        <v>45884</v>
      </c>
      <c r="B29" s="27" t="s">
        <v>4</v>
      </c>
      <c r="C29" s="24">
        <v>-3353.2</v>
      </c>
    </row>
    <row r="30" spans="1:4" hidden="1" x14ac:dyDescent="0.3">
      <c r="A30" s="26">
        <v>45884</v>
      </c>
      <c r="B30" s="27" t="s">
        <v>1</v>
      </c>
      <c r="C30" s="24">
        <v>4856.2</v>
      </c>
      <c r="D30" s="25">
        <f>-24+123</f>
        <v>99</v>
      </c>
    </row>
    <row r="31" spans="1:4" hidden="1" x14ac:dyDescent="0.3">
      <c r="A31" s="26">
        <v>45884</v>
      </c>
      <c r="B31" s="72" t="s">
        <v>21</v>
      </c>
      <c r="C31" s="24">
        <v>120.46</v>
      </c>
    </row>
    <row r="32" spans="1:4" hidden="1" x14ac:dyDescent="0.3">
      <c r="A32" s="26">
        <v>45905</v>
      </c>
      <c r="B32" s="27" t="s">
        <v>4</v>
      </c>
      <c r="C32" s="24">
        <v>-327.18</v>
      </c>
    </row>
    <row r="33" spans="1:4" hidden="1" x14ac:dyDescent="0.3">
      <c r="A33" s="26">
        <v>45905</v>
      </c>
      <c r="B33" s="27" t="s">
        <v>4</v>
      </c>
      <c r="C33" s="24">
        <v>-405.7</v>
      </c>
    </row>
    <row r="34" spans="1:4" hidden="1" x14ac:dyDescent="0.3">
      <c r="A34" s="26">
        <v>45906</v>
      </c>
      <c r="B34" s="27" t="s">
        <v>4</v>
      </c>
      <c r="C34" s="24">
        <v>-460.28</v>
      </c>
    </row>
    <row r="35" spans="1:4" hidden="1" x14ac:dyDescent="0.3">
      <c r="A35" s="26">
        <v>45906</v>
      </c>
      <c r="B35" s="27" t="s">
        <v>4</v>
      </c>
      <c r="C35" s="24">
        <v>-1036.93</v>
      </c>
    </row>
    <row r="36" spans="1:4" hidden="1" x14ac:dyDescent="0.3">
      <c r="A36" s="26">
        <v>45910</v>
      </c>
      <c r="B36" s="27" t="s">
        <v>4</v>
      </c>
      <c r="C36" s="24">
        <v>-1790.58</v>
      </c>
    </row>
    <row r="37" spans="1:4" hidden="1" x14ac:dyDescent="0.3">
      <c r="A37" s="26">
        <v>45910</v>
      </c>
      <c r="B37" s="27" t="s">
        <v>4</v>
      </c>
      <c r="C37" s="24">
        <v>-1368.74</v>
      </c>
    </row>
    <row r="38" spans="1:4" hidden="1" x14ac:dyDescent="0.3">
      <c r="A38" s="26">
        <v>45911</v>
      </c>
      <c r="B38" s="27" t="s">
        <v>1</v>
      </c>
      <c r="C38" s="24">
        <v>5218.2</v>
      </c>
      <c r="D38" s="25">
        <f>129-123</f>
        <v>6</v>
      </c>
    </row>
    <row r="39" spans="1:4" hidden="1" x14ac:dyDescent="0.3">
      <c r="A39" s="26">
        <v>45911</v>
      </c>
      <c r="B39" s="72" t="s">
        <v>21</v>
      </c>
      <c r="C39" s="24">
        <v>357.33</v>
      </c>
    </row>
    <row r="40" spans="1:4" hidden="1" x14ac:dyDescent="0.3">
      <c r="A40" s="26">
        <v>45911</v>
      </c>
      <c r="B40" s="73" t="s">
        <v>21</v>
      </c>
      <c r="C40" s="24">
        <v>230.34</v>
      </c>
    </row>
    <row r="41" spans="1:4" hidden="1" x14ac:dyDescent="0.3">
      <c r="A41" s="26">
        <v>45911</v>
      </c>
      <c r="B41" s="74" t="s">
        <v>21</v>
      </c>
      <c r="C41" s="24">
        <v>25.9</v>
      </c>
    </row>
    <row r="42" spans="1:4" hidden="1" x14ac:dyDescent="0.3">
      <c r="A42" s="26">
        <v>45924</v>
      </c>
      <c r="B42" s="27" t="s">
        <v>4</v>
      </c>
      <c r="C42" s="24">
        <v>-505.95</v>
      </c>
    </row>
    <row r="43" spans="1:4" hidden="1" x14ac:dyDescent="0.3">
      <c r="A43" s="26">
        <v>45924</v>
      </c>
      <c r="B43" s="27" t="s">
        <v>4</v>
      </c>
      <c r="C43" s="24">
        <v>-576.54999999999995</v>
      </c>
    </row>
    <row r="44" spans="1:4" hidden="1" x14ac:dyDescent="0.3">
      <c r="A44" s="26">
        <v>45924</v>
      </c>
      <c r="B44" s="27" t="s">
        <v>4</v>
      </c>
      <c r="C44" s="24">
        <v>-679.51</v>
      </c>
    </row>
    <row r="45" spans="1:4" hidden="1" x14ac:dyDescent="0.3">
      <c r="A45" s="26">
        <v>45924</v>
      </c>
      <c r="B45" s="27" t="s">
        <v>4</v>
      </c>
      <c r="C45" s="24">
        <v>-400.06</v>
      </c>
    </row>
    <row r="46" spans="1:4" hidden="1" x14ac:dyDescent="0.3">
      <c r="A46" s="26">
        <v>45924</v>
      </c>
      <c r="B46" s="27" t="s">
        <v>4</v>
      </c>
      <c r="C46" s="24">
        <v>-3633.03</v>
      </c>
    </row>
    <row r="47" spans="1:4" hidden="1" x14ac:dyDescent="0.3">
      <c r="A47" s="26">
        <v>45925</v>
      </c>
      <c r="B47" s="27" t="s">
        <v>1</v>
      </c>
      <c r="C47" s="24">
        <v>3806.5</v>
      </c>
    </row>
    <row r="48" spans="1:4" hidden="1" x14ac:dyDescent="0.3">
      <c r="A48" s="26">
        <v>45925</v>
      </c>
      <c r="B48" s="72" t="s">
        <v>21</v>
      </c>
      <c r="C48" s="24">
        <v>85.05</v>
      </c>
    </row>
    <row r="49" spans="1:3" hidden="1" x14ac:dyDescent="0.3">
      <c r="A49" s="26">
        <v>45925</v>
      </c>
      <c r="B49" s="73" t="s">
        <v>21</v>
      </c>
      <c r="C49" s="24">
        <v>149.22999999999999</v>
      </c>
    </row>
    <row r="50" spans="1:3" hidden="1" x14ac:dyDescent="0.3">
      <c r="A50" s="26">
        <v>45925</v>
      </c>
      <c r="B50" s="74" t="s">
        <v>21</v>
      </c>
      <c r="C50" s="24">
        <v>15.24</v>
      </c>
    </row>
    <row r="51" spans="1:3" hidden="1" x14ac:dyDescent="0.3">
      <c r="A51" s="26">
        <v>45926</v>
      </c>
      <c r="B51" s="27" t="s">
        <v>1</v>
      </c>
      <c r="C51" s="24">
        <v>644.79999999999995</v>
      </c>
    </row>
    <row r="52" spans="1:3" hidden="1" x14ac:dyDescent="0.3">
      <c r="A52" s="26">
        <v>45936</v>
      </c>
      <c r="B52" s="27" t="s">
        <v>4</v>
      </c>
      <c r="C52" s="24">
        <v>-266.97000000000003</v>
      </c>
    </row>
    <row r="53" spans="1:3" hidden="1" x14ac:dyDescent="0.3">
      <c r="A53" s="26">
        <v>45940</v>
      </c>
      <c r="B53" s="27" t="s">
        <v>4</v>
      </c>
      <c r="C53" s="24">
        <v>-776</v>
      </c>
    </row>
    <row r="54" spans="1:3" hidden="1" x14ac:dyDescent="0.3">
      <c r="A54" s="26">
        <v>45940</v>
      </c>
      <c r="B54" s="27" t="s">
        <v>4</v>
      </c>
      <c r="C54" s="24">
        <v>-672.53</v>
      </c>
    </row>
    <row r="55" spans="1:3" hidden="1" x14ac:dyDescent="0.3">
      <c r="A55" s="26">
        <v>45940</v>
      </c>
      <c r="B55" s="27" t="s">
        <v>4</v>
      </c>
      <c r="C55" s="24">
        <v>-1034.6600000000001</v>
      </c>
    </row>
    <row r="56" spans="1:3" hidden="1" x14ac:dyDescent="0.3">
      <c r="A56" s="26">
        <v>45940</v>
      </c>
      <c r="B56" s="27" t="s">
        <v>4</v>
      </c>
      <c r="C56" s="24">
        <v>-776</v>
      </c>
    </row>
    <row r="57" spans="1:3" hidden="1" x14ac:dyDescent="0.3">
      <c r="A57" s="26">
        <v>45940</v>
      </c>
      <c r="B57" s="27" t="s">
        <v>4</v>
      </c>
      <c r="C57" s="24">
        <v>-951.89</v>
      </c>
    </row>
    <row r="58" spans="1:3" hidden="1" x14ac:dyDescent="0.3">
      <c r="A58" s="26">
        <v>45940</v>
      </c>
      <c r="B58" s="27" t="s">
        <v>4</v>
      </c>
      <c r="C58" s="24">
        <v>-223.59</v>
      </c>
    </row>
    <row r="59" spans="1:3" hidden="1" x14ac:dyDescent="0.3">
      <c r="A59" s="26">
        <v>45940</v>
      </c>
      <c r="B59" s="27" t="s">
        <v>1</v>
      </c>
      <c r="C59" s="24">
        <v>4005.56</v>
      </c>
    </row>
    <row r="60" spans="1:3" hidden="1" x14ac:dyDescent="0.3">
      <c r="A60" s="26">
        <v>45940</v>
      </c>
      <c r="B60" s="72" t="s">
        <v>21</v>
      </c>
      <c r="C60" s="24">
        <v>63.52</v>
      </c>
    </row>
    <row r="61" spans="1:3" hidden="1" x14ac:dyDescent="0.3">
      <c r="A61" s="26">
        <v>45954</v>
      </c>
      <c r="B61" s="27" t="s">
        <v>4</v>
      </c>
      <c r="C61" s="24">
        <v>-946.74</v>
      </c>
    </row>
    <row r="62" spans="1:3" hidden="1" x14ac:dyDescent="0.3">
      <c r="A62" s="26">
        <v>45954</v>
      </c>
      <c r="B62" s="27" t="s">
        <v>4</v>
      </c>
      <c r="C62" s="24">
        <v>-382.43</v>
      </c>
    </row>
    <row r="63" spans="1:3" hidden="1" x14ac:dyDescent="0.3">
      <c r="A63" s="26">
        <v>45954</v>
      </c>
      <c r="B63" s="27" t="s">
        <v>4</v>
      </c>
      <c r="C63" s="24">
        <v>-932.75</v>
      </c>
    </row>
    <row r="64" spans="1:3" hidden="1" x14ac:dyDescent="0.3">
      <c r="A64" s="26">
        <v>45954</v>
      </c>
      <c r="B64" s="27" t="s">
        <v>4</v>
      </c>
      <c r="C64" s="24">
        <v>-699.56</v>
      </c>
    </row>
    <row r="65" spans="1:4" hidden="1" x14ac:dyDescent="0.3">
      <c r="A65" s="26">
        <v>45954</v>
      </c>
      <c r="B65" s="27" t="s">
        <v>4</v>
      </c>
      <c r="C65" s="24">
        <v>-466.38</v>
      </c>
    </row>
    <row r="66" spans="1:4" hidden="1" x14ac:dyDescent="0.3">
      <c r="A66" s="26">
        <v>45954</v>
      </c>
      <c r="B66" s="27" t="s">
        <v>4</v>
      </c>
      <c r="C66" s="24">
        <v>-407.94</v>
      </c>
    </row>
    <row r="67" spans="1:4" hidden="1" x14ac:dyDescent="0.3">
      <c r="A67" s="26">
        <v>45954</v>
      </c>
      <c r="B67" s="27" t="s">
        <v>4</v>
      </c>
      <c r="C67" s="24">
        <v>-93.28</v>
      </c>
    </row>
    <row r="68" spans="1:4" hidden="1" x14ac:dyDescent="0.3">
      <c r="A68" s="26">
        <v>45954</v>
      </c>
      <c r="B68" s="27" t="s">
        <v>1</v>
      </c>
      <c r="C68" s="24">
        <v>4685.78</v>
      </c>
      <c r="D68" s="25">
        <f>125-129</f>
        <v>-4</v>
      </c>
    </row>
    <row r="69" spans="1:4" hidden="1" x14ac:dyDescent="0.3">
      <c r="A69" s="26">
        <v>45954</v>
      </c>
      <c r="B69" s="72" t="s">
        <v>21</v>
      </c>
      <c r="C69" s="24">
        <v>154.28</v>
      </c>
    </row>
    <row r="70" spans="1:4" hidden="1" x14ac:dyDescent="0.3">
      <c r="A70" s="26">
        <v>45957</v>
      </c>
      <c r="B70" s="27" t="s">
        <v>4</v>
      </c>
      <c r="C70" s="24">
        <v>-135.02000000000001</v>
      </c>
    </row>
    <row r="71" spans="1:4" hidden="1" x14ac:dyDescent="0.3">
      <c r="A71" s="26">
        <v>45975</v>
      </c>
      <c r="B71" s="27" t="s">
        <v>4</v>
      </c>
      <c r="C71" s="24">
        <v>-1026.0899999999999</v>
      </c>
    </row>
    <row r="72" spans="1:4" hidden="1" x14ac:dyDescent="0.3">
      <c r="A72" s="26">
        <v>45975</v>
      </c>
      <c r="B72" s="27" t="s">
        <v>4</v>
      </c>
      <c r="C72" s="24">
        <v>-1238.1199999999999</v>
      </c>
    </row>
    <row r="73" spans="1:4" hidden="1" x14ac:dyDescent="0.3">
      <c r="A73" s="26">
        <v>45975</v>
      </c>
      <c r="B73" s="27" t="s">
        <v>4</v>
      </c>
      <c r="C73" s="24">
        <v>-1545.53</v>
      </c>
    </row>
    <row r="74" spans="1:4" hidden="1" x14ac:dyDescent="0.3">
      <c r="A74" s="26">
        <v>45975</v>
      </c>
      <c r="B74" s="27" t="s">
        <v>4</v>
      </c>
      <c r="C74" s="24">
        <v>-1035.46</v>
      </c>
    </row>
    <row r="75" spans="1:4" x14ac:dyDescent="0.3">
      <c r="A75" s="26">
        <v>45975</v>
      </c>
      <c r="B75" s="27" t="s">
        <v>1</v>
      </c>
      <c r="C75" s="24">
        <v>3483.05</v>
      </c>
    </row>
    <row r="76" spans="1:4" x14ac:dyDescent="0.3">
      <c r="A76" s="26">
        <v>45975</v>
      </c>
      <c r="B76" s="27" t="s">
        <v>1</v>
      </c>
      <c r="C76" s="24">
        <v>155.96</v>
      </c>
    </row>
    <row r="77" spans="1:4" x14ac:dyDescent="0.3">
      <c r="A77" s="26">
        <v>46009</v>
      </c>
      <c r="B77" s="27" t="s">
        <v>4</v>
      </c>
      <c r="C77" s="24">
        <v>-3455.39</v>
      </c>
    </row>
    <row r="78" spans="1:4" x14ac:dyDescent="0.3">
      <c r="A78" s="26">
        <v>46009</v>
      </c>
      <c r="B78" s="27" t="s">
        <v>1</v>
      </c>
      <c r="C78" s="24">
        <v>7296.63</v>
      </c>
      <c r="D78" s="25">
        <f>113-125</f>
        <v>-12</v>
      </c>
    </row>
    <row r="79" spans="1:4" x14ac:dyDescent="0.3">
      <c r="A79" s="26">
        <v>46009</v>
      </c>
      <c r="B79" s="27" t="s">
        <v>1</v>
      </c>
      <c r="C79" s="24">
        <v>224.15</v>
      </c>
    </row>
    <row r="80" spans="1:4" x14ac:dyDescent="0.3">
      <c r="A80" s="26">
        <v>46010</v>
      </c>
      <c r="B80" s="27" t="s">
        <v>1</v>
      </c>
      <c r="C80" s="24">
        <v>460</v>
      </c>
    </row>
    <row r="81" spans="1:9" x14ac:dyDescent="0.3">
      <c r="A81" s="26">
        <v>46020</v>
      </c>
      <c r="B81" s="27" t="s">
        <v>4</v>
      </c>
      <c r="C81" s="24">
        <v>-678.04</v>
      </c>
    </row>
    <row r="82" spans="1:9" x14ac:dyDescent="0.3">
      <c r="A82" s="26">
        <v>46020</v>
      </c>
      <c r="B82" s="27" t="s">
        <v>4</v>
      </c>
      <c r="C82" s="24">
        <v>-813.64</v>
      </c>
    </row>
    <row r="83" spans="1:9" x14ac:dyDescent="0.3">
      <c r="A83" s="26">
        <v>46020</v>
      </c>
      <c r="B83" s="27" t="s">
        <v>4</v>
      </c>
      <c r="C83" s="24">
        <v>-339.02</v>
      </c>
    </row>
    <row r="84" spans="1:9" x14ac:dyDescent="0.3">
      <c r="A84" s="26">
        <v>46021</v>
      </c>
      <c r="B84" s="27" t="s">
        <v>4</v>
      </c>
      <c r="C84" s="24">
        <v>-1006.23</v>
      </c>
    </row>
    <row r="85" spans="1:9" x14ac:dyDescent="0.3">
      <c r="A85" s="26">
        <v>46021</v>
      </c>
      <c r="B85" s="27" t="s">
        <v>4</v>
      </c>
      <c r="C85" s="24">
        <v>-670.82</v>
      </c>
    </row>
    <row r="86" spans="1:9" x14ac:dyDescent="0.3">
      <c r="A86" s="26">
        <v>46021</v>
      </c>
      <c r="B86" s="27" t="s">
        <v>4</v>
      </c>
      <c r="C86" s="24">
        <v>-1173.93</v>
      </c>
    </row>
    <row r="87" spans="1:9" x14ac:dyDescent="0.3">
      <c r="A87" s="26">
        <v>46021</v>
      </c>
      <c r="B87" s="27" t="s">
        <v>4</v>
      </c>
      <c r="C87" s="24">
        <v>-503.11</v>
      </c>
    </row>
    <row r="88" spans="1:9" x14ac:dyDescent="0.3">
      <c r="A88" s="26">
        <v>46021</v>
      </c>
      <c r="B88" s="27" t="s">
        <v>1</v>
      </c>
      <c r="C88" s="24">
        <v>190.64</v>
      </c>
      <c r="I88" s="18" t="s">
        <v>121</v>
      </c>
    </row>
    <row r="89" spans="1:9" x14ac:dyDescent="0.3">
      <c r="A89" s="26">
        <v>46021</v>
      </c>
      <c r="B89" s="27" t="s">
        <v>1</v>
      </c>
      <c r="C89" s="24">
        <v>4024.29</v>
      </c>
      <c r="D89" s="25">
        <v>-24</v>
      </c>
    </row>
    <row r="90" spans="1:9" x14ac:dyDescent="0.3">
      <c r="A90" s="26">
        <v>46029</v>
      </c>
      <c r="B90" s="27" t="s">
        <v>4</v>
      </c>
      <c r="C90" s="24">
        <v>-335.41</v>
      </c>
    </row>
    <row r="91" spans="1:9" x14ac:dyDescent="0.3">
      <c r="A91" s="26">
        <v>46029</v>
      </c>
      <c r="B91" s="27" t="s">
        <v>4</v>
      </c>
      <c r="C91" s="24">
        <v>-335.41</v>
      </c>
    </row>
    <row r="92" spans="1:9" x14ac:dyDescent="0.3">
      <c r="A92" s="26">
        <v>46030</v>
      </c>
      <c r="B92" s="27" t="s">
        <v>4</v>
      </c>
      <c r="C92" s="24">
        <v>-1441.02</v>
      </c>
    </row>
    <row r="93" spans="1:9" x14ac:dyDescent="0.3">
      <c r="A93" s="26">
        <v>46030</v>
      </c>
      <c r="B93" s="27" t="s">
        <v>4</v>
      </c>
      <c r="C93" s="24">
        <v>-2885.71</v>
      </c>
    </row>
    <row r="94" spans="1:9" x14ac:dyDescent="0.3">
      <c r="A94" s="26">
        <v>46030</v>
      </c>
      <c r="B94" s="27" t="s">
        <v>4</v>
      </c>
      <c r="C94" s="24">
        <v>-840.06</v>
      </c>
    </row>
    <row r="95" spans="1:9" x14ac:dyDescent="0.3">
      <c r="A95" s="26">
        <v>46031</v>
      </c>
      <c r="B95" s="27" t="s">
        <v>1</v>
      </c>
      <c r="C95" s="24">
        <v>135</v>
      </c>
    </row>
    <row r="96" spans="1:9" x14ac:dyDescent="0.3">
      <c r="A96" s="26">
        <v>46031</v>
      </c>
      <c r="B96" s="27" t="s">
        <v>503</v>
      </c>
      <c r="C96" s="24">
        <v>-10.8</v>
      </c>
    </row>
    <row r="97" spans="1:3" x14ac:dyDescent="0.3">
      <c r="A97" s="26">
        <v>46047</v>
      </c>
      <c r="B97" s="27" t="s">
        <v>1</v>
      </c>
      <c r="C97" s="24">
        <v>932.02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0196-8575-4E63-9B0E-9FF2BFFB3A47}">
  <sheetPr codeName="Hoja124"/>
  <dimension ref="A1:I59"/>
  <sheetViews>
    <sheetView view="pageBreakPreview" topLeftCell="A28" zoomScale="80" zoomScaleNormal="100" zoomScaleSheetLayoutView="80" workbookViewId="0">
      <selection activeCell="C60" sqref="C6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61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140.48000000000002</v>
      </c>
      <c r="D3" s="20">
        <f>SUM(D$4:D$1048576)</f>
        <v>0</v>
      </c>
      <c r="E3" s="20">
        <f>SUM(E$5:E$1048576)</f>
        <v>0</v>
      </c>
      <c r="F3" s="20">
        <f>SUM(F$5:F$1048576)</f>
        <v>-1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45813</v>
      </c>
      <c r="B5" s="34" t="s">
        <v>21</v>
      </c>
      <c r="C5" s="24">
        <v>33.81</v>
      </c>
      <c r="D5" s="30"/>
      <c r="E5" s="30"/>
      <c r="F5" s="30"/>
      <c r="G5" s="22"/>
    </row>
    <row r="6" spans="1:9" x14ac:dyDescent="0.3">
      <c r="A6" s="21">
        <v>45819</v>
      </c>
      <c r="B6" s="27" t="s">
        <v>4</v>
      </c>
      <c r="C6" s="24">
        <v>-17.05</v>
      </c>
    </row>
    <row r="7" spans="1:9" x14ac:dyDescent="0.3">
      <c r="A7" s="21">
        <v>45819</v>
      </c>
      <c r="B7" s="34" t="s">
        <v>21</v>
      </c>
      <c r="C7" s="24">
        <v>17.16</v>
      </c>
    </row>
    <row r="8" spans="1:9" x14ac:dyDescent="0.3">
      <c r="A8" s="26">
        <v>45820</v>
      </c>
      <c r="B8" s="27" t="s">
        <v>4</v>
      </c>
      <c r="C8" s="24">
        <v>-16.7</v>
      </c>
    </row>
    <row r="9" spans="1:9" x14ac:dyDescent="0.3">
      <c r="A9" s="26">
        <v>45825</v>
      </c>
      <c r="B9" s="27" t="s">
        <v>4</v>
      </c>
      <c r="C9" s="24">
        <v>-17.23</v>
      </c>
      <c r="I9" s="25"/>
    </row>
    <row r="10" spans="1:9" x14ac:dyDescent="0.3">
      <c r="A10" s="26">
        <v>45825</v>
      </c>
      <c r="B10" s="34" t="s">
        <v>21</v>
      </c>
      <c r="C10" s="24">
        <v>15.85</v>
      </c>
    </row>
    <row r="11" spans="1:9" x14ac:dyDescent="0.3">
      <c r="A11" s="26">
        <v>45825</v>
      </c>
      <c r="B11" s="34" t="s">
        <v>21</v>
      </c>
      <c r="C11" s="24">
        <v>77.5</v>
      </c>
    </row>
    <row r="12" spans="1:9" x14ac:dyDescent="0.3">
      <c r="A12" s="26">
        <v>45825</v>
      </c>
      <c r="B12" s="46" t="s">
        <v>21</v>
      </c>
      <c r="C12" s="24">
        <v>27.49</v>
      </c>
    </row>
    <row r="13" spans="1:9" x14ac:dyDescent="0.3">
      <c r="A13" s="26">
        <v>45834</v>
      </c>
      <c r="B13" s="27" t="s">
        <v>4</v>
      </c>
      <c r="C13" s="24">
        <v>-94.19</v>
      </c>
    </row>
    <row r="14" spans="1:9" x14ac:dyDescent="0.3">
      <c r="A14" s="26">
        <v>45839</v>
      </c>
      <c r="B14" s="27" t="s">
        <v>4</v>
      </c>
      <c r="C14" s="24">
        <v>-26.83</v>
      </c>
    </row>
    <row r="15" spans="1:9" x14ac:dyDescent="0.3">
      <c r="A15" s="26">
        <v>45839</v>
      </c>
      <c r="B15" s="32" t="s">
        <v>21</v>
      </c>
      <c r="C15" s="24">
        <v>9.84</v>
      </c>
    </row>
    <row r="16" spans="1:9" x14ac:dyDescent="0.3">
      <c r="A16" s="26">
        <v>45839</v>
      </c>
      <c r="B16" s="34" t="s">
        <v>21</v>
      </c>
      <c r="C16" s="24">
        <v>50.75</v>
      </c>
    </row>
    <row r="17" spans="1:3" x14ac:dyDescent="0.3">
      <c r="A17" s="26">
        <v>45839</v>
      </c>
      <c r="B17" s="46" t="s">
        <v>21</v>
      </c>
      <c r="C17" s="24">
        <v>5.09</v>
      </c>
    </row>
    <row r="18" spans="1:3" x14ac:dyDescent="0.3">
      <c r="A18" s="26">
        <v>45846</v>
      </c>
      <c r="B18" s="27" t="s">
        <v>4</v>
      </c>
      <c r="C18" s="24">
        <v>-57.61</v>
      </c>
    </row>
    <row r="19" spans="1:3" x14ac:dyDescent="0.3">
      <c r="A19" s="26">
        <v>45846</v>
      </c>
      <c r="B19" s="32" t="s">
        <v>21</v>
      </c>
      <c r="C19" s="24">
        <v>15.85</v>
      </c>
    </row>
    <row r="20" spans="1:3" x14ac:dyDescent="0.3">
      <c r="A20" s="26">
        <v>45846</v>
      </c>
      <c r="B20" s="34" t="s">
        <v>21</v>
      </c>
      <c r="C20" s="24">
        <v>40.07</v>
      </c>
    </row>
    <row r="21" spans="1:3" x14ac:dyDescent="0.3">
      <c r="A21" s="26">
        <v>45846</v>
      </c>
      <c r="B21" s="46" t="s">
        <v>21</v>
      </c>
      <c r="C21" s="24">
        <v>17.79</v>
      </c>
    </row>
    <row r="22" spans="1:3" x14ac:dyDescent="0.3">
      <c r="A22" s="26">
        <v>45848</v>
      </c>
      <c r="B22" s="27" t="s">
        <v>7</v>
      </c>
      <c r="C22" s="24">
        <v>-8.07</v>
      </c>
    </row>
    <row r="23" spans="1:3" x14ac:dyDescent="0.3">
      <c r="A23" s="26">
        <v>45853</v>
      </c>
      <c r="B23" s="32" t="s">
        <v>21</v>
      </c>
      <c r="C23" s="24">
        <v>9.84</v>
      </c>
    </row>
    <row r="24" spans="1:3" x14ac:dyDescent="0.3">
      <c r="A24" s="26">
        <v>45853</v>
      </c>
      <c r="B24" s="34" t="s">
        <v>21</v>
      </c>
      <c r="C24" s="24">
        <v>47.9</v>
      </c>
    </row>
    <row r="25" spans="1:3" x14ac:dyDescent="0.3">
      <c r="A25" s="26">
        <v>45859</v>
      </c>
      <c r="B25" s="27" t="s">
        <v>4</v>
      </c>
      <c r="C25" s="24">
        <v>-50.36</v>
      </c>
    </row>
    <row r="26" spans="1:3" x14ac:dyDescent="0.3">
      <c r="A26" s="26">
        <v>45867</v>
      </c>
      <c r="B26" s="27" t="s">
        <v>4</v>
      </c>
      <c r="C26" s="24">
        <v>-81.09</v>
      </c>
    </row>
    <row r="27" spans="1:3" x14ac:dyDescent="0.3">
      <c r="A27" s="26">
        <v>45867</v>
      </c>
      <c r="B27" s="32" t="s">
        <v>21</v>
      </c>
      <c r="C27" s="24">
        <v>17.34</v>
      </c>
    </row>
    <row r="28" spans="1:3" x14ac:dyDescent="0.3">
      <c r="A28" s="26">
        <v>45867</v>
      </c>
      <c r="B28" s="34" t="s">
        <v>21</v>
      </c>
      <c r="C28" s="24">
        <v>71.25</v>
      </c>
    </row>
    <row r="29" spans="1:3" x14ac:dyDescent="0.3">
      <c r="A29" s="26">
        <v>45867</v>
      </c>
      <c r="B29" s="46" t="s">
        <v>21</v>
      </c>
      <c r="C29" s="24">
        <v>19.809999999999999</v>
      </c>
    </row>
    <row r="30" spans="1:3" x14ac:dyDescent="0.3">
      <c r="A30" s="26">
        <v>45880</v>
      </c>
      <c r="B30" s="27" t="s">
        <v>4</v>
      </c>
      <c r="C30" s="24">
        <v>-61.01</v>
      </c>
    </row>
    <row r="31" spans="1:3" x14ac:dyDescent="0.3">
      <c r="A31" s="26">
        <v>45881</v>
      </c>
      <c r="B31" s="27" t="s">
        <v>4</v>
      </c>
      <c r="C31" s="24">
        <v>-47.39</v>
      </c>
    </row>
    <row r="32" spans="1:3" x14ac:dyDescent="0.3">
      <c r="A32" s="26">
        <v>45881</v>
      </c>
      <c r="B32" s="32" t="s">
        <v>21</v>
      </c>
      <c r="C32" s="24">
        <v>25.69</v>
      </c>
    </row>
    <row r="33" spans="1:3" x14ac:dyDescent="0.3">
      <c r="A33" s="26">
        <v>45881</v>
      </c>
      <c r="B33" s="34" t="s">
        <v>21</v>
      </c>
      <c r="C33" s="24">
        <v>68.22</v>
      </c>
    </row>
    <row r="34" spans="1:3" x14ac:dyDescent="0.3">
      <c r="A34" s="26">
        <v>45888</v>
      </c>
      <c r="B34" s="27" t="s">
        <v>4</v>
      </c>
      <c r="C34" s="24">
        <v>-93.91</v>
      </c>
    </row>
    <row r="35" spans="1:3" x14ac:dyDescent="0.3">
      <c r="A35" s="26">
        <v>45888</v>
      </c>
      <c r="B35" s="32" t="s">
        <v>21</v>
      </c>
      <c r="C35" s="24">
        <v>40.03</v>
      </c>
    </row>
    <row r="36" spans="1:3" x14ac:dyDescent="0.3">
      <c r="A36" s="26">
        <v>45888</v>
      </c>
      <c r="B36" s="34" t="s">
        <v>21</v>
      </c>
      <c r="C36" s="24">
        <v>32.61</v>
      </c>
    </row>
    <row r="37" spans="1:3" x14ac:dyDescent="0.3">
      <c r="A37" s="26">
        <v>45888</v>
      </c>
      <c r="B37" s="46" t="s">
        <v>21</v>
      </c>
      <c r="C37" s="24">
        <v>15.76</v>
      </c>
    </row>
    <row r="38" spans="1:3" x14ac:dyDescent="0.3">
      <c r="A38" s="26">
        <v>45895</v>
      </c>
      <c r="B38" s="27" t="s">
        <v>4</v>
      </c>
      <c r="C38" s="24">
        <v>-88.4</v>
      </c>
    </row>
    <row r="39" spans="1:3" x14ac:dyDescent="0.3">
      <c r="A39" s="26">
        <v>45895</v>
      </c>
      <c r="B39" s="34" t="s">
        <v>21</v>
      </c>
      <c r="C39" s="24">
        <v>52.12</v>
      </c>
    </row>
    <row r="40" spans="1:3" x14ac:dyDescent="0.3">
      <c r="A40" s="26">
        <v>45909</v>
      </c>
      <c r="B40" s="27" t="s">
        <v>4</v>
      </c>
      <c r="C40" s="24">
        <v>-52.12</v>
      </c>
    </row>
    <row r="41" spans="1:3" x14ac:dyDescent="0.3">
      <c r="A41" s="26">
        <v>45909</v>
      </c>
      <c r="B41" s="34" t="s">
        <v>21</v>
      </c>
      <c r="C41" s="24">
        <v>77.63</v>
      </c>
    </row>
    <row r="42" spans="1:3" x14ac:dyDescent="0.3">
      <c r="A42" s="26">
        <v>45909</v>
      </c>
      <c r="B42" s="46" t="s">
        <v>21</v>
      </c>
      <c r="C42" s="24">
        <v>6.92</v>
      </c>
    </row>
    <row r="43" spans="1:3" x14ac:dyDescent="0.3">
      <c r="A43" s="26">
        <v>45923</v>
      </c>
      <c r="B43" s="27" t="s">
        <v>4</v>
      </c>
      <c r="C43" s="24">
        <v>-71.25</v>
      </c>
    </row>
    <row r="44" spans="1:3" x14ac:dyDescent="0.3">
      <c r="A44" s="26">
        <v>45923</v>
      </c>
      <c r="B44" s="27" t="s">
        <v>7</v>
      </c>
      <c r="C44" s="24">
        <v>-13.08</v>
      </c>
    </row>
    <row r="45" spans="1:3" x14ac:dyDescent="0.3">
      <c r="A45" s="26">
        <v>45923</v>
      </c>
      <c r="B45" s="32" t="s">
        <v>21</v>
      </c>
      <c r="C45" s="24">
        <v>9.84</v>
      </c>
    </row>
    <row r="46" spans="1:3" x14ac:dyDescent="0.3">
      <c r="A46" s="26">
        <v>45923</v>
      </c>
      <c r="B46" s="34" t="s">
        <v>21</v>
      </c>
      <c r="C46" s="24">
        <v>82.55</v>
      </c>
    </row>
    <row r="47" spans="1:3" x14ac:dyDescent="0.3">
      <c r="A47" s="26">
        <v>45923</v>
      </c>
      <c r="B47" s="46" t="s">
        <v>21</v>
      </c>
      <c r="C47" s="24">
        <v>27.36</v>
      </c>
    </row>
    <row r="48" spans="1:3" x14ac:dyDescent="0.3">
      <c r="A48" s="26">
        <v>45936</v>
      </c>
      <c r="B48" s="27" t="s">
        <v>4</v>
      </c>
      <c r="C48" s="24">
        <v>-46.22</v>
      </c>
    </row>
    <row r="49" spans="1:6" x14ac:dyDescent="0.3">
      <c r="A49" s="26">
        <v>45938</v>
      </c>
      <c r="B49" s="27" t="s">
        <v>4</v>
      </c>
      <c r="C49" s="24">
        <v>-73.56</v>
      </c>
    </row>
    <row r="50" spans="1:6" x14ac:dyDescent="0.3">
      <c r="A50" s="26">
        <v>45938</v>
      </c>
      <c r="B50" s="32" t="s">
        <v>21</v>
      </c>
      <c r="C50" s="24">
        <v>16.38</v>
      </c>
      <c r="F50" s="25">
        <v>-1</v>
      </c>
    </row>
    <row r="51" spans="1:6" x14ac:dyDescent="0.3">
      <c r="A51" s="26">
        <v>45938</v>
      </c>
      <c r="B51" s="34" t="s">
        <v>21</v>
      </c>
      <c r="C51" s="24">
        <v>41.28</v>
      </c>
    </row>
    <row r="52" spans="1:6" x14ac:dyDescent="0.3">
      <c r="A52" s="26">
        <v>45938</v>
      </c>
      <c r="B52" s="46" t="s">
        <v>21</v>
      </c>
      <c r="C52" s="24">
        <v>8.2200000000000006</v>
      </c>
    </row>
    <row r="53" spans="1:6" x14ac:dyDescent="0.3">
      <c r="A53" s="26">
        <v>45959</v>
      </c>
      <c r="B53" s="27" t="s">
        <v>4</v>
      </c>
      <c r="C53" s="24">
        <v>-65.88</v>
      </c>
    </row>
    <row r="54" spans="1:6" x14ac:dyDescent="0.3">
      <c r="A54" s="26">
        <v>45965</v>
      </c>
      <c r="B54" s="32" t="s">
        <v>21</v>
      </c>
      <c r="C54" s="24">
        <v>26.22</v>
      </c>
    </row>
    <row r="55" spans="1:6" x14ac:dyDescent="0.3">
      <c r="A55" s="26">
        <v>45965</v>
      </c>
      <c r="B55" s="34" t="s">
        <v>21</v>
      </c>
      <c r="C55" s="24">
        <v>44.54</v>
      </c>
    </row>
    <row r="56" spans="1:6" x14ac:dyDescent="0.3">
      <c r="A56" s="26">
        <v>45965</v>
      </c>
      <c r="B56" s="46" t="s">
        <v>21</v>
      </c>
      <c r="C56" s="24">
        <v>6.24</v>
      </c>
    </row>
    <row r="57" spans="1:6" x14ac:dyDescent="0.3">
      <c r="A57" s="26">
        <v>45989</v>
      </c>
      <c r="B57" s="27" t="s">
        <v>4</v>
      </c>
      <c r="C57" s="24">
        <v>-77</v>
      </c>
    </row>
    <row r="58" spans="1:6" x14ac:dyDescent="0.3">
      <c r="A58" s="26">
        <v>46035</v>
      </c>
      <c r="B58" s="27" t="s">
        <v>1</v>
      </c>
      <c r="C58" s="24">
        <v>166.36</v>
      </c>
    </row>
    <row r="59" spans="1:6" x14ac:dyDescent="0.3">
      <c r="A59" s="26">
        <v>46048</v>
      </c>
      <c r="B59" s="27" t="s">
        <v>4</v>
      </c>
      <c r="C59" s="24">
        <v>-25.88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3A0FF-6893-4C9A-8379-23BFC46476F0}">
  <dimension ref="A1:H86"/>
  <sheetViews>
    <sheetView view="pageBreakPreview" zoomScale="80" zoomScaleNormal="100" zoomScaleSheetLayoutView="80" workbookViewId="0">
      <selection activeCell="C39" sqref="C3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338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339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0.30999999999999162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45846</v>
      </c>
      <c r="B5" s="32" t="s">
        <v>21</v>
      </c>
      <c r="C5" s="24">
        <v>15</v>
      </c>
      <c r="D5" s="30"/>
      <c r="E5" s="30"/>
      <c r="F5" s="30"/>
      <c r="G5" s="22"/>
    </row>
    <row r="6" spans="1:8" hidden="1" x14ac:dyDescent="0.3">
      <c r="A6" s="21">
        <v>45853</v>
      </c>
      <c r="B6" s="32" t="s">
        <v>21</v>
      </c>
      <c r="C6" s="24">
        <v>15.85</v>
      </c>
    </row>
    <row r="7" spans="1:8" hidden="1" x14ac:dyDescent="0.3">
      <c r="A7" s="21">
        <v>45854</v>
      </c>
      <c r="B7" s="27" t="s">
        <v>7</v>
      </c>
      <c r="C7" s="24">
        <v>-15</v>
      </c>
    </row>
    <row r="8" spans="1:8" hidden="1" x14ac:dyDescent="0.3">
      <c r="A8" s="26">
        <v>45867</v>
      </c>
      <c r="B8" s="27" t="s">
        <v>7</v>
      </c>
      <c r="C8" s="24">
        <v>-15.93</v>
      </c>
    </row>
    <row r="9" spans="1:8" hidden="1" x14ac:dyDescent="0.3">
      <c r="A9" s="26">
        <v>45874</v>
      </c>
      <c r="B9" s="32" t="s">
        <v>1</v>
      </c>
      <c r="C9" s="24">
        <v>30.85</v>
      </c>
    </row>
    <row r="10" spans="1:8" hidden="1" x14ac:dyDescent="0.3">
      <c r="A10" s="26">
        <v>45881</v>
      </c>
      <c r="B10" s="27" t="s">
        <v>7</v>
      </c>
      <c r="C10" s="24">
        <v>-30.87</v>
      </c>
    </row>
    <row r="11" spans="1:8" hidden="1" x14ac:dyDescent="0.3">
      <c r="A11" s="26">
        <v>45888</v>
      </c>
      <c r="B11" s="32" t="s">
        <v>1</v>
      </c>
      <c r="C11" s="24">
        <v>7.5</v>
      </c>
    </row>
    <row r="12" spans="1:8" hidden="1" x14ac:dyDescent="0.3">
      <c r="A12" s="26">
        <v>45902</v>
      </c>
      <c r="B12" s="27" t="s">
        <v>7</v>
      </c>
      <c r="C12" s="24">
        <v>-7.41</v>
      </c>
    </row>
    <row r="13" spans="1:8" hidden="1" x14ac:dyDescent="0.3">
      <c r="A13" s="26">
        <v>45902</v>
      </c>
      <c r="B13" s="32" t="s">
        <v>1</v>
      </c>
      <c r="C13" s="24">
        <v>30.85</v>
      </c>
    </row>
    <row r="14" spans="1:8" hidden="1" x14ac:dyDescent="0.3">
      <c r="A14" s="26">
        <v>45909</v>
      </c>
      <c r="B14" s="27" t="s">
        <v>7</v>
      </c>
      <c r="C14" s="24">
        <v>-16.12</v>
      </c>
    </row>
    <row r="15" spans="1:8" hidden="1" x14ac:dyDescent="0.3">
      <c r="A15" s="26">
        <v>45909</v>
      </c>
      <c r="B15" s="32" t="s">
        <v>1</v>
      </c>
      <c r="C15" s="24">
        <v>9.1999999999999993</v>
      </c>
    </row>
    <row r="16" spans="1:8" hidden="1" x14ac:dyDescent="0.3">
      <c r="A16" s="26">
        <v>45910</v>
      </c>
      <c r="B16" s="27" t="s">
        <v>4</v>
      </c>
      <c r="C16" s="24">
        <v>-15</v>
      </c>
    </row>
    <row r="17" spans="1:3" hidden="1" x14ac:dyDescent="0.3">
      <c r="A17" s="26">
        <v>45915</v>
      </c>
      <c r="B17" s="27" t="s">
        <v>4</v>
      </c>
      <c r="C17" s="24">
        <v>-9.2200000000000006</v>
      </c>
    </row>
    <row r="18" spans="1:3" hidden="1" x14ac:dyDescent="0.3">
      <c r="A18" s="26">
        <v>45916</v>
      </c>
      <c r="B18" s="32" t="s">
        <v>1</v>
      </c>
      <c r="C18" s="24">
        <v>37.549999999999997</v>
      </c>
    </row>
    <row r="19" spans="1:3" hidden="1" x14ac:dyDescent="0.3">
      <c r="A19" s="26">
        <v>45923</v>
      </c>
      <c r="B19" s="27" t="s">
        <v>7</v>
      </c>
      <c r="C19" s="24">
        <v>-37.25</v>
      </c>
    </row>
    <row r="20" spans="1:3" hidden="1" x14ac:dyDescent="0.3">
      <c r="A20" s="26">
        <v>45930</v>
      </c>
      <c r="B20" s="32" t="s">
        <v>1</v>
      </c>
      <c r="C20" s="24">
        <v>42.55</v>
      </c>
    </row>
    <row r="21" spans="1:3" hidden="1" x14ac:dyDescent="0.3">
      <c r="A21" s="26">
        <v>45944</v>
      </c>
      <c r="B21" s="27" t="s">
        <v>4</v>
      </c>
      <c r="C21" s="24">
        <v>-37</v>
      </c>
    </row>
    <row r="22" spans="1:3" hidden="1" x14ac:dyDescent="0.3">
      <c r="A22" s="26">
        <v>45944</v>
      </c>
      <c r="B22" s="27" t="s">
        <v>7</v>
      </c>
      <c r="C22" s="24">
        <v>-5.57</v>
      </c>
    </row>
    <row r="23" spans="1:3" hidden="1" x14ac:dyDescent="0.3">
      <c r="A23" s="26">
        <v>45944</v>
      </c>
      <c r="B23" s="32" t="s">
        <v>1</v>
      </c>
      <c r="C23" s="24">
        <v>38.94</v>
      </c>
    </row>
    <row r="24" spans="1:3" hidden="1" x14ac:dyDescent="0.3">
      <c r="A24" s="26">
        <v>45951</v>
      </c>
      <c r="B24" s="27" t="s">
        <v>7</v>
      </c>
      <c r="C24" s="24">
        <v>-18.920000000000002</v>
      </c>
    </row>
    <row r="25" spans="1:3" hidden="1" x14ac:dyDescent="0.3">
      <c r="A25" s="26">
        <v>45951</v>
      </c>
      <c r="B25" s="32" t="s">
        <v>1</v>
      </c>
      <c r="C25" s="24">
        <v>15</v>
      </c>
    </row>
    <row r="26" spans="1:3" hidden="1" x14ac:dyDescent="0.3">
      <c r="A26" s="26">
        <v>45957</v>
      </c>
      <c r="B26" s="27" t="s">
        <v>4</v>
      </c>
      <c r="C26" s="24">
        <v>-20</v>
      </c>
    </row>
    <row r="27" spans="1:3" hidden="1" x14ac:dyDescent="0.3">
      <c r="A27" s="26">
        <v>45958</v>
      </c>
      <c r="B27" s="27" t="s">
        <v>4</v>
      </c>
      <c r="C27" s="24">
        <v>-15</v>
      </c>
    </row>
    <row r="28" spans="1:3" hidden="1" x14ac:dyDescent="0.3">
      <c r="A28" s="26">
        <v>45965</v>
      </c>
      <c r="B28" s="32" t="s">
        <v>1</v>
      </c>
      <c r="C28" s="24">
        <v>14.6</v>
      </c>
    </row>
    <row r="29" spans="1:3" hidden="1" x14ac:dyDescent="0.3">
      <c r="A29" s="26">
        <v>45974</v>
      </c>
      <c r="B29" s="27" t="s">
        <v>1</v>
      </c>
      <c r="C29" s="24">
        <v>41.22</v>
      </c>
    </row>
    <row r="30" spans="1:3" hidden="1" x14ac:dyDescent="0.3">
      <c r="A30" s="26">
        <v>45978</v>
      </c>
      <c r="B30" s="27" t="s">
        <v>4</v>
      </c>
      <c r="C30" s="24">
        <v>-15</v>
      </c>
    </row>
    <row r="31" spans="1:3" hidden="1" x14ac:dyDescent="0.3">
      <c r="A31" s="26">
        <v>45979</v>
      </c>
      <c r="B31" s="27" t="s">
        <v>7</v>
      </c>
      <c r="C31" s="24">
        <v>-40.82</v>
      </c>
    </row>
    <row r="32" spans="1:3" x14ac:dyDescent="0.3">
      <c r="A32" s="26">
        <v>45986</v>
      </c>
      <c r="B32" s="27" t="s">
        <v>1</v>
      </c>
      <c r="C32" s="24">
        <v>36.22</v>
      </c>
    </row>
    <row r="33" spans="1:3" x14ac:dyDescent="0.3">
      <c r="A33" s="26">
        <v>45993</v>
      </c>
      <c r="B33" s="27" t="s">
        <v>7</v>
      </c>
      <c r="C33" s="24">
        <v>-37</v>
      </c>
    </row>
    <row r="34" spans="1:3" x14ac:dyDescent="0.3">
      <c r="A34" s="26">
        <v>45993</v>
      </c>
      <c r="B34" s="27" t="s">
        <v>1</v>
      </c>
      <c r="C34" s="24">
        <v>19.84</v>
      </c>
    </row>
    <row r="35" spans="1:3" x14ac:dyDescent="0.3">
      <c r="A35" s="26">
        <v>46000</v>
      </c>
      <c r="B35" s="27" t="s">
        <v>7</v>
      </c>
      <c r="C35" s="24">
        <v>-19.850000000000001</v>
      </c>
    </row>
    <row r="36" spans="1:3" x14ac:dyDescent="0.3">
      <c r="A36" s="26">
        <v>46000</v>
      </c>
      <c r="B36" s="27" t="s">
        <v>1</v>
      </c>
      <c r="C36" s="24">
        <v>22.1</v>
      </c>
    </row>
    <row r="37" spans="1:3" x14ac:dyDescent="0.3">
      <c r="A37" s="26">
        <v>46008</v>
      </c>
      <c r="B37" s="27" t="s">
        <v>4</v>
      </c>
      <c r="C37" s="24">
        <v>-21</v>
      </c>
    </row>
    <row r="38" spans="1:3" x14ac:dyDescent="0.3">
      <c r="A38" s="26">
        <v>46049</v>
      </c>
      <c r="B38" s="27" t="s">
        <v>1</v>
      </c>
      <c r="C38" s="24">
        <v>27.3</v>
      </c>
    </row>
    <row r="39" spans="1:3" x14ac:dyDescent="0.3">
      <c r="A39" s="26">
        <v>46056</v>
      </c>
      <c r="B39" s="27" t="s">
        <v>4</v>
      </c>
      <c r="C39" s="24">
        <v>-27.3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D3DC9-DB09-4952-87BE-BFBBB4AA1C76}">
  <sheetPr codeName="Hoja189"/>
  <dimension ref="A1:H82"/>
  <sheetViews>
    <sheetView view="pageBreakPreview" topLeftCell="A54" zoomScale="85" zoomScaleNormal="100" zoomScaleSheetLayoutView="85" workbookViewId="0">
      <selection activeCell="C83" sqref="C8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264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3.2300000000000466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45826</v>
      </c>
      <c r="B5" s="32" t="s">
        <v>21</v>
      </c>
      <c r="C5" s="24">
        <v>71.53</v>
      </c>
      <c r="D5" s="30"/>
      <c r="E5" s="30"/>
      <c r="F5" s="30"/>
      <c r="G5" s="22"/>
    </row>
    <row r="6" spans="1:8" hidden="1" x14ac:dyDescent="0.3">
      <c r="A6" s="21">
        <v>45826</v>
      </c>
      <c r="B6" s="34" t="s">
        <v>21</v>
      </c>
      <c r="C6" s="24">
        <v>46.98</v>
      </c>
    </row>
    <row r="7" spans="1:8" hidden="1" x14ac:dyDescent="0.3">
      <c r="A7" s="21">
        <v>45826</v>
      </c>
      <c r="B7" s="27" t="s">
        <v>1</v>
      </c>
      <c r="C7" s="24">
        <v>23.8</v>
      </c>
    </row>
    <row r="8" spans="1:8" hidden="1" x14ac:dyDescent="0.3">
      <c r="A8" s="26">
        <v>45828</v>
      </c>
      <c r="B8" s="27" t="s">
        <v>4</v>
      </c>
      <c r="C8" s="24">
        <v>-141.21</v>
      </c>
    </row>
    <row r="9" spans="1:8" hidden="1" x14ac:dyDescent="0.3">
      <c r="A9" s="26">
        <v>45833</v>
      </c>
      <c r="B9" s="27" t="s">
        <v>4</v>
      </c>
      <c r="C9" s="24">
        <v>-1.1000000000000001</v>
      </c>
    </row>
    <row r="10" spans="1:8" hidden="1" x14ac:dyDescent="0.3">
      <c r="A10" s="26">
        <v>45833</v>
      </c>
      <c r="B10" s="32" t="s">
        <v>21</v>
      </c>
      <c r="C10" s="24">
        <v>33.19</v>
      </c>
    </row>
    <row r="11" spans="1:8" hidden="1" x14ac:dyDescent="0.3">
      <c r="A11" s="26">
        <v>45834</v>
      </c>
      <c r="B11" s="27" t="s">
        <v>4</v>
      </c>
      <c r="C11" s="24">
        <v>-33.19</v>
      </c>
    </row>
    <row r="12" spans="1:8" hidden="1" x14ac:dyDescent="0.3">
      <c r="A12" s="26">
        <v>45840</v>
      </c>
      <c r="B12" s="32" t="s">
        <v>21</v>
      </c>
      <c r="C12" s="24">
        <v>28.3</v>
      </c>
    </row>
    <row r="13" spans="1:8" hidden="1" x14ac:dyDescent="0.3">
      <c r="A13" s="26">
        <v>45840</v>
      </c>
      <c r="B13" s="34" t="s">
        <v>21</v>
      </c>
      <c r="C13" s="24">
        <v>14.8</v>
      </c>
    </row>
    <row r="14" spans="1:8" hidden="1" x14ac:dyDescent="0.3">
      <c r="A14" s="26">
        <v>45840</v>
      </c>
      <c r="B14" s="27" t="s">
        <v>1</v>
      </c>
      <c r="C14" s="24">
        <v>23.8</v>
      </c>
    </row>
    <row r="15" spans="1:8" hidden="1" x14ac:dyDescent="0.3">
      <c r="A15" s="26">
        <v>45841</v>
      </c>
      <c r="B15" s="27" t="s">
        <v>4</v>
      </c>
      <c r="C15" s="24">
        <v>-66.900000000000006</v>
      </c>
    </row>
    <row r="16" spans="1:8" x14ac:dyDescent="0.3">
      <c r="A16" s="26">
        <v>45847</v>
      </c>
      <c r="B16" s="32" t="s">
        <v>21</v>
      </c>
      <c r="C16" s="24">
        <v>43.03</v>
      </c>
    </row>
    <row r="17" spans="1:3" x14ac:dyDescent="0.3">
      <c r="A17" s="26">
        <v>45847</v>
      </c>
      <c r="B17" s="34" t="s">
        <v>21</v>
      </c>
      <c r="C17" s="24">
        <v>43.98</v>
      </c>
    </row>
    <row r="18" spans="1:3" x14ac:dyDescent="0.3">
      <c r="A18" s="26">
        <v>45847</v>
      </c>
      <c r="B18" s="27" t="s">
        <v>1</v>
      </c>
      <c r="C18" s="24">
        <v>23.8</v>
      </c>
    </row>
    <row r="19" spans="1:3" x14ac:dyDescent="0.3">
      <c r="A19" s="26">
        <v>45848</v>
      </c>
      <c r="B19" s="27" t="s">
        <v>4</v>
      </c>
      <c r="C19" s="24">
        <v>-87.01</v>
      </c>
    </row>
    <row r="20" spans="1:3" x14ac:dyDescent="0.3">
      <c r="A20" s="26">
        <v>45854</v>
      </c>
      <c r="B20" s="32" t="s">
        <v>21</v>
      </c>
      <c r="C20" s="24">
        <v>15</v>
      </c>
    </row>
    <row r="21" spans="1:3" x14ac:dyDescent="0.3">
      <c r="A21" s="26">
        <v>45854</v>
      </c>
      <c r="B21" s="34" t="s">
        <v>21</v>
      </c>
      <c r="C21" s="24">
        <v>62.28</v>
      </c>
    </row>
    <row r="22" spans="1:3" x14ac:dyDescent="0.3">
      <c r="A22" s="26">
        <v>45854</v>
      </c>
      <c r="B22" s="27" t="s">
        <v>1</v>
      </c>
      <c r="C22" s="24">
        <v>23.8</v>
      </c>
    </row>
    <row r="23" spans="1:3" x14ac:dyDescent="0.3">
      <c r="A23" s="26">
        <v>45861</v>
      </c>
      <c r="B23" s="27" t="s">
        <v>4</v>
      </c>
      <c r="C23" s="24">
        <v>-99.29</v>
      </c>
    </row>
    <row r="24" spans="1:3" x14ac:dyDescent="0.3">
      <c r="A24" s="26">
        <v>45861</v>
      </c>
      <c r="B24" s="32" t="s">
        <v>21</v>
      </c>
      <c r="C24" s="24">
        <v>30.34</v>
      </c>
    </row>
    <row r="25" spans="1:3" x14ac:dyDescent="0.3">
      <c r="A25" s="26">
        <v>45861</v>
      </c>
      <c r="B25" s="34" t="s">
        <v>21</v>
      </c>
      <c r="C25" s="24">
        <v>22.28</v>
      </c>
    </row>
    <row r="26" spans="1:3" x14ac:dyDescent="0.3">
      <c r="A26" s="26">
        <v>45862</v>
      </c>
      <c r="B26" s="27" t="s">
        <v>4</v>
      </c>
      <c r="C26" s="24">
        <v>-52.62</v>
      </c>
    </row>
    <row r="27" spans="1:3" x14ac:dyDescent="0.3">
      <c r="A27" s="26">
        <v>45875</v>
      </c>
      <c r="B27" s="32" t="s">
        <v>21</v>
      </c>
      <c r="C27" s="24">
        <v>15.85</v>
      </c>
    </row>
    <row r="28" spans="1:3" x14ac:dyDescent="0.3">
      <c r="A28" s="26">
        <v>45875</v>
      </c>
      <c r="B28" s="34" t="s">
        <v>21</v>
      </c>
      <c r="C28" s="24">
        <v>15.72</v>
      </c>
    </row>
    <row r="29" spans="1:3" x14ac:dyDescent="0.3">
      <c r="A29" s="26">
        <v>45880</v>
      </c>
      <c r="B29" s="27" t="s">
        <v>4</v>
      </c>
      <c r="C29" s="24">
        <v>-55.85</v>
      </c>
    </row>
    <row r="30" spans="1:3" x14ac:dyDescent="0.3">
      <c r="A30" s="26">
        <v>45889</v>
      </c>
      <c r="B30" s="32" t="s">
        <v>21</v>
      </c>
      <c r="C30" s="24">
        <v>7.8</v>
      </c>
    </row>
    <row r="31" spans="1:3" x14ac:dyDescent="0.3">
      <c r="A31" s="26">
        <v>45889</v>
      </c>
      <c r="B31" s="34" t="s">
        <v>21</v>
      </c>
      <c r="C31" s="24">
        <v>114.4</v>
      </c>
    </row>
    <row r="32" spans="1:3" x14ac:dyDescent="0.3">
      <c r="A32" s="26">
        <v>45890</v>
      </c>
      <c r="B32" s="27" t="s">
        <v>4</v>
      </c>
      <c r="C32" s="24">
        <v>-122.28</v>
      </c>
    </row>
    <row r="33" spans="1:3" x14ac:dyDescent="0.3">
      <c r="A33" s="26">
        <v>45903</v>
      </c>
      <c r="B33" s="32" t="s">
        <v>21</v>
      </c>
      <c r="C33" s="24">
        <v>43.03</v>
      </c>
    </row>
    <row r="34" spans="1:3" x14ac:dyDescent="0.3">
      <c r="A34" s="26">
        <v>45903</v>
      </c>
      <c r="B34" s="34" t="s">
        <v>21</v>
      </c>
      <c r="C34" s="24">
        <v>139.06</v>
      </c>
    </row>
    <row r="35" spans="1:3" x14ac:dyDescent="0.3">
      <c r="A35" s="26">
        <v>45903</v>
      </c>
      <c r="B35" s="27" t="s">
        <v>1</v>
      </c>
      <c r="C35" s="24">
        <v>23.8</v>
      </c>
    </row>
    <row r="36" spans="1:3" x14ac:dyDescent="0.3">
      <c r="A36" s="26">
        <v>45908</v>
      </c>
      <c r="B36" s="27" t="s">
        <v>4</v>
      </c>
      <c r="C36" s="24">
        <v>-205.89</v>
      </c>
    </row>
    <row r="37" spans="1:3" x14ac:dyDescent="0.3">
      <c r="A37" s="26">
        <v>45917</v>
      </c>
      <c r="B37" s="32" t="s">
        <v>21</v>
      </c>
      <c r="C37" s="24">
        <v>7.5</v>
      </c>
    </row>
    <row r="38" spans="1:3" x14ac:dyDescent="0.3">
      <c r="A38" s="26">
        <v>45917</v>
      </c>
      <c r="B38" s="34" t="s">
        <v>21</v>
      </c>
      <c r="C38" s="24">
        <v>184.74</v>
      </c>
    </row>
    <row r="39" spans="1:3" x14ac:dyDescent="0.3">
      <c r="A39" s="26">
        <v>45919</v>
      </c>
      <c r="B39" s="27" t="s">
        <v>4</v>
      </c>
      <c r="C39" s="24">
        <v>-192.34</v>
      </c>
    </row>
    <row r="40" spans="1:3" x14ac:dyDescent="0.3">
      <c r="A40" s="26">
        <v>45925</v>
      </c>
      <c r="B40" s="27" t="s">
        <v>4</v>
      </c>
      <c r="C40" s="24">
        <v>-229.63</v>
      </c>
    </row>
    <row r="41" spans="1:3" x14ac:dyDescent="0.3">
      <c r="A41" s="26">
        <v>45925</v>
      </c>
      <c r="B41" s="32" t="s">
        <v>21</v>
      </c>
      <c r="C41" s="24">
        <v>52.87</v>
      </c>
    </row>
    <row r="42" spans="1:3" x14ac:dyDescent="0.3">
      <c r="A42" s="26">
        <v>45925</v>
      </c>
      <c r="B42" s="34" t="s">
        <v>21</v>
      </c>
      <c r="C42" s="24">
        <v>137.54</v>
      </c>
    </row>
    <row r="43" spans="1:3" x14ac:dyDescent="0.3">
      <c r="A43" s="26">
        <v>45925</v>
      </c>
      <c r="B43" s="46" t="s">
        <v>21</v>
      </c>
      <c r="C43" s="24">
        <v>17.52</v>
      </c>
    </row>
    <row r="44" spans="1:3" x14ac:dyDescent="0.3">
      <c r="A44" s="26">
        <v>45925</v>
      </c>
      <c r="B44" s="27" t="s">
        <v>1</v>
      </c>
      <c r="C44" s="24">
        <v>23.8</v>
      </c>
    </row>
    <row r="45" spans="1:3" x14ac:dyDescent="0.3">
      <c r="A45" s="26">
        <v>45931</v>
      </c>
      <c r="B45" s="34" t="s">
        <v>21</v>
      </c>
      <c r="C45" s="24">
        <v>73.2</v>
      </c>
    </row>
    <row r="46" spans="1:3" x14ac:dyDescent="0.3">
      <c r="A46" s="26">
        <v>45939</v>
      </c>
      <c r="B46" s="32" t="s">
        <v>21</v>
      </c>
      <c r="C46" s="24">
        <v>44.38</v>
      </c>
    </row>
    <row r="47" spans="1:3" x14ac:dyDescent="0.3">
      <c r="A47" s="26">
        <v>45939</v>
      </c>
      <c r="B47" s="34" t="s">
        <v>21</v>
      </c>
      <c r="C47" s="24">
        <v>80.959999999999994</v>
      </c>
    </row>
    <row r="48" spans="1:3" x14ac:dyDescent="0.3">
      <c r="A48" s="26">
        <v>45939</v>
      </c>
      <c r="B48" s="27" t="s">
        <v>1</v>
      </c>
      <c r="C48" s="24">
        <v>26.7</v>
      </c>
    </row>
    <row r="49" spans="1:3" x14ac:dyDescent="0.3">
      <c r="A49" s="26">
        <v>45942</v>
      </c>
      <c r="B49" s="27" t="s">
        <v>4</v>
      </c>
      <c r="C49" s="24">
        <v>-152.04</v>
      </c>
    </row>
    <row r="50" spans="1:3" x14ac:dyDescent="0.3">
      <c r="A50" s="26">
        <v>45945</v>
      </c>
      <c r="B50" s="46" t="s">
        <v>21</v>
      </c>
      <c r="C50" s="24">
        <v>11.68</v>
      </c>
    </row>
    <row r="51" spans="1:3" x14ac:dyDescent="0.3">
      <c r="A51" s="26">
        <v>45945</v>
      </c>
      <c r="B51" s="27" t="s">
        <v>1</v>
      </c>
      <c r="C51" s="24">
        <v>26.7</v>
      </c>
    </row>
    <row r="52" spans="1:3" x14ac:dyDescent="0.3">
      <c r="A52" s="26">
        <v>45946</v>
      </c>
      <c r="B52" s="27" t="s">
        <v>4</v>
      </c>
      <c r="C52" s="24">
        <v>-73.2</v>
      </c>
    </row>
    <row r="53" spans="1:3" x14ac:dyDescent="0.3">
      <c r="A53" s="26">
        <v>45946</v>
      </c>
      <c r="B53" s="27" t="s">
        <v>4</v>
      </c>
      <c r="C53" s="24">
        <v>-38.380000000000003</v>
      </c>
    </row>
    <row r="54" spans="1:3" x14ac:dyDescent="0.3">
      <c r="A54" s="26">
        <v>45952</v>
      </c>
      <c r="B54" s="32" t="s">
        <v>21</v>
      </c>
      <c r="C54" s="24">
        <v>55.48</v>
      </c>
    </row>
    <row r="55" spans="1:3" x14ac:dyDescent="0.3">
      <c r="A55" s="26">
        <v>45952</v>
      </c>
      <c r="B55" s="34" t="s">
        <v>21</v>
      </c>
      <c r="C55" s="24">
        <v>4.93</v>
      </c>
    </row>
    <row r="56" spans="1:3" x14ac:dyDescent="0.3">
      <c r="A56" s="26">
        <v>45953</v>
      </c>
      <c r="B56" s="27" t="s">
        <v>4</v>
      </c>
      <c r="C56" s="24">
        <v>-60.41</v>
      </c>
    </row>
    <row r="57" spans="1:3" x14ac:dyDescent="0.3">
      <c r="A57" s="26">
        <v>45959</v>
      </c>
      <c r="B57" s="32" t="s">
        <v>21</v>
      </c>
      <c r="C57" s="24">
        <v>36.880000000000003</v>
      </c>
    </row>
    <row r="58" spans="1:3" x14ac:dyDescent="0.3">
      <c r="A58" s="26">
        <v>45959</v>
      </c>
      <c r="B58" s="34" t="s">
        <v>21</v>
      </c>
      <c r="C58" s="24">
        <v>31.68</v>
      </c>
    </row>
    <row r="59" spans="1:3" x14ac:dyDescent="0.3">
      <c r="A59" s="26">
        <v>45959</v>
      </c>
      <c r="B59" s="46" t="s">
        <v>21</v>
      </c>
      <c r="C59" s="24">
        <v>5.84</v>
      </c>
    </row>
    <row r="60" spans="1:3" x14ac:dyDescent="0.3">
      <c r="A60" s="26">
        <v>45960</v>
      </c>
      <c r="B60" s="27" t="s">
        <v>4</v>
      </c>
      <c r="C60" s="24">
        <v>-74.400000000000006</v>
      </c>
    </row>
    <row r="61" spans="1:3" x14ac:dyDescent="0.3">
      <c r="A61" s="26">
        <v>45966</v>
      </c>
      <c r="B61" s="32" t="s">
        <v>21</v>
      </c>
      <c r="C61" s="24">
        <v>7.5</v>
      </c>
    </row>
    <row r="62" spans="1:3" x14ac:dyDescent="0.3">
      <c r="A62" s="26">
        <v>45966</v>
      </c>
      <c r="B62" s="34" t="s">
        <v>21</v>
      </c>
      <c r="C62" s="24">
        <v>73.44</v>
      </c>
    </row>
    <row r="63" spans="1:3" x14ac:dyDescent="0.3">
      <c r="A63" s="26">
        <v>45966</v>
      </c>
      <c r="B63" s="46" t="s">
        <v>21</v>
      </c>
      <c r="C63" s="24">
        <v>17.52</v>
      </c>
    </row>
    <row r="64" spans="1:3" x14ac:dyDescent="0.3">
      <c r="A64" s="26">
        <v>45968</v>
      </c>
      <c r="B64" s="27" t="s">
        <v>4</v>
      </c>
      <c r="C64" s="24">
        <v>-98.46</v>
      </c>
    </row>
    <row r="65" spans="1:3" x14ac:dyDescent="0.3">
      <c r="A65" s="26">
        <v>45973</v>
      </c>
      <c r="B65" s="27" t="s">
        <v>1</v>
      </c>
      <c r="C65" s="24">
        <v>69.69</v>
      </c>
    </row>
    <row r="66" spans="1:3" x14ac:dyDescent="0.3">
      <c r="A66" s="26">
        <v>45975</v>
      </c>
      <c r="B66" s="27" t="s">
        <v>4</v>
      </c>
      <c r="C66" s="24">
        <v>-69.69</v>
      </c>
    </row>
    <row r="67" spans="1:3" x14ac:dyDescent="0.3">
      <c r="A67" s="26">
        <v>45980</v>
      </c>
      <c r="B67" s="27" t="s">
        <v>1</v>
      </c>
      <c r="C67" s="24">
        <v>29.04</v>
      </c>
    </row>
    <row r="68" spans="1:3" x14ac:dyDescent="0.3">
      <c r="A68" s="26">
        <v>45982</v>
      </c>
      <c r="B68" s="27" t="s">
        <v>4</v>
      </c>
      <c r="C68" s="24">
        <v>-29.04</v>
      </c>
    </row>
    <row r="69" spans="1:3" x14ac:dyDescent="0.3">
      <c r="A69" s="26">
        <v>45987</v>
      </c>
      <c r="B69" s="27" t="s">
        <v>1</v>
      </c>
      <c r="C69" s="24">
        <v>55.23</v>
      </c>
    </row>
    <row r="70" spans="1:3" x14ac:dyDescent="0.3">
      <c r="A70" s="26">
        <v>45988</v>
      </c>
      <c r="B70" s="27" t="s">
        <v>4</v>
      </c>
      <c r="C70" s="24">
        <v>-55.23</v>
      </c>
    </row>
    <row r="71" spans="1:3" x14ac:dyDescent="0.3">
      <c r="A71" s="26">
        <v>45994</v>
      </c>
      <c r="B71" s="27" t="s">
        <v>1</v>
      </c>
      <c r="C71" s="24">
        <v>71.819999999999993</v>
      </c>
    </row>
    <row r="72" spans="1:3" x14ac:dyDescent="0.3">
      <c r="A72" s="26">
        <v>45998</v>
      </c>
      <c r="B72" s="27" t="s">
        <v>4</v>
      </c>
      <c r="C72" s="24">
        <v>-71.819999999999993</v>
      </c>
    </row>
    <row r="73" spans="1:3" x14ac:dyDescent="0.3">
      <c r="A73" s="26">
        <v>46001</v>
      </c>
      <c r="B73" s="27" t="s">
        <v>1</v>
      </c>
      <c r="C73" s="24">
        <v>97.49</v>
      </c>
    </row>
    <row r="74" spans="1:3" x14ac:dyDescent="0.3">
      <c r="A74" s="26">
        <v>46003</v>
      </c>
      <c r="B74" s="27" t="s">
        <v>4</v>
      </c>
      <c r="C74" s="24">
        <v>-97.49</v>
      </c>
    </row>
    <row r="75" spans="1:3" x14ac:dyDescent="0.3">
      <c r="A75" s="26">
        <v>46008</v>
      </c>
      <c r="B75" s="27" t="s">
        <v>1</v>
      </c>
      <c r="C75" s="24">
        <v>176.93</v>
      </c>
    </row>
    <row r="76" spans="1:3" x14ac:dyDescent="0.3">
      <c r="A76" s="26">
        <v>46009</v>
      </c>
      <c r="B76" s="27" t="s">
        <v>4</v>
      </c>
      <c r="C76" s="24">
        <v>-176.93</v>
      </c>
    </row>
    <row r="77" spans="1:3" x14ac:dyDescent="0.3">
      <c r="A77" s="26">
        <v>46036</v>
      </c>
      <c r="B77" s="27" t="s">
        <v>1</v>
      </c>
      <c r="C77" s="24">
        <v>33.299999999999997</v>
      </c>
    </row>
    <row r="78" spans="1:3" x14ac:dyDescent="0.3">
      <c r="A78" s="26">
        <v>46037</v>
      </c>
      <c r="B78" s="27" t="s">
        <v>4</v>
      </c>
      <c r="C78" s="24">
        <v>-33.299999999999997</v>
      </c>
    </row>
    <row r="79" spans="1:3" x14ac:dyDescent="0.3">
      <c r="A79" s="26">
        <v>46043</v>
      </c>
      <c r="B79" s="27" t="s">
        <v>1</v>
      </c>
      <c r="C79" s="24">
        <v>183.44</v>
      </c>
    </row>
    <row r="80" spans="1:3" x14ac:dyDescent="0.3">
      <c r="A80" s="26">
        <v>46045</v>
      </c>
      <c r="B80" s="27" t="s">
        <v>4</v>
      </c>
      <c r="C80" s="24">
        <v>-183.44</v>
      </c>
    </row>
    <row r="81" spans="1:3" x14ac:dyDescent="0.3">
      <c r="A81" s="26">
        <v>46050</v>
      </c>
      <c r="B81" s="27" t="s">
        <v>1</v>
      </c>
      <c r="C81" s="24">
        <v>85.74</v>
      </c>
    </row>
    <row r="82" spans="1:3" x14ac:dyDescent="0.3">
      <c r="A82" s="26">
        <v>46051</v>
      </c>
      <c r="B82" s="27" t="s">
        <v>4</v>
      </c>
      <c r="C82" s="24">
        <v>-85.74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31268-6181-40DC-A57F-45AA7CADE2E9}">
  <dimension ref="A1:H90"/>
  <sheetViews>
    <sheetView view="pageBreakPreview" topLeftCell="A63" zoomScaleNormal="100" zoomScaleSheetLayoutView="100" workbookViewId="0">
      <selection activeCell="D91" sqref="D91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345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346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588.2600000000001</v>
      </c>
      <c r="D3" s="20">
        <f>SUM(D$4:D$1048576)</f>
        <v>2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45848</v>
      </c>
      <c r="B5" s="32" t="s">
        <v>21</v>
      </c>
      <c r="C5" s="24">
        <v>37.79</v>
      </c>
      <c r="D5" s="30"/>
      <c r="E5" s="30"/>
      <c r="F5" s="30"/>
      <c r="G5" s="22"/>
    </row>
    <row r="6" spans="1:8" hidden="1" x14ac:dyDescent="0.3">
      <c r="A6" s="21">
        <v>45848</v>
      </c>
      <c r="B6" s="34" t="s">
        <v>1</v>
      </c>
      <c r="C6" s="24">
        <v>70.34</v>
      </c>
    </row>
    <row r="7" spans="1:8" hidden="1" x14ac:dyDescent="0.3">
      <c r="A7" s="21">
        <v>45848</v>
      </c>
      <c r="B7" s="46" t="s">
        <v>1</v>
      </c>
      <c r="C7" s="24">
        <v>48.78</v>
      </c>
    </row>
    <row r="8" spans="1:8" hidden="1" x14ac:dyDescent="0.3">
      <c r="A8" s="26">
        <v>45855</v>
      </c>
      <c r="B8" s="27" t="s">
        <v>4</v>
      </c>
      <c r="C8" s="24">
        <v>-56.91</v>
      </c>
    </row>
    <row r="9" spans="1:8" hidden="1" x14ac:dyDescent="0.3">
      <c r="A9" s="26">
        <v>45855</v>
      </c>
      <c r="B9" s="32" t="s">
        <v>1</v>
      </c>
      <c r="C9" s="24">
        <v>17.34</v>
      </c>
    </row>
    <row r="10" spans="1:8" hidden="1" x14ac:dyDescent="0.3">
      <c r="A10" s="26">
        <v>45855</v>
      </c>
      <c r="B10" s="34" t="s">
        <v>1</v>
      </c>
      <c r="C10" s="24">
        <v>100.58</v>
      </c>
    </row>
    <row r="11" spans="1:8" hidden="1" x14ac:dyDescent="0.3">
      <c r="A11" s="26">
        <v>45855</v>
      </c>
      <c r="B11" s="46" t="s">
        <v>1</v>
      </c>
      <c r="C11" s="24">
        <v>33.06</v>
      </c>
    </row>
    <row r="12" spans="1:8" hidden="1" x14ac:dyDescent="0.3">
      <c r="A12" s="26">
        <v>45856</v>
      </c>
      <c r="B12" s="27" t="s">
        <v>4</v>
      </c>
      <c r="C12" s="24">
        <v>-100</v>
      </c>
    </row>
    <row r="13" spans="1:8" hidden="1" x14ac:dyDescent="0.3">
      <c r="A13" s="26">
        <v>45863</v>
      </c>
      <c r="B13" s="27" t="s">
        <v>4</v>
      </c>
      <c r="C13" s="24">
        <v>-150.97</v>
      </c>
    </row>
    <row r="14" spans="1:8" hidden="1" x14ac:dyDescent="0.3">
      <c r="A14" s="26">
        <v>45863</v>
      </c>
      <c r="B14" s="27" t="s">
        <v>1</v>
      </c>
      <c r="C14" s="24">
        <v>20.8</v>
      </c>
    </row>
    <row r="15" spans="1:8" hidden="1" x14ac:dyDescent="0.3">
      <c r="A15" s="26">
        <v>45863</v>
      </c>
      <c r="B15" s="34" t="s">
        <v>1</v>
      </c>
      <c r="C15" s="24">
        <v>19</v>
      </c>
    </row>
    <row r="16" spans="1:8" hidden="1" x14ac:dyDescent="0.3">
      <c r="A16" s="26">
        <v>45863</v>
      </c>
      <c r="B16" s="46" t="s">
        <v>1</v>
      </c>
      <c r="C16" s="24">
        <v>10.3</v>
      </c>
    </row>
    <row r="17" spans="1:5" hidden="1" x14ac:dyDescent="0.3">
      <c r="A17" s="26">
        <v>45869</v>
      </c>
      <c r="B17" s="27" t="s">
        <v>1</v>
      </c>
      <c r="C17" s="24">
        <v>61.52</v>
      </c>
    </row>
    <row r="18" spans="1:5" hidden="1" x14ac:dyDescent="0.3">
      <c r="A18" s="26">
        <v>45869</v>
      </c>
      <c r="B18" s="32" t="s">
        <v>1</v>
      </c>
      <c r="C18" s="24">
        <v>24.6</v>
      </c>
      <c r="E18" s="25">
        <v>1</v>
      </c>
    </row>
    <row r="19" spans="1:5" hidden="1" x14ac:dyDescent="0.3">
      <c r="A19" s="26">
        <v>45869</v>
      </c>
      <c r="B19" s="34" t="s">
        <v>1</v>
      </c>
      <c r="C19" s="24">
        <v>176.12</v>
      </c>
    </row>
    <row r="20" spans="1:5" hidden="1" x14ac:dyDescent="0.3">
      <c r="A20" s="26">
        <v>45880</v>
      </c>
      <c r="B20" s="27" t="s">
        <v>4</v>
      </c>
      <c r="C20" s="24">
        <v>-309.83</v>
      </c>
    </row>
    <row r="21" spans="1:5" hidden="1" x14ac:dyDescent="0.3">
      <c r="A21" s="26">
        <v>45877</v>
      </c>
      <c r="B21" s="32" t="s">
        <v>1</v>
      </c>
      <c r="C21" s="24">
        <v>27.95</v>
      </c>
    </row>
    <row r="22" spans="1:5" hidden="1" x14ac:dyDescent="0.3">
      <c r="A22" s="26">
        <v>45877</v>
      </c>
      <c r="B22" s="34" t="s">
        <v>1</v>
      </c>
      <c r="C22" s="24">
        <v>87.84</v>
      </c>
    </row>
    <row r="23" spans="1:5" hidden="1" x14ac:dyDescent="0.3">
      <c r="A23" s="26">
        <v>45877</v>
      </c>
      <c r="B23" s="46" t="s">
        <v>1</v>
      </c>
      <c r="C23" s="24">
        <v>19.03</v>
      </c>
    </row>
    <row r="24" spans="1:5" hidden="1" x14ac:dyDescent="0.3">
      <c r="A24" s="26">
        <v>45883</v>
      </c>
      <c r="B24" s="32" t="s">
        <v>1</v>
      </c>
      <c r="C24" s="24">
        <v>17.34</v>
      </c>
    </row>
    <row r="25" spans="1:5" hidden="1" x14ac:dyDescent="0.3">
      <c r="A25" s="26">
        <v>45883</v>
      </c>
      <c r="B25" s="34" t="s">
        <v>1</v>
      </c>
      <c r="C25" s="24">
        <v>143.13</v>
      </c>
    </row>
    <row r="26" spans="1:5" hidden="1" x14ac:dyDescent="0.3">
      <c r="A26" s="26">
        <v>45883</v>
      </c>
      <c r="B26" s="46" t="s">
        <v>1</v>
      </c>
      <c r="C26" s="24">
        <v>18.39</v>
      </c>
    </row>
    <row r="27" spans="1:5" hidden="1" x14ac:dyDescent="0.3">
      <c r="A27" s="26">
        <v>45891</v>
      </c>
      <c r="B27" s="27" t="s">
        <v>4</v>
      </c>
      <c r="C27" s="24">
        <v>-100</v>
      </c>
    </row>
    <row r="28" spans="1:5" hidden="1" x14ac:dyDescent="0.3">
      <c r="A28" s="26">
        <v>45891</v>
      </c>
      <c r="B28" s="27" t="s">
        <v>1</v>
      </c>
      <c r="C28" s="24">
        <v>20.8</v>
      </c>
    </row>
    <row r="29" spans="1:5" hidden="1" x14ac:dyDescent="0.3">
      <c r="A29" s="26">
        <v>45891</v>
      </c>
      <c r="B29" s="32" t="s">
        <v>1</v>
      </c>
      <c r="C29" s="24">
        <v>25.69</v>
      </c>
    </row>
    <row r="30" spans="1:5" hidden="1" x14ac:dyDescent="0.3">
      <c r="A30" s="26">
        <v>45891</v>
      </c>
      <c r="B30" s="34" t="s">
        <v>1</v>
      </c>
      <c r="C30" s="24">
        <v>42.77</v>
      </c>
    </row>
    <row r="31" spans="1:5" hidden="1" x14ac:dyDescent="0.3">
      <c r="A31" s="26">
        <v>45896</v>
      </c>
      <c r="B31" s="27" t="s">
        <v>4</v>
      </c>
      <c r="C31" s="24">
        <v>-69.260000000000005</v>
      </c>
    </row>
    <row r="32" spans="1:5" hidden="1" x14ac:dyDescent="0.3">
      <c r="A32" s="26">
        <v>45901</v>
      </c>
      <c r="B32" s="27" t="s">
        <v>4</v>
      </c>
      <c r="C32" s="24">
        <v>-100</v>
      </c>
    </row>
    <row r="33" spans="1:3" hidden="1" x14ac:dyDescent="0.3">
      <c r="A33" s="26">
        <v>45905</v>
      </c>
      <c r="B33" s="32" t="s">
        <v>1</v>
      </c>
      <c r="C33" s="24">
        <v>17.34</v>
      </c>
    </row>
    <row r="34" spans="1:3" hidden="1" x14ac:dyDescent="0.3">
      <c r="A34" s="26">
        <v>45905</v>
      </c>
      <c r="B34" s="34" t="s">
        <v>1</v>
      </c>
      <c r="C34" s="24">
        <v>96.33</v>
      </c>
    </row>
    <row r="35" spans="1:3" hidden="1" x14ac:dyDescent="0.3">
      <c r="A35" s="26">
        <v>45908</v>
      </c>
      <c r="B35" s="27" t="s">
        <v>4</v>
      </c>
      <c r="C35" s="24">
        <v>-103.89</v>
      </c>
    </row>
    <row r="36" spans="1:3" hidden="1" x14ac:dyDescent="0.3">
      <c r="A36" s="26">
        <v>45912</v>
      </c>
      <c r="B36" s="27" t="s">
        <v>4</v>
      </c>
      <c r="C36" s="24">
        <v>-100.67</v>
      </c>
    </row>
    <row r="37" spans="1:3" hidden="1" x14ac:dyDescent="0.3">
      <c r="A37" s="26">
        <v>45912</v>
      </c>
      <c r="B37" s="32" t="s">
        <v>1</v>
      </c>
      <c r="C37" s="24">
        <v>9.84</v>
      </c>
    </row>
    <row r="38" spans="1:3" hidden="1" x14ac:dyDescent="0.3">
      <c r="A38" s="26">
        <v>45912</v>
      </c>
      <c r="B38" s="34" t="s">
        <v>1</v>
      </c>
      <c r="C38" s="24">
        <v>69.78</v>
      </c>
    </row>
    <row r="39" spans="1:3" hidden="1" x14ac:dyDescent="0.3">
      <c r="A39" s="26">
        <v>45912</v>
      </c>
      <c r="B39" s="46" t="s">
        <v>1</v>
      </c>
      <c r="C39" s="24">
        <v>10.62</v>
      </c>
    </row>
    <row r="40" spans="1:3" hidden="1" x14ac:dyDescent="0.3">
      <c r="A40" s="26">
        <v>45917</v>
      </c>
      <c r="B40" s="27" t="s">
        <v>4</v>
      </c>
      <c r="C40" s="24">
        <v>-98.83</v>
      </c>
    </row>
    <row r="41" spans="1:3" hidden="1" x14ac:dyDescent="0.3">
      <c r="A41" s="26">
        <v>45920</v>
      </c>
      <c r="B41" s="32" t="s">
        <v>1</v>
      </c>
      <c r="C41" s="24">
        <v>12.1</v>
      </c>
    </row>
    <row r="42" spans="1:3" hidden="1" x14ac:dyDescent="0.3">
      <c r="A42" s="26">
        <v>45920</v>
      </c>
      <c r="B42" s="34" t="s">
        <v>1</v>
      </c>
      <c r="C42" s="24">
        <v>192.4</v>
      </c>
    </row>
    <row r="43" spans="1:3" hidden="1" x14ac:dyDescent="0.3">
      <c r="A43" s="26">
        <v>45922</v>
      </c>
      <c r="B43" s="27" t="s">
        <v>4</v>
      </c>
      <c r="C43" s="24">
        <v>-100</v>
      </c>
    </row>
    <row r="44" spans="1:3" hidden="1" x14ac:dyDescent="0.3">
      <c r="A44" s="26">
        <v>45926</v>
      </c>
      <c r="B44" s="27" t="s">
        <v>4</v>
      </c>
      <c r="C44" s="24">
        <v>-138.13999999999999</v>
      </c>
    </row>
    <row r="45" spans="1:3" hidden="1" x14ac:dyDescent="0.3">
      <c r="A45" s="26">
        <v>45925</v>
      </c>
      <c r="B45" s="32" t="s">
        <v>1</v>
      </c>
      <c r="C45" s="24">
        <v>27.95</v>
      </c>
    </row>
    <row r="46" spans="1:3" hidden="1" x14ac:dyDescent="0.3">
      <c r="A46" s="26">
        <v>45925</v>
      </c>
      <c r="B46" s="34" t="s">
        <v>1</v>
      </c>
      <c r="C46" s="24">
        <v>75.58</v>
      </c>
    </row>
    <row r="47" spans="1:3" hidden="1" x14ac:dyDescent="0.3">
      <c r="A47" s="26">
        <v>45925</v>
      </c>
      <c r="B47" s="46" t="s">
        <v>1</v>
      </c>
      <c r="C47" s="24">
        <v>5.84</v>
      </c>
    </row>
    <row r="48" spans="1:3" hidden="1" x14ac:dyDescent="0.3">
      <c r="A48" s="26">
        <v>45932</v>
      </c>
      <c r="B48" s="27" t="s">
        <v>4</v>
      </c>
      <c r="C48" s="24">
        <v>-112.45</v>
      </c>
    </row>
    <row r="49" spans="1:3" x14ac:dyDescent="0.3">
      <c r="A49" s="26">
        <v>45932</v>
      </c>
      <c r="B49" s="27" t="s">
        <v>1</v>
      </c>
      <c r="C49" s="24">
        <v>20.8</v>
      </c>
    </row>
    <row r="50" spans="1:3" x14ac:dyDescent="0.3">
      <c r="A50" s="26">
        <v>45932</v>
      </c>
      <c r="B50" s="32" t="s">
        <v>1</v>
      </c>
      <c r="C50" s="24">
        <v>7.5</v>
      </c>
    </row>
    <row r="51" spans="1:3" x14ac:dyDescent="0.3">
      <c r="A51" s="26">
        <v>45932</v>
      </c>
      <c r="B51" s="34" t="s">
        <v>1</v>
      </c>
      <c r="C51" s="24">
        <v>84.26</v>
      </c>
    </row>
    <row r="52" spans="1:3" x14ac:dyDescent="0.3">
      <c r="A52" s="26">
        <v>45939</v>
      </c>
      <c r="B52" s="27" t="s">
        <v>1</v>
      </c>
      <c r="C52" s="24">
        <v>23</v>
      </c>
    </row>
    <row r="53" spans="1:3" x14ac:dyDescent="0.3">
      <c r="A53" s="26">
        <v>45939</v>
      </c>
      <c r="B53" s="34" t="s">
        <v>1</v>
      </c>
      <c r="C53" s="24">
        <v>61.27</v>
      </c>
    </row>
    <row r="54" spans="1:3" x14ac:dyDescent="0.3">
      <c r="A54" s="26">
        <v>45939</v>
      </c>
      <c r="B54" s="46" t="s">
        <v>1</v>
      </c>
      <c r="C54" s="24">
        <v>10.62</v>
      </c>
    </row>
    <row r="55" spans="1:3" x14ac:dyDescent="0.3">
      <c r="A55" s="26">
        <v>45946</v>
      </c>
      <c r="B55" s="27" t="s">
        <v>4</v>
      </c>
      <c r="C55" s="24">
        <v>-148.91</v>
      </c>
    </row>
    <row r="56" spans="1:3" x14ac:dyDescent="0.3">
      <c r="A56" s="26">
        <v>45946</v>
      </c>
      <c r="B56" s="32" t="s">
        <v>1</v>
      </c>
      <c r="C56" s="24">
        <v>9.84</v>
      </c>
    </row>
    <row r="57" spans="1:3" x14ac:dyDescent="0.3">
      <c r="A57" s="26">
        <v>45946</v>
      </c>
      <c r="B57" s="34" t="s">
        <v>1</v>
      </c>
      <c r="C57" s="24">
        <v>26.31</v>
      </c>
    </row>
    <row r="58" spans="1:3" x14ac:dyDescent="0.3">
      <c r="A58" s="26">
        <v>45953</v>
      </c>
      <c r="B58" s="27" t="s">
        <v>1</v>
      </c>
      <c r="C58" s="24">
        <v>23</v>
      </c>
    </row>
    <row r="59" spans="1:3" x14ac:dyDescent="0.3">
      <c r="A59" s="26">
        <v>45953</v>
      </c>
      <c r="B59" s="32" t="s">
        <v>1</v>
      </c>
      <c r="C59" s="24">
        <v>26.54</v>
      </c>
    </row>
    <row r="60" spans="1:3" x14ac:dyDescent="0.3">
      <c r="A60" s="26">
        <v>45953</v>
      </c>
      <c r="B60" s="34" t="s">
        <v>1</v>
      </c>
      <c r="C60" s="24">
        <v>128.49</v>
      </c>
    </row>
    <row r="61" spans="1:3" x14ac:dyDescent="0.3">
      <c r="A61" s="26">
        <v>45954</v>
      </c>
      <c r="B61" s="27" t="s">
        <v>4</v>
      </c>
      <c r="C61" s="24">
        <v>-93.28</v>
      </c>
    </row>
    <row r="62" spans="1:3" x14ac:dyDescent="0.3">
      <c r="A62" s="26">
        <v>45967</v>
      </c>
      <c r="B62" s="27" t="s">
        <v>4</v>
      </c>
      <c r="C62" s="24">
        <v>-100</v>
      </c>
    </row>
    <row r="63" spans="1:3" x14ac:dyDescent="0.3">
      <c r="A63" s="26">
        <v>45968</v>
      </c>
      <c r="B63" s="27" t="s">
        <v>1</v>
      </c>
      <c r="C63" s="24">
        <v>69</v>
      </c>
    </row>
    <row r="64" spans="1:3" x14ac:dyDescent="0.3">
      <c r="A64" s="26">
        <v>45968</v>
      </c>
      <c r="B64" s="32" t="s">
        <v>1</v>
      </c>
      <c r="C64" s="24">
        <v>12.1</v>
      </c>
    </row>
    <row r="65" spans="1:4" x14ac:dyDescent="0.3">
      <c r="A65" s="26">
        <v>45968</v>
      </c>
      <c r="B65" s="34" t="s">
        <v>1</v>
      </c>
      <c r="C65" s="24">
        <v>91.53</v>
      </c>
    </row>
    <row r="66" spans="1:4" x14ac:dyDescent="0.3">
      <c r="A66" s="26">
        <v>45968</v>
      </c>
      <c r="B66" s="46" t="s">
        <v>1</v>
      </c>
      <c r="C66" s="24">
        <v>17.7</v>
      </c>
    </row>
    <row r="67" spans="1:4" x14ac:dyDescent="0.3">
      <c r="A67" s="26">
        <v>45974</v>
      </c>
      <c r="B67" s="27" t="s">
        <v>4</v>
      </c>
      <c r="C67" s="24">
        <v>-100</v>
      </c>
    </row>
    <row r="68" spans="1:4" x14ac:dyDescent="0.3">
      <c r="A68" s="26">
        <v>45974</v>
      </c>
      <c r="B68" s="27" t="s">
        <v>1</v>
      </c>
      <c r="C68" s="24">
        <v>200.28</v>
      </c>
    </row>
    <row r="69" spans="1:4" x14ac:dyDescent="0.3">
      <c r="A69" s="26">
        <v>45981</v>
      </c>
      <c r="B69" s="27" t="s">
        <v>4</v>
      </c>
      <c r="C69" s="24">
        <v>-200</v>
      </c>
    </row>
    <row r="70" spans="1:4" x14ac:dyDescent="0.3">
      <c r="A70" s="26">
        <v>45987</v>
      </c>
      <c r="B70" s="27" t="s">
        <v>4</v>
      </c>
      <c r="C70" s="24">
        <v>-164.22</v>
      </c>
    </row>
    <row r="71" spans="1:4" x14ac:dyDescent="0.3">
      <c r="A71" s="26">
        <v>45988</v>
      </c>
      <c r="B71" s="27" t="s">
        <v>1</v>
      </c>
      <c r="C71" s="24">
        <v>294.24</v>
      </c>
    </row>
    <row r="72" spans="1:4" x14ac:dyDescent="0.3">
      <c r="A72" s="26">
        <v>45993</v>
      </c>
      <c r="B72" s="27" t="s">
        <v>4</v>
      </c>
      <c r="C72" s="24">
        <v>-100</v>
      </c>
    </row>
    <row r="73" spans="1:4" x14ac:dyDescent="0.3">
      <c r="A73" s="26">
        <v>45996</v>
      </c>
      <c r="B73" s="27" t="s">
        <v>4</v>
      </c>
      <c r="C73" s="24">
        <v>-98.09</v>
      </c>
    </row>
    <row r="74" spans="1:4" x14ac:dyDescent="0.3">
      <c r="A74" s="26">
        <v>45996</v>
      </c>
      <c r="B74" s="27" t="s">
        <v>1</v>
      </c>
      <c r="C74" s="24">
        <v>204.76</v>
      </c>
    </row>
    <row r="75" spans="1:4" x14ac:dyDescent="0.3">
      <c r="A75" s="26">
        <v>46003</v>
      </c>
      <c r="B75" s="27" t="s">
        <v>4</v>
      </c>
      <c r="C75" s="24">
        <v>-199.99</v>
      </c>
    </row>
    <row r="76" spans="1:4" x14ac:dyDescent="0.3">
      <c r="A76" s="26">
        <v>46003</v>
      </c>
      <c r="B76" s="27" t="s">
        <v>1</v>
      </c>
      <c r="C76" s="24">
        <v>214.86</v>
      </c>
    </row>
    <row r="77" spans="1:4" x14ac:dyDescent="0.3">
      <c r="A77" s="26">
        <v>46009</v>
      </c>
      <c r="B77" s="27" t="s">
        <v>4</v>
      </c>
      <c r="C77" s="24">
        <v>-200.31</v>
      </c>
    </row>
    <row r="78" spans="1:4" x14ac:dyDescent="0.3">
      <c r="A78" s="26">
        <v>46010</v>
      </c>
      <c r="B78" s="27" t="s">
        <v>1</v>
      </c>
      <c r="C78" s="24">
        <v>312.20999999999998</v>
      </c>
      <c r="D78" s="25">
        <v>3</v>
      </c>
    </row>
    <row r="79" spans="1:4" x14ac:dyDescent="0.3">
      <c r="A79" s="26">
        <v>46017</v>
      </c>
      <c r="B79" s="27" t="s">
        <v>4</v>
      </c>
      <c r="C79" s="24">
        <v>-300</v>
      </c>
    </row>
    <row r="80" spans="1:4" x14ac:dyDescent="0.3">
      <c r="A80" s="26">
        <v>46017</v>
      </c>
      <c r="B80" s="27" t="s">
        <v>1</v>
      </c>
      <c r="C80" s="24">
        <v>273.54000000000002</v>
      </c>
      <c r="D80" s="25">
        <v>1</v>
      </c>
    </row>
    <row r="81" spans="1:5" x14ac:dyDescent="0.3">
      <c r="A81" s="26">
        <v>46027</v>
      </c>
      <c r="B81" s="27" t="s">
        <v>4</v>
      </c>
      <c r="C81" s="24">
        <v>-134</v>
      </c>
    </row>
    <row r="82" spans="1:5" x14ac:dyDescent="0.3">
      <c r="A82" s="26">
        <v>46029</v>
      </c>
      <c r="B82" s="27" t="s">
        <v>4</v>
      </c>
      <c r="C82" s="24">
        <v>-273.10000000000002</v>
      </c>
    </row>
    <row r="83" spans="1:5" x14ac:dyDescent="0.3">
      <c r="A83" s="26">
        <v>46037</v>
      </c>
      <c r="B83" s="27" t="s">
        <v>4</v>
      </c>
      <c r="C83" s="24">
        <v>-100</v>
      </c>
    </row>
    <row r="84" spans="1:5" x14ac:dyDescent="0.3">
      <c r="A84" s="26">
        <v>46037</v>
      </c>
      <c r="B84" s="27" t="s">
        <v>1</v>
      </c>
      <c r="C84" s="24">
        <v>179.02</v>
      </c>
      <c r="D84" s="25">
        <v>-4</v>
      </c>
      <c r="E84" s="25">
        <v>-1</v>
      </c>
    </row>
    <row r="85" spans="1:5" x14ac:dyDescent="0.3">
      <c r="A85" s="26">
        <v>46042</v>
      </c>
      <c r="B85" s="27" t="s">
        <v>4</v>
      </c>
      <c r="C85" s="24">
        <v>-72</v>
      </c>
    </row>
    <row r="86" spans="1:5" x14ac:dyDescent="0.3">
      <c r="A86" s="26">
        <v>46044</v>
      </c>
      <c r="B86" s="31" t="s">
        <v>1</v>
      </c>
      <c r="C86" s="24">
        <v>330.5</v>
      </c>
    </row>
    <row r="87" spans="1:5" x14ac:dyDescent="0.3">
      <c r="A87" s="26">
        <v>46045</v>
      </c>
      <c r="B87" s="27" t="s">
        <v>4</v>
      </c>
      <c r="C87" s="24">
        <v>-100</v>
      </c>
    </row>
    <row r="88" spans="1:5" x14ac:dyDescent="0.3">
      <c r="A88" s="26">
        <v>46048</v>
      </c>
      <c r="B88" s="27" t="s">
        <v>4</v>
      </c>
      <c r="C88" s="24">
        <v>-100</v>
      </c>
    </row>
    <row r="89" spans="1:5" x14ac:dyDescent="0.3">
      <c r="A89" s="26">
        <v>46056</v>
      </c>
      <c r="B89" s="27" t="s">
        <v>4</v>
      </c>
      <c r="C89" s="24">
        <v>-100</v>
      </c>
    </row>
    <row r="90" spans="1:5" x14ac:dyDescent="0.3">
      <c r="A90" s="26">
        <v>46056</v>
      </c>
      <c r="B90" s="27" t="s">
        <v>1</v>
      </c>
      <c r="C90" s="24">
        <v>550.79</v>
      </c>
      <c r="D90" s="25">
        <v>2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239AC-76A9-4229-BCA4-438B87AD552F}">
  <dimension ref="A1:H86"/>
  <sheetViews>
    <sheetView view="pageBreakPreview" zoomScaleNormal="100" zoomScaleSheetLayoutView="100" workbookViewId="0">
      <selection sqref="A1:H6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480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481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45948</v>
      </c>
      <c r="B5" s="27" t="s">
        <v>4</v>
      </c>
      <c r="C5" s="24">
        <v>-25.58</v>
      </c>
      <c r="D5" s="30"/>
      <c r="E5" s="30"/>
      <c r="F5" s="30"/>
      <c r="G5" s="22"/>
    </row>
    <row r="6" spans="1:8" hidden="1" x14ac:dyDescent="0.3">
      <c r="A6" s="21">
        <v>45947</v>
      </c>
      <c r="B6" s="32" t="s">
        <v>21</v>
      </c>
      <c r="C6" s="24">
        <v>25.58</v>
      </c>
    </row>
    <row r="7" spans="1:8" hidden="1" x14ac:dyDescent="0.3">
      <c r="A7" s="21">
        <v>45947</v>
      </c>
      <c r="B7" s="34" t="s">
        <v>1</v>
      </c>
      <c r="C7" s="24">
        <v>31.52</v>
      </c>
    </row>
    <row r="8" spans="1:8" hidden="1" x14ac:dyDescent="0.3">
      <c r="A8" s="26">
        <v>45952</v>
      </c>
      <c r="B8" s="27" t="s">
        <v>4</v>
      </c>
      <c r="C8" s="24">
        <v>-31.52</v>
      </c>
    </row>
    <row r="9" spans="1:8" hidden="1" x14ac:dyDescent="0.3">
      <c r="A9" s="26">
        <v>45953</v>
      </c>
      <c r="B9" s="32" t="s">
        <v>21</v>
      </c>
      <c r="C9" s="24">
        <v>9.84</v>
      </c>
    </row>
    <row r="10" spans="1:8" hidden="1" x14ac:dyDescent="0.3">
      <c r="A10" s="26">
        <v>45953</v>
      </c>
      <c r="B10" s="34" t="s">
        <v>1</v>
      </c>
      <c r="C10" s="24">
        <v>16.440000000000001</v>
      </c>
    </row>
    <row r="11" spans="1:8" hidden="1" x14ac:dyDescent="0.3">
      <c r="A11" s="26">
        <v>45957</v>
      </c>
      <c r="B11" s="27" t="s">
        <v>4</v>
      </c>
      <c r="C11" s="24">
        <v>-26.28</v>
      </c>
    </row>
    <row r="12" spans="1:8" hidden="1" x14ac:dyDescent="0.3">
      <c r="A12" s="26">
        <v>45960</v>
      </c>
      <c r="B12" s="34" t="s">
        <v>1</v>
      </c>
      <c r="C12" s="24">
        <v>12.42</v>
      </c>
    </row>
    <row r="13" spans="1:8" hidden="1" x14ac:dyDescent="0.3">
      <c r="A13" s="26">
        <v>45960</v>
      </c>
      <c r="B13" s="46" t="s">
        <v>1</v>
      </c>
      <c r="C13" s="24">
        <v>9.81</v>
      </c>
    </row>
    <row r="14" spans="1:8" hidden="1" x14ac:dyDescent="0.3">
      <c r="A14" s="26">
        <v>45966</v>
      </c>
      <c r="B14" s="27" t="s">
        <v>4</v>
      </c>
      <c r="C14" s="24">
        <v>-22.23</v>
      </c>
    </row>
    <row r="15" spans="1:8" hidden="1" x14ac:dyDescent="0.3">
      <c r="A15" s="26">
        <v>45967</v>
      </c>
      <c r="B15" s="34" t="s">
        <v>1</v>
      </c>
      <c r="C15" s="24">
        <v>52.94</v>
      </c>
    </row>
    <row r="16" spans="1:8" hidden="1" x14ac:dyDescent="0.3">
      <c r="A16" s="26">
        <v>45967</v>
      </c>
      <c r="B16" s="46" t="s">
        <v>1</v>
      </c>
      <c r="C16" s="24">
        <v>8.0399999999999991</v>
      </c>
    </row>
    <row r="17" spans="1:3" hidden="1" x14ac:dyDescent="0.3">
      <c r="A17" s="26">
        <v>45973</v>
      </c>
      <c r="B17" s="27" t="s">
        <v>4</v>
      </c>
      <c r="C17" s="24">
        <v>-60.98</v>
      </c>
    </row>
    <row r="18" spans="1:3" hidden="1" x14ac:dyDescent="0.3">
      <c r="A18" s="26">
        <v>45974</v>
      </c>
      <c r="B18" s="27" t="s">
        <v>1</v>
      </c>
      <c r="C18" s="24">
        <v>43.53</v>
      </c>
    </row>
    <row r="19" spans="1:3" hidden="1" x14ac:dyDescent="0.3">
      <c r="A19" s="26">
        <v>45981</v>
      </c>
      <c r="B19" s="27" t="s">
        <v>4</v>
      </c>
      <c r="C19" s="24">
        <v>-43.53</v>
      </c>
    </row>
    <row r="20" spans="1:3" hidden="1" x14ac:dyDescent="0.3">
      <c r="A20" s="26">
        <v>45981</v>
      </c>
      <c r="B20" s="27" t="s">
        <v>1</v>
      </c>
      <c r="C20" s="24">
        <v>23.99</v>
      </c>
    </row>
    <row r="21" spans="1:3" hidden="1" x14ac:dyDescent="0.3">
      <c r="A21" s="26">
        <v>45986</v>
      </c>
      <c r="B21" s="27" t="s">
        <v>4</v>
      </c>
      <c r="C21" s="24">
        <v>-23.99</v>
      </c>
    </row>
    <row r="22" spans="1:3" x14ac:dyDescent="0.3">
      <c r="A22" s="26">
        <v>45988</v>
      </c>
      <c r="B22" s="27" t="s">
        <v>1</v>
      </c>
      <c r="C22" s="24">
        <v>62.15</v>
      </c>
    </row>
    <row r="23" spans="1:3" x14ac:dyDescent="0.3">
      <c r="A23" s="26">
        <v>45994</v>
      </c>
      <c r="B23" s="27" t="s">
        <v>4</v>
      </c>
      <c r="C23" s="24">
        <v>-62.15</v>
      </c>
    </row>
    <row r="24" spans="1:3" x14ac:dyDescent="0.3">
      <c r="B24" s="32"/>
    </row>
    <row r="25" spans="1:3" x14ac:dyDescent="0.3">
      <c r="B25" s="34"/>
    </row>
    <row r="26" spans="1:3" x14ac:dyDescent="0.3">
      <c r="B26" s="46"/>
    </row>
    <row r="29" spans="1:3" x14ac:dyDescent="0.3">
      <c r="B29" s="32"/>
    </row>
    <row r="30" spans="1:3" x14ac:dyDescent="0.3">
      <c r="B30" s="34"/>
    </row>
    <row r="33" spans="2:2" x14ac:dyDescent="0.3">
      <c r="B33" s="32"/>
    </row>
    <row r="34" spans="2:2" x14ac:dyDescent="0.3">
      <c r="B34" s="34"/>
    </row>
    <row r="37" spans="2:2" x14ac:dyDescent="0.3">
      <c r="B37" s="32"/>
    </row>
    <row r="38" spans="2:2" x14ac:dyDescent="0.3">
      <c r="B38" s="34"/>
    </row>
    <row r="39" spans="2:2" x14ac:dyDescent="0.3">
      <c r="B39" s="46"/>
    </row>
    <row r="41" spans="2:2" x14ac:dyDescent="0.3">
      <c r="B41" s="32"/>
    </row>
    <row r="42" spans="2:2" x14ac:dyDescent="0.3">
      <c r="B42" s="34"/>
    </row>
    <row r="45" spans="2:2" x14ac:dyDescent="0.3">
      <c r="B45" s="32"/>
    </row>
    <row r="46" spans="2:2" x14ac:dyDescent="0.3">
      <c r="B46" s="34"/>
    </row>
    <row r="47" spans="2:2" x14ac:dyDescent="0.3">
      <c r="B47" s="46"/>
    </row>
    <row r="50" spans="2:2" x14ac:dyDescent="0.3">
      <c r="B50" s="32"/>
    </row>
    <row r="51" spans="2:2" x14ac:dyDescent="0.3">
      <c r="B51" s="34"/>
    </row>
    <row r="53" spans="2:2" x14ac:dyDescent="0.3">
      <c r="B53" s="34"/>
    </row>
    <row r="54" spans="2:2" x14ac:dyDescent="0.3">
      <c r="B54" s="46"/>
    </row>
    <row r="56" spans="2:2" x14ac:dyDescent="0.3">
      <c r="B56" s="32"/>
    </row>
    <row r="57" spans="2:2" x14ac:dyDescent="0.3">
      <c r="B57" s="34"/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3980-4523-498D-A2B7-D58310F45B79}">
  <dimension ref="A1:H16"/>
  <sheetViews>
    <sheetView view="pageBreakPreview" zoomScale="80" zoomScaleNormal="100" zoomScaleSheetLayoutView="80" workbookViewId="0">
      <selection activeCell="C17" sqref="C1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495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32.399999999999991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45972</v>
      </c>
      <c r="B5" s="27" t="s">
        <v>21</v>
      </c>
      <c r="C5" s="24">
        <v>25.4</v>
      </c>
      <c r="D5" s="30"/>
      <c r="E5" s="30"/>
      <c r="F5" s="30"/>
      <c r="G5" s="22"/>
    </row>
    <row r="6" spans="1:8" x14ac:dyDescent="0.3">
      <c r="A6" s="26">
        <v>45986</v>
      </c>
      <c r="B6" s="27" t="s">
        <v>4</v>
      </c>
      <c r="C6" s="24">
        <v>-25.4</v>
      </c>
    </row>
    <row r="7" spans="1:8" x14ac:dyDescent="0.3">
      <c r="A7" s="26">
        <v>45986</v>
      </c>
      <c r="B7" s="27" t="s">
        <v>1</v>
      </c>
      <c r="C7" s="24">
        <v>57.78</v>
      </c>
    </row>
    <row r="8" spans="1:8" x14ac:dyDescent="0.3">
      <c r="A8" s="26">
        <v>45996</v>
      </c>
      <c r="B8" s="27" t="s">
        <v>4</v>
      </c>
      <c r="C8" s="24">
        <v>-57.78</v>
      </c>
    </row>
    <row r="9" spans="1:8" x14ac:dyDescent="0.3">
      <c r="A9" s="26">
        <v>46000</v>
      </c>
      <c r="B9" s="27" t="s">
        <v>1</v>
      </c>
      <c r="C9" s="24">
        <v>71.239999999999995</v>
      </c>
    </row>
    <row r="10" spans="1:8" x14ac:dyDescent="0.3">
      <c r="A10" s="26">
        <v>46008</v>
      </c>
      <c r="B10" s="27" t="s">
        <v>4</v>
      </c>
      <c r="C10" s="24">
        <v>-69.069999999999993</v>
      </c>
    </row>
    <row r="11" spans="1:8" x14ac:dyDescent="0.3">
      <c r="A11" s="26">
        <v>46015</v>
      </c>
      <c r="B11" s="27" t="s">
        <v>1</v>
      </c>
      <c r="C11" s="24">
        <v>45.3</v>
      </c>
    </row>
    <row r="12" spans="1:8" x14ac:dyDescent="0.3">
      <c r="A12" s="26">
        <v>46028</v>
      </c>
      <c r="B12" s="27" t="s">
        <v>4</v>
      </c>
      <c r="C12" s="24">
        <v>-43.48</v>
      </c>
    </row>
    <row r="13" spans="1:8" x14ac:dyDescent="0.3">
      <c r="A13" s="26">
        <v>46028</v>
      </c>
      <c r="B13" s="27" t="s">
        <v>7</v>
      </c>
      <c r="C13" s="24">
        <v>-4</v>
      </c>
    </row>
    <row r="14" spans="1:8" x14ac:dyDescent="0.3">
      <c r="A14" s="26">
        <v>46028</v>
      </c>
      <c r="B14" s="27" t="s">
        <v>1</v>
      </c>
      <c r="C14" s="24">
        <v>136.01</v>
      </c>
    </row>
    <row r="15" spans="1:8" x14ac:dyDescent="0.3">
      <c r="A15" s="26">
        <v>46047</v>
      </c>
      <c r="B15" s="27" t="s">
        <v>4</v>
      </c>
      <c r="C15" s="24">
        <v>-135.99</v>
      </c>
    </row>
    <row r="16" spans="1:8" x14ac:dyDescent="0.3">
      <c r="A16" s="26">
        <v>46049</v>
      </c>
      <c r="B16" s="27" t="s">
        <v>1</v>
      </c>
      <c r="C16" s="24">
        <v>32.39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8950C-4424-4C78-9040-C1927C092B28}">
  <dimension ref="A1:H9"/>
  <sheetViews>
    <sheetView view="pageBreakPreview" zoomScale="80" zoomScaleNormal="100" zoomScaleSheetLayoutView="80" workbookViewId="0">
      <selection activeCell="C7" sqref="C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548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22.709999999999994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46050</v>
      </c>
      <c r="B5" s="31" t="s">
        <v>21</v>
      </c>
      <c r="C5" s="24">
        <v>67.709999999999994</v>
      </c>
      <c r="D5" s="30"/>
      <c r="E5" s="30"/>
      <c r="F5" s="30"/>
      <c r="G5" s="22"/>
    </row>
    <row r="6" spans="1:8" x14ac:dyDescent="0.3">
      <c r="A6" s="21">
        <v>46051</v>
      </c>
      <c r="B6" s="27" t="s">
        <v>4</v>
      </c>
      <c r="C6" s="24">
        <v>-45</v>
      </c>
    </row>
    <row r="7" spans="1:8" x14ac:dyDescent="0.3">
      <c r="A7" s="21"/>
      <c r="B7" s="31"/>
    </row>
    <row r="9" spans="1:8" x14ac:dyDescent="0.3">
      <c r="B9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406EE-7151-4E47-BBFD-202F7E5C37A8}">
  <dimension ref="A1:H16"/>
  <sheetViews>
    <sheetView view="pageBreakPreview" zoomScale="80" zoomScaleNormal="100" zoomScaleSheetLayoutView="80" workbookViewId="0">
      <selection sqref="A1:H4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431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432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-0.46000000000000085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45910</v>
      </c>
      <c r="B5" s="72" t="s">
        <v>21</v>
      </c>
      <c r="C5" s="24">
        <v>15.85</v>
      </c>
      <c r="D5" s="30"/>
      <c r="E5" s="30"/>
      <c r="F5" s="30"/>
      <c r="G5" s="22"/>
    </row>
    <row r="6" spans="1:8" x14ac:dyDescent="0.3">
      <c r="A6" s="21">
        <v>45939</v>
      </c>
      <c r="B6" s="27" t="s">
        <v>7</v>
      </c>
      <c r="C6" s="24">
        <v>-15.96</v>
      </c>
    </row>
    <row r="7" spans="1:8" x14ac:dyDescent="0.3">
      <c r="A7" s="21">
        <v>45945</v>
      </c>
      <c r="B7" s="72" t="s">
        <v>21</v>
      </c>
      <c r="C7" s="24">
        <v>10.3</v>
      </c>
    </row>
    <row r="8" spans="1:8" x14ac:dyDescent="0.3">
      <c r="A8" s="26">
        <v>45946</v>
      </c>
      <c r="B8" s="27" t="s">
        <v>7</v>
      </c>
      <c r="C8" s="24">
        <v>-10.3</v>
      </c>
    </row>
    <row r="9" spans="1:8" x14ac:dyDescent="0.3">
      <c r="A9" s="26">
        <v>45952</v>
      </c>
      <c r="B9" s="72" t="s">
        <v>21</v>
      </c>
      <c r="C9" s="24">
        <v>12.1</v>
      </c>
    </row>
    <row r="10" spans="1:8" x14ac:dyDescent="0.3">
      <c r="A10" s="26">
        <v>45959</v>
      </c>
      <c r="B10" s="27" t="s">
        <v>7</v>
      </c>
      <c r="C10" s="24">
        <v>-12.11</v>
      </c>
    </row>
    <row r="11" spans="1:8" x14ac:dyDescent="0.3">
      <c r="A11" s="26">
        <v>45973</v>
      </c>
      <c r="B11" s="27" t="s">
        <v>1</v>
      </c>
      <c r="C11" s="24">
        <v>39.700000000000003</v>
      </c>
    </row>
    <row r="12" spans="1:8" x14ac:dyDescent="0.3">
      <c r="A12" s="26">
        <v>46008</v>
      </c>
      <c r="B12" s="27" t="s">
        <v>4</v>
      </c>
      <c r="C12" s="24">
        <v>-40</v>
      </c>
    </row>
    <row r="13" spans="1:8" x14ac:dyDescent="0.3">
      <c r="A13" s="26">
        <v>46020</v>
      </c>
      <c r="B13" s="27" t="s">
        <v>1</v>
      </c>
      <c r="C13" s="24">
        <v>16.38</v>
      </c>
    </row>
    <row r="14" spans="1:8" x14ac:dyDescent="0.3">
      <c r="A14" s="26">
        <v>46029</v>
      </c>
      <c r="B14" s="27" t="s">
        <v>7</v>
      </c>
      <c r="C14" s="24">
        <v>-16.399999999999999</v>
      </c>
    </row>
    <row r="15" spans="1:8" x14ac:dyDescent="0.3">
      <c r="A15" s="26">
        <v>46029</v>
      </c>
      <c r="B15" s="27" t="s">
        <v>1</v>
      </c>
      <c r="C15" s="24">
        <v>24.06</v>
      </c>
    </row>
    <row r="16" spans="1:8" x14ac:dyDescent="0.3">
      <c r="A16" s="26">
        <v>46036</v>
      </c>
      <c r="B16" s="27" t="s">
        <v>7</v>
      </c>
      <c r="C16" s="24">
        <v>-24.08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21F2-2F35-4760-BF03-0574D67279B1}">
  <sheetPr codeName="Hoja125"/>
  <dimension ref="A1:H43"/>
  <sheetViews>
    <sheetView view="pageBreakPreview" zoomScale="80" zoomScaleNormal="100" zoomScaleSheetLayoutView="80" workbookViewId="0">
      <selection activeCell="C44" sqref="C44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108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109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131.32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x14ac:dyDescent="0.3">
      <c r="A5" s="21">
        <v>45815</v>
      </c>
      <c r="B5" s="31" t="s">
        <v>21</v>
      </c>
      <c r="C5" s="24">
        <v>41.6</v>
      </c>
      <c r="D5" s="30"/>
      <c r="E5" s="30"/>
      <c r="F5" s="30"/>
      <c r="G5" s="22"/>
    </row>
    <row r="6" spans="1:8" x14ac:dyDescent="0.3">
      <c r="A6" s="21">
        <v>45815</v>
      </c>
      <c r="B6" s="72" t="s">
        <v>1</v>
      </c>
      <c r="C6" s="24">
        <v>33.1</v>
      </c>
    </row>
    <row r="7" spans="1:8" x14ac:dyDescent="0.3">
      <c r="A7" s="21">
        <v>45815</v>
      </c>
      <c r="B7" s="73" t="s">
        <v>1</v>
      </c>
      <c r="C7" s="24">
        <f>184.3+1.2+1.32</f>
        <v>186.82</v>
      </c>
    </row>
    <row r="8" spans="1:8" x14ac:dyDescent="0.3">
      <c r="A8" s="26">
        <v>45820</v>
      </c>
      <c r="B8" s="72" t="s">
        <v>1</v>
      </c>
      <c r="C8" s="24">
        <v>35.53</v>
      </c>
    </row>
    <row r="9" spans="1:8" x14ac:dyDescent="0.3">
      <c r="A9" s="26">
        <v>45820</v>
      </c>
      <c r="B9" s="73" t="s">
        <v>1</v>
      </c>
      <c r="C9" s="24">
        <v>60.68</v>
      </c>
    </row>
    <row r="10" spans="1:8" x14ac:dyDescent="0.3">
      <c r="A10" s="26">
        <v>45820</v>
      </c>
      <c r="B10" s="74" t="s">
        <v>21</v>
      </c>
      <c r="C10" s="24">
        <v>10.76</v>
      </c>
    </row>
    <row r="11" spans="1:8" x14ac:dyDescent="0.3">
      <c r="A11" s="26">
        <v>45824</v>
      </c>
      <c r="B11" s="27" t="s">
        <v>4</v>
      </c>
      <c r="C11" s="24">
        <v>-258.98</v>
      </c>
    </row>
    <row r="12" spans="1:8" x14ac:dyDescent="0.3">
      <c r="A12" s="26">
        <v>45827</v>
      </c>
      <c r="B12" s="31" t="s">
        <v>1</v>
      </c>
      <c r="C12" s="24">
        <v>62.4</v>
      </c>
    </row>
    <row r="13" spans="1:8" x14ac:dyDescent="0.3">
      <c r="A13" s="26">
        <v>45827</v>
      </c>
      <c r="B13" s="73" t="s">
        <v>1</v>
      </c>
      <c r="C13" s="24">
        <v>119.56</v>
      </c>
    </row>
    <row r="14" spans="1:8" x14ac:dyDescent="0.3">
      <c r="A14" s="26">
        <v>45827</v>
      </c>
      <c r="B14" s="74" t="s">
        <v>21</v>
      </c>
      <c r="C14" s="24">
        <v>85.68</v>
      </c>
    </row>
    <row r="15" spans="1:8" x14ac:dyDescent="0.3">
      <c r="A15" s="26">
        <v>45828</v>
      </c>
      <c r="B15" s="27" t="s">
        <v>4</v>
      </c>
      <c r="C15" s="24">
        <v>-109.97</v>
      </c>
    </row>
    <row r="16" spans="1:8" x14ac:dyDescent="0.3">
      <c r="A16" s="26">
        <v>45833</v>
      </c>
      <c r="B16" s="27" t="s">
        <v>4</v>
      </c>
      <c r="C16" s="24">
        <v>-267.33</v>
      </c>
    </row>
    <row r="17" spans="1:3" x14ac:dyDescent="0.3">
      <c r="A17" s="26">
        <v>45834</v>
      </c>
      <c r="B17" s="27" t="s">
        <v>1</v>
      </c>
      <c r="C17" s="24">
        <v>62.4</v>
      </c>
    </row>
    <row r="18" spans="1:3" x14ac:dyDescent="0.3">
      <c r="A18" s="26">
        <v>45834</v>
      </c>
      <c r="B18" s="72" t="s">
        <v>1</v>
      </c>
      <c r="C18" s="24">
        <v>9.84</v>
      </c>
    </row>
    <row r="19" spans="1:3" x14ac:dyDescent="0.3">
      <c r="A19" s="26">
        <v>45834</v>
      </c>
      <c r="B19" s="73" t="s">
        <v>1</v>
      </c>
      <c r="C19" s="24">
        <v>220.36</v>
      </c>
    </row>
    <row r="20" spans="1:3" x14ac:dyDescent="0.3">
      <c r="A20" s="26">
        <v>45840</v>
      </c>
      <c r="B20" s="27" t="s">
        <v>4</v>
      </c>
      <c r="C20" s="24">
        <v>-233.99</v>
      </c>
    </row>
    <row r="21" spans="1:3" x14ac:dyDescent="0.3">
      <c r="A21" s="26">
        <v>45841</v>
      </c>
      <c r="B21" s="27" t="s">
        <v>1</v>
      </c>
      <c r="C21" s="24">
        <v>20.8</v>
      </c>
    </row>
    <row r="22" spans="1:3" x14ac:dyDescent="0.3">
      <c r="A22" s="26">
        <v>45841</v>
      </c>
      <c r="B22" s="72" t="s">
        <v>1</v>
      </c>
      <c r="C22" s="24">
        <v>17.64</v>
      </c>
    </row>
    <row r="23" spans="1:3" x14ac:dyDescent="0.3">
      <c r="A23" s="26">
        <v>45841</v>
      </c>
      <c r="B23" s="73" t="s">
        <v>1</v>
      </c>
      <c r="C23" s="24">
        <v>146.66</v>
      </c>
    </row>
    <row r="24" spans="1:3" x14ac:dyDescent="0.3">
      <c r="A24" s="26">
        <v>45845</v>
      </c>
      <c r="B24" s="27" t="s">
        <v>4</v>
      </c>
      <c r="C24" s="24">
        <v>-57.3</v>
      </c>
    </row>
    <row r="25" spans="1:3" x14ac:dyDescent="0.3">
      <c r="A25" s="26">
        <v>45848</v>
      </c>
      <c r="B25" s="27" t="s">
        <v>4</v>
      </c>
      <c r="C25" s="24">
        <v>-123.08</v>
      </c>
    </row>
    <row r="26" spans="1:3" x14ac:dyDescent="0.3">
      <c r="A26" s="26">
        <v>45849</v>
      </c>
      <c r="B26" s="27" t="s">
        <v>4</v>
      </c>
      <c r="C26" s="24">
        <v>-61.66</v>
      </c>
    </row>
    <row r="27" spans="1:3" x14ac:dyDescent="0.3">
      <c r="A27" s="26">
        <v>45848</v>
      </c>
      <c r="B27" s="73" t="s">
        <v>1</v>
      </c>
      <c r="C27" s="24">
        <v>82.08</v>
      </c>
    </row>
    <row r="28" spans="1:3" x14ac:dyDescent="0.3">
      <c r="A28" s="26">
        <v>45854</v>
      </c>
      <c r="B28" s="27" t="s">
        <v>4</v>
      </c>
      <c r="C28" s="24">
        <v>-82.07</v>
      </c>
    </row>
    <row r="29" spans="1:3" x14ac:dyDescent="0.3">
      <c r="A29" s="26">
        <v>45855</v>
      </c>
      <c r="B29" s="72" t="s">
        <v>1</v>
      </c>
      <c r="C29" s="24">
        <v>15.85</v>
      </c>
    </row>
    <row r="30" spans="1:3" x14ac:dyDescent="0.3">
      <c r="A30" s="26">
        <v>45855</v>
      </c>
      <c r="B30" s="73" t="s">
        <v>1</v>
      </c>
      <c r="C30" s="24">
        <v>210.12</v>
      </c>
    </row>
    <row r="31" spans="1:3" x14ac:dyDescent="0.3">
      <c r="A31" s="26">
        <v>45859</v>
      </c>
      <c r="B31" s="27" t="s">
        <v>4</v>
      </c>
      <c r="C31" s="24">
        <v>-267.56</v>
      </c>
    </row>
    <row r="32" spans="1:3" x14ac:dyDescent="0.3">
      <c r="A32" s="26">
        <v>45860</v>
      </c>
      <c r="B32" s="27" t="s">
        <v>1</v>
      </c>
      <c r="C32" s="24">
        <v>41.6</v>
      </c>
    </row>
    <row r="33" spans="1:3" x14ac:dyDescent="0.3">
      <c r="A33" s="26">
        <v>45862</v>
      </c>
      <c r="B33" s="27" t="s">
        <v>1</v>
      </c>
      <c r="C33" s="24">
        <v>62.4</v>
      </c>
    </row>
    <row r="34" spans="1:3" x14ac:dyDescent="0.3">
      <c r="A34" s="26">
        <v>45862</v>
      </c>
      <c r="B34" s="73" t="s">
        <v>1</v>
      </c>
      <c r="C34" s="24">
        <v>135.32</v>
      </c>
    </row>
    <row r="35" spans="1:3" x14ac:dyDescent="0.3">
      <c r="A35" s="26">
        <v>45862</v>
      </c>
      <c r="B35" s="72" t="s">
        <v>1</v>
      </c>
      <c r="C35" s="24">
        <v>24.84</v>
      </c>
    </row>
    <row r="36" spans="1:3" x14ac:dyDescent="0.3">
      <c r="A36" s="26">
        <v>45869</v>
      </c>
      <c r="B36" s="27" t="s">
        <v>1</v>
      </c>
      <c r="C36" s="24">
        <v>20.8</v>
      </c>
    </row>
    <row r="37" spans="1:3" x14ac:dyDescent="0.3">
      <c r="A37" s="26">
        <v>45869</v>
      </c>
      <c r="B37" s="73" t="s">
        <v>1</v>
      </c>
      <c r="C37" s="24">
        <v>110.52</v>
      </c>
    </row>
    <row r="38" spans="1:3" x14ac:dyDescent="0.3">
      <c r="A38" s="26">
        <v>45875</v>
      </c>
      <c r="B38" s="27" t="s">
        <v>4</v>
      </c>
      <c r="C38" s="24">
        <v>-224.1</v>
      </c>
    </row>
    <row r="39" spans="1:3" x14ac:dyDescent="0.3">
      <c r="A39" s="26">
        <v>45876</v>
      </c>
      <c r="B39" s="73" t="s">
        <v>1</v>
      </c>
      <c r="C39" s="24">
        <v>49.8</v>
      </c>
    </row>
    <row r="40" spans="1:3" x14ac:dyDescent="0.3">
      <c r="A40" s="26">
        <v>45883</v>
      </c>
      <c r="B40" s="27" t="s">
        <v>1</v>
      </c>
      <c r="C40" s="24">
        <v>62.4</v>
      </c>
    </row>
    <row r="41" spans="1:3" x14ac:dyDescent="0.3">
      <c r="A41" s="26">
        <v>45883</v>
      </c>
      <c r="B41" s="73" t="s">
        <v>1</v>
      </c>
      <c r="C41" s="24">
        <v>54.96</v>
      </c>
    </row>
    <row r="42" spans="1:3" x14ac:dyDescent="0.3">
      <c r="A42" s="26">
        <v>45957</v>
      </c>
      <c r="B42" s="27" t="s">
        <v>4</v>
      </c>
      <c r="C42" s="24">
        <v>-117.36</v>
      </c>
    </row>
    <row r="43" spans="1:3" x14ac:dyDescent="0.3">
      <c r="A43" s="26">
        <v>46006</v>
      </c>
      <c r="B43" s="27" t="s">
        <v>4</v>
      </c>
      <c r="C43" s="24">
        <v>-49.8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E2838-1164-414C-89CB-53C815F89E04}">
  <dimension ref="A1:I87"/>
  <sheetViews>
    <sheetView view="pageBreakPreview" zoomScale="80" zoomScaleNormal="100" zoomScaleSheetLayoutView="80" workbookViewId="0">
      <selection activeCell="D88" sqref="D8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390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277.12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45868</v>
      </c>
      <c r="B5" s="32" t="s">
        <v>21</v>
      </c>
      <c r="C5" s="24">
        <v>48.19</v>
      </c>
      <c r="D5" s="30"/>
      <c r="E5" s="30"/>
      <c r="F5" s="30"/>
      <c r="G5" s="22"/>
    </row>
    <row r="6" spans="1:9" hidden="1" x14ac:dyDescent="0.3">
      <c r="A6" s="21">
        <v>45868</v>
      </c>
      <c r="B6" s="34" t="s">
        <v>1</v>
      </c>
      <c r="C6" s="24">
        <v>111.33</v>
      </c>
    </row>
    <row r="7" spans="1:9" hidden="1" x14ac:dyDescent="0.3">
      <c r="A7" s="26">
        <v>45869</v>
      </c>
      <c r="B7" s="27" t="s">
        <v>4</v>
      </c>
      <c r="C7" s="24">
        <v>-159</v>
      </c>
    </row>
    <row r="8" spans="1:9" hidden="1" x14ac:dyDescent="0.3">
      <c r="A8" s="26">
        <v>45875</v>
      </c>
      <c r="B8" s="32" t="s">
        <v>21</v>
      </c>
      <c r="C8" s="24">
        <v>15.85</v>
      </c>
    </row>
    <row r="9" spans="1:9" hidden="1" x14ac:dyDescent="0.3">
      <c r="A9" s="26">
        <v>45875</v>
      </c>
      <c r="B9" s="34" t="s">
        <v>1</v>
      </c>
      <c r="C9" s="24">
        <v>209.34</v>
      </c>
      <c r="I9" s="25"/>
    </row>
    <row r="10" spans="1:9" hidden="1" x14ac:dyDescent="0.3">
      <c r="A10" s="26">
        <v>45882</v>
      </c>
      <c r="B10" s="27" t="s">
        <v>7</v>
      </c>
      <c r="C10" s="24">
        <v>-205.77</v>
      </c>
    </row>
    <row r="11" spans="1:9" hidden="1" x14ac:dyDescent="0.3">
      <c r="A11" s="26">
        <v>45882</v>
      </c>
      <c r="B11" s="32" t="s">
        <v>21</v>
      </c>
      <c r="C11" s="24">
        <v>15.85</v>
      </c>
    </row>
    <row r="12" spans="1:9" hidden="1" x14ac:dyDescent="0.3">
      <c r="A12" s="26">
        <v>45882</v>
      </c>
      <c r="B12" s="34" t="s">
        <v>1</v>
      </c>
      <c r="C12" s="24">
        <v>128.26</v>
      </c>
    </row>
    <row r="13" spans="1:9" hidden="1" x14ac:dyDescent="0.3">
      <c r="A13" s="26">
        <v>45887</v>
      </c>
      <c r="B13" s="27" t="s">
        <v>4</v>
      </c>
      <c r="C13" s="24">
        <v>-20</v>
      </c>
    </row>
    <row r="14" spans="1:9" hidden="1" x14ac:dyDescent="0.3">
      <c r="A14" s="26">
        <v>45889</v>
      </c>
      <c r="B14" s="27" t="s">
        <v>4</v>
      </c>
      <c r="C14" s="24">
        <v>-100</v>
      </c>
    </row>
    <row r="15" spans="1:9" hidden="1" x14ac:dyDescent="0.3">
      <c r="A15" s="26">
        <v>45889</v>
      </c>
      <c r="B15" s="27" t="s">
        <v>7</v>
      </c>
      <c r="C15" s="24">
        <v>-44.16</v>
      </c>
    </row>
    <row r="16" spans="1:9" hidden="1" x14ac:dyDescent="0.3">
      <c r="A16" s="26">
        <v>45889</v>
      </c>
      <c r="B16" s="32" t="s">
        <v>21</v>
      </c>
      <c r="C16" s="24">
        <v>34.69</v>
      </c>
    </row>
    <row r="17" spans="1:3" hidden="1" x14ac:dyDescent="0.3">
      <c r="A17" s="26">
        <v>45889</v>
      </c>
      <c r="B17" s="34" t="s">
        <v>1</v>
      </c>
      <c r="C17" s="24">
        <v>177.94</v>
      </c>
    </row>
    <row r="18" spans="1:3" hidden="1" x14ac:dyDescent="0.3">
      <c r="A18" s="26">
        <v>45889</v>
      </c>
      <c r="B18" s="46" t="s">
        <v>1</v>
      </c>
      <c r="C18" s="24">
        <v>44.38</v>
      </c>
    </row>
    <row r="19" spans="1:3" hidden="1" x14ac:dyDescent="0.3">
      <c r="A19" s="26">
        <v>45896</v>
      </c>
      <c r="B19" s="27" t="s">
        <v>4</v>
      </c>
      <c r="C19" s="24">
        <v>-237.77</v>
      </c>
    </row>
    <row r="20" spans="1:3" hidden="1" x14ac:dyDescent="0.3">
      <c r="A20" s="26">
        <v>45896</v>
      </c>
      <c r="B20" s="27" t="s">
        <v>7</v>
      </c>
      <c r="C20" s="24">
        <v>-19.25</v>
      </c>
    </row>
    <row r="21" spans="1:3" hidden="1" x14ac:dyDescent="0.3">
      <c r="A21" s="26">
        <v>45896</v>
      </c>
      <c r="B21" s="32" t="s">
        <v>1</v>
      </c>
      <c r="C21" s="24">
        <v>45.19</v>
      </c>
    </row>
    <row r="22" spans="1:3" hidden="1" x14ac:dyDescent="0.3">
      <c r="A22" s="26">
        <v>45896</v>
      </c>
      <c r="B22" s="34" t="s">
        <v>1</v>
      </c>
      <c r="C22" s="24">
        <v>181.75</v>
      </c>
    </row>
    <row r="23" spans="1:3" hidden="1" x14ac:dyDescent="0.3">
      <c r="A23" s="26">
        <v>45903</v>
      </c>
      <c r="B23" s="27" t="s">
        <v>4</v>
      </c>
      <c r="C23" s="24">
        <v>-226.93</v>
      </c>
    </row>
    <row r="24" spans="1:3" hidden="1" x14ac:dyDescent="0.3">
      <c r="A24" s="26">
        <v>45903</v>
      </c>
      <c r="B24" s="32" t="s">
        <v>1</v>
      </c>
      <c r="C24" s="24">
        <v>49.69</v>
      </c>
    </row>
    <row r="25" spans="1:3" hidden="1" x14ac:dyDescent="0.3">
      <c r="A25" s="26">
        <v>45903</v>
      </c>
      <c r="B25" s="34" t="s">
        <v>1</v>
      </c>
      <c r="C25" s="24">
        <v>140.01</v>
      </c>
    </row>
    <row r="26" spans="1:3" hidden="1" x14ac:dyDescent="0.3">
      <c r="A26" s="26">
        <v>45910</v>
      </c>
      <c r="B26" s="27" t="s">
        <v>7</v>
      </c>
      <c r="C26" s="24">
        <v>-189.68</v>
      </c>
    </row>
    <row r="27" spans="1:3" hidden="1" x14ac:dyDescent="0.3">
      <c r="A27" s="26">
        <v>45910</v>
      </c>
      <c r="B27" s="32" t="s">
        <v>1</v>
      </c>
      <c r="C27" s="24">
        <v>34.69</v>
      </c>
    </row>
    <row r="28" spans="1:3" hidden="1" x14ac:dyDescent="0.3">
      <c r="A28" s="26">
        <v>45910</v>
      </c>
      <c r="B28" s="34" t="s">
        <v>1</v>
      </c>
      <c r="C28" s="24">
        <v>60.99</v>
      </c>
    </row>
    <row r="29" spans="1:3" hidden="1" x14ac:dyDescent="0.3">
      <c r="A29" s="26">
        <v>45917</v>
      </c>
      <c r="B29" s="27" t="s">
        <v>7</v>
      </c>
      <c r="C29" s="24">
        <v>-86.1</v>
      </c>
    </row>
    <row r="30" spans="1:3" hidden="1" x14ac:dyDescent="0.3">
      <c r="A30" s="26">
        <v>45917</v>
      </c>
      <c r="B30" s="32" t="s">
        <v>1</v>
      </c>
      <c r="C30" s="24">
        <v>25.69</v>
      </c>
    </row>
    <row r="31" spans="1:3" hidden="1" x14ac:dyDescent="0.3">
      <c r="A31" s="26">
        <v>45917</v>
      </c>
      <c r="B31" s="34" t="s">
        <v>1</v>
      </c>
      <c r="C31" s="24">
        <v>165.02</v>
      </c>
    </row>
    <row r="32" spans="1:3" hidden="1" x14ac:dyDescent="0.3">
      <c r="A32" s="26">
        <v>45924</v>
      </c>
      <c r="B32" s="27" t="s">
        <v>7</v>
      </c>
      <c r="C32" s="24">
        <v>-190.96</v>
      </c>
    </row>
    <row r="33" spans="1:3" hidden="1" x14ac:dyDescent="0.3">
      <c r="A33" s="26">
        <v>45924</v>
      </c>
      <c r="B33" s="32" t="s">
        <v>1</v>
      </c>
      <c r="C33" s="24">
        <v>49.69</v>
      </c>
    </row>
    <row r="34" spans="1:3" hidden="1" x14ac:dyDescent="0.3">
      <c r="A34" s="26">
        <v>45924</v>
      </c>
      <c r="B34" s="34" t="s">
        <v>1</v>
      </c>
      <c r="C34" s="24">
        <v>155.55000000000001</v>
      </c>
    </row>
    <row r="35" spans="1:3" hidden="1" x14ac:dyDescent="0.3">
      <c r="A35" s="26">
        <v>45931</v>
      </c>
      <c r="B35" s="27" t="s">
        <v>7</v>
      </c>
      <c r="C35" s="24">
        <v>-213.07</v>
      </c>
    </row>
    <row r="36" spans="1:3" hidden="1" x14ac:dyDescent="0.3">
      <c r="A36" s="26">
        <v>45931</v>
      </c>
      <c r="B36" s="32" t="s">
        <v>1</v>
      </c>
      <c r="C36" s="24">
        <v>40.69</v>
      </c>
    </row>
    <row r="37" spans="1:3" hidden="1" x14ac:dyDescent="0.3">
      <c r="A37" s="26">
        <v>45931</v>
      </c>
      <c r="B37" s="34" t="s">
        <v>1</v>
      </c>
      <c r="C37" s="24">
        <v>169.12</v>
      </c>
    </row>
    <row r="38" spans="1:3" hidden="1" x14ac:dyDescent="0.3">
      <c r="A38" s="26">
        <v>45938</v>
      </c>
      <c r="B38" s="27" t="s">
        <v>7</v>
      </c>
      <c r="C38" s="24">
        <v>-217.89</v>
      </c>
    </row>
    <row r="39" spans="1:3" hidden="1" x14ac:dyDescent="0.3">
      <c r="A39" s="26">
        <v>45938</v>
      </c>
      <c r="B39" s="32" t="s">
        <v>1</v>
      </c>
      <c r="C39" s="24">
        <v>25.38</v>
      </c>
    </row>
    <row r="40" spans="1:3" hidden="1" x14ac:dyDescent="0.3">
      <c r="A40" s="26">
        <v>45938</v>
      </c>
      <c r="B40" s="34" t="s">
        <v>1</v>
      </c>
      <c r="C40" s="24">
        <v>171.8</v>
      </c>
    </row>
    <row r="41" spans="1:3" hidden="1" x14ac:dyDescent="0.3">
      <c r="A41" s="26">
        <v>45938</v>
      </c>
      <c r="B41" s="46" t="s">
        <v>1</v>
      </c>
      <c r="C41" s="24">
        <v>38.28</v>
      </c>
    </row>
    <row r="42" spans="1:3" hidden="1" x14ac:dyDescent="0.3">
      <c r="A42" s="26">
        <v>45945</v>
      </c>
      <c r="B42" s="27" t="s">
        <v>7</v>
      </c>
      <c r="C42" s="24">
        <v>-228.79</v>
      </c>
    </row>
    <row r="43" spans="1:3" hidden="1" x14ac:dyDescent="0.3">
      <c r="A43" s="26">
        <v>45945</v>
      </c>
      <c r="B43" s="32" t="s">
        <v>1</v>
      </c>
      <c r="C43" s="24">
        <v>86.1</v>
      </c>
    </row>
    <row r="44" spans="1:3" hidden="1" x14ac:dyDescent="0.3">
      <c r="A44" s="26">
        <v>45945</v>
      </c>
      <c r="B44" s="34" t="s">
        <v>1</v>
      </c>
      <c r="C44" s="24">
        <v>116.65</v>
      </c>
    </row>
    <row r="45" spans="1:3" hidden="1" x14ac:dyDescent="0.3">
      <c r="A45" s="26">
        <v>45945</v>
      </c>
      <c r="B45" s="46" t="s">
        <v>1</v>
      </c>
      <c r="C45" s="24">
        <v>10.38</v>
      </c>
    </row>
    <row r="46" spans="1:3" hidden="1" x14ac:dyDescent="0.3">
      <c r="A46" s="26">
        <v>45952</v>
      </c>
      <c r="B46" s="27" t="s">
        <v>7</v>
      </c>
      <c r="C46" s="24">
        <v>-213.13</v>
      </c>
    </row>
    <row r="47" spans="1:3" x14ac:dyDescent="0.3">
      <c r="A47" s="26">
        <v>45952</v>
      </c>
      <c r="B47" s="32" t="s">
        <v>1</v>
      </c>
      <c r="C47" s="24">
        <v>9.84</v>
      </c>
    </row>
    <row r="48" spans="1:3" x14ac:dyDescent="0.3">
      <c r="A48" s="26">
        <v>45952</v>
      </c>
      <c r="B48" s="34" t="s">
        <v>1</v>
      </c>
      <c r="C48" s="24">
        <v>177.52</v>
      </c>
    </row>
    <row r="49" spans="1:3" x14ac:dyDescent="0.3">
      <c r="A49" s="26">
        <v>45952</v>
      </c>
      <c r="B49" s="46" t="s">
        <v>1</v>
      </c>
      <c r="C49" s="24">
        <v>20.76</v>
      </c>
    </row>
    <row r="50" spans="1:3" x14ac:dyDescent="0.3">
      <c r="A50" s="26">
        <v>45959</v>
      </c>
      <c r="B50" s="32" t="s">
        <v>1</v>
      </c>
      <c r="C50" s="24">
        <v>38.22</v>
      </c>
    </row>
    <row r="51" spans="1:3" x14ac:dyDescent="0.3">
      <c r="A51" s="26">
        <v>45959</v>
      </c>
      <c r="B51" s="34" t="s">
        <v>1</v>
      </c>
      <c r="C51" s="24">
        <v>78.459999999999994</v>
      </c>
    </row>
    <row r="52" spans="1:3" x14ac:dyDescent="0.3">
      <c r="A52" s="26">
        <v>45965</v>
      </c>
      <c r="B52" s="27" t="s">
        <v>4</v>
      </c>
      <c r="C52" s="24">
        <v>-40.68</v>
      </c>
    </row>
    <row r="53" spans="1:3" x14ac:dyDescent="0.3">
      <c r="A53" s="26">
        <v>45965</v>
      </c>
      <c r="B53" s="27" t="s">
        <v>4</v>
      </c>
      <c r="C53" s="24">
        <v>-106.71</v>
      </c>
    </row>
    <row r="54" spans="1:3" x14ac:dyDescent="0.3">
      <c r="A54" s="26">
        <v>45966</v>
      </c>
      <c r="B54" s="27" t="s">
        <v>4</v>
      </c>
      <c r="C54" s="24">
        <v>-57.24</v>
      </c>
    </row>
    <row r="55" spans="1:3" x14ac:dyDescent="0.3">
      <c r="A55" s="26">
        <v>45966</v>
      </c>
      <c r="B55" s="27" t="s">
        <v>7</v>
      </c>
      <c r="C55" s="24">
        <v>-116.68</v>
      </c>
    </row>
    <row r="56" spans="1:3" x14ac:dyDescent="0.3">
      <c r="A56" s="26">
        <v>45966</v>
      </c>
      <c r="B56" s="32" t="s">
        <v>1</v>
      </c>
      <c r="C56" s="24">
        <v>30.72</v>
      </c>
    </row>
    <row r="57" spans="1:3" x14ac:dyDescent="0.3">
      <c r="A57" s="26">
        <v>45966</v>
      </c>
      <c r="B57" s="34" t="s">
        <v>1</v>
      </c>
      <c r="C57" s="24">
        <v>237.49</v>
      </c>
    </row>
    <row r="58" spans="1:3" x14ac:dyDescent="0.3">
      <c r="A58" s="26">
        <v>45966</v>
      </c>
      <c r="B58" s="46" t="s">
        <v>1</v>
      </c>
      <c r="C58" s="24">
        <v>12.76</v>
      </c>
    </row>
    <row r="59" spans="1:3" x14ac:dyDescent="0.3">
      <c r="A59" s="26">
        <v>45973</v>
      </c>
      <c r="B59" s="27" t="s">
        <v>7</v>
      </c>
      <c r="C59" s="24">
        <v>-223.75</v>
      </c>
    </row>
    <row r="60" spans="1:3" x14ac:dyDescent="0.3">
      <c r="A60" s="26">
        <v>45973</v>
      </c>
      <c r="B60" s="27" t="s">
        <v>1</v>
      </c>
      <c r="C60" s="24">
        <v>262.83999999999997</v>
      </c>
    </row>
    <row r="61" spans="1:3" x14ac:dyDescent="0.3">
      <c r="A61" s="26">
        <v>45980</v>
      </c>
      <c r="B61" s="27" t="s">
        <v>4</v>
      </c>
      <c r="C61" s="24">
        <v>-125</v>
      </c>
    </row>
    <row r="62" spans="1:3" x14ac:dyDescent="0.3">
      <c r="A62" s="26">
        <v>45980</v>
      </c>
      <c r="B62" s="27" t="s">
        <v>1</v>
      </c>
      <c r="C62" s="24">
        <v>284.58</v>
      </c>
    </row>
    <row r="63" spans="1:3" x14ac:dyDescent="0.3">
      <c r="A63" s="26">
        <v>45986</v>
      </c>
      <c r="B63" s="27" t="s">
        <v>4</v>
      </c>
      <c r="C63" s="24">
        <v>-50.18</v>
      </c>
    </row>
    <row r="64" spans="1:3" x14ac:dyDescent="0.3">
      <c r="A64" s="26">
        <v>45986</v>
      </c>
      <c r="B64" s="27" t="s">
        <v>7</v>
      </c>
      <c r="C64" s="24">
        <v>-100</v>
      </c>
    </row>
    <row r="65" spans="1:3" x14ac:dyDescent="0.3">
      <c r="A65" s="26">
        <v>45987</v>
      </c>
      <c r="B65" s="27" t="s">
        <v>4</v>
      </c>
      <c r="C65" s="24">
        <v>-268.2</v>
      </c>
    </row>
    <row r="66" spans="1:3" x14ac:dyDescent="0.3">
      <c r="A66" s="26">
        <v>45987</v>
      </c>
      <c r="B66" s="27" t="s">
        <v>1</v>
      </c>
      <c r="C66" s="24">
        <v>162.12</v>
      </c>
    </row>
    <row r="67" spans="1:3" x14ac:dyDescent="0.3">
      <c r="A67" s="26">
        <v>45993</v>
      </c>
      <c r="B67" s="27" t="s">
        <v>4</v>
      </c>
      <c r="C67" s="24">
        <v>-162.12</v>
      </c>
    </row>
    <row r="68" spans="1:3" x14ac:dyDescent="0.3">
      <c r="A68" s="26">
        <v>45993</v>
      </c>
      <c r="B68" s="27" t="s">
        <v>4</v>
      </c>
      <c r="C68" s="24">
        <v>-80.87</v>
      </c>
    </row>
    <row r="69" spans="1:3" x14ac:dyDescent="0.3">
      <c r="A69" s="26">
        <v>45994</v>
      </c>
      <c r="B69" s="27" t="s">
        <v>1</v>
      </c>
      <c r="C69" s="24">
        <v>301.12</v>
      </c>
    </row>
    <row r="70" spans="1:3" x14ac:dyDescent="0.3">
      <c r="A70" s="26">
        <v>45995</v>
      </c>
      <c r="B70" s="27" t="s">
        <v>1</v>
      </c>
      <c r="C70" s="24">
        <v>16.510000000000002</v>
      </c>
    </row>
    <row r="71" spans="1:3" x14ac:dyDescent="0.3">
      <c r="A71" s="26">
        <v>46001</v>
      </c>
      <c r="B71" s="27" t="s">
        <v>4</v>
      </c>
      <c r="C71" s="24">
        <v>-210.12</v>
      </c>
    </row>
    <row r="72" spans="1:3" x14ac:dyDescent="0.3">
      <c r="A72" s="26">
        <v>46001</v>
      </c>
      <c r="B72" s="27" t="s">
        <v>7</v>
      </c>
      <c r="C72" s="24">
        <v>-91</v>
      </c>
    </row>
    <row r="73" spans="1:3" x14ac:dyDescent="0.3">
      <c r="A73" s="26">
        <v>46001</v>
      </c>
      <c r="B73" s="27" t="s">
        <v>1</v>
      </c>
      <c r="C73" s="24">
        <v>394.66</v>
      </c>
    </row>
    <row r="74" spans="1:3" x14ac:dyDescent="0.3">
      <c r="A74" s="26">
        <v>46008</v>
      </c>
      <c r="B74" s="27" t="s">
        <v>1</v>
      </c>
      <c r="C74" s="24">
        <v>352.24</v>
      </c>
    </row>
    <row r="75" spans="1:3" x14ac:dyDescent="0.3">
      <c r="A75" s="26">
        <v>46012</v>
      </c>
      <c r="B75" s="27" t="s">
        <v>4</v>
      </c>
      <c r="C75" s="24">
        <v>-394.66</v>
      </c>
    </row>
    <row r="76" spans="1:3" x14ac:dyDescent="0.3">
      <c r="A76" s="26">
        <v>46021</v>
      </c>
      <c r="B76" s="27" t="s">
        <v>4</v>
      </c>
      <c r="C76" s="24">
        <v>-240</v>
      </c>
    </row>
    <row r="77" spans="1:3" x14ac:dyDescent="0.3">
      <c r="A77" s="26">
        <v>46021</v>
      </c>
      <c r="B77" s="27" t="s">
        <v>4</v>
      </c>
      <c r="C77" s="24">
        <v>-112.63</v>
      </c>
    </row>
    <row r="78" spans="1:3" x14ac:dyDescent="0.3">
      <c r="A78" s="26">
        <v>46021</v>
      </c>
      <c r="B78" s="27" t="s">
        <v>1</v>
      </c>
      <c r="C78" s="24">
        <v>256.54000000000002</v>
      </c>
    </row>
    <row r="79" spans="1:3" x14ac:dyDescent="0.3">
      <c r="A79" s="26">
        <v>46027</v>
      </c>
      <c r="B79" s="27" t="s">
        <v>4</v>
      </c>
      <c r="C79" s="24">
        <v>-256.54000000000002</v>
      </c>
    </row>
    <row r="80" spans="1:3" x14ac:dyDescent="0.3">
      <c r="A80" s="26">
        <v>46029</v>
      </c>
      <c r="B80" s="27" t="s">
        <v>1</v>
      </c>
      <c r="C80" s="24">
        <v>254.95</v>
      </c>
    </row>
    <row r="81" spans="1:4" x14ac:dyDescent="0.3">
      <c r="A81" s="26">
        <v>46035</v>
      </c>
      <c r="B81" s="27" t="s">
        <v>4</v>
      </c>
      <c r="C81" s="24">
        <v>-254.95</v>
      </c>
    </row>
    <row r="82" spans="1:4" x14ac:dyDescent="0.3">
      <c r="A82" s="26">
        <v>46036</v>
      </c>
      <c r="B82" s="27" t="s">
        <v>1</v>
      </c>
      <c r="C82" s="24">
        <v>287.82</v>
      </c>
      <c r="D82" s="25">
        <v>1</v>
      </c>
    </row>
    <row r="83" spans="1:4" x14ac:dyDescent="0.3">
      <c r="A83" s="26">
        <v>46043</v>
      </c>
      <c r="B83" s="27" t="s">
        <v>4</v>
      </c>
      <c r="C83" s="24">
        <v>-260</v>
      </c>
    </row>
    <row r="84" spans="1:4" x14ac:dyDescent="0.3">
      <c r="A84" s="26">
        <v>46043</v>
      </c>
      <c r="B84" s="27" t="s">
        <v>1</v>
      </c>
      <c r="C84" s="24">
        <v>254.84</v>
      </c>
    </row>
    <row r="85" spans="1:4" x14ac:dyDescent="0.3">
      <c r="A85" s="26">
        <v>46045</v>
      </c>
      <c r="B85" s="27" t="s">
        <v>4</v>
      </c>
      <c r="C85" s="24">
        <v>-37.82</v>
      </c>
    </row>
    <row r="86" spans="1:4" x14ac:dyDescent="0.3">
      <c r="A86" s="26">
        <v>46050</v>
      </c>
      <c r="B86" s="27" t="s">
        <v>4</v>
      </c>
      <c r="C86" s="24">
        <v>-254.84</v>
      </c>
    </row>
    <row r="87" spans="1:4" x14ac:dyDescent="0.3">
      <c r="A87" s="26">
        <v>46050</v>
      </c>
      <c r="B87" s="27" t="s">
        <v>1</v>
      </c>
      <c r="C87" s="24">
        <v>287.12</v>
      </c>
      <c r="D87" s="25">
        <v>-1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4F018-B2F2-4C37-830F-0283A5A6D695}">
  <sheetPr codeName="Hoja126"/>
  <dimension ref="A1:I88"/>
  <sheetViews>
    <sheetView view="pageBreakPreview" zoomScale="85" zoomScaleNormal="100" zoomScaleSheetLayoutView="85" workbookViewId="0">
      <selection activeCell="C89" sqref="C8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52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 t="s">
        <v>152</v>
      </c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50.650000000000027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45813</v>
      </c>
      <c r="B5" s="31" t="s">
        <v>21</v>
      </c>
      <c r="C5" s="24">
        <v>41.6</v>
      </c>
      <c r="D5" s="30"/>
      <c r="E5" s="30"/>
      <c r="F5" s="30"/>
      <c r="G5" s="22"/>
    </row>
    <row r="6" spans="1:9" hidden="1" x14ac:dyDescent="0.3">
      <c r="A6" s="21">
        <v>45813</v>
      </c>
      <c r="B6" s="34" t="s">
        <v>21</v>
      </c>
      <c r="C6" s="24">
        <v>37.049999999999997</v>
      </c>
    </row>
    <row r="7" spans="1:9" hidden="1" x14ac:dyDescent="0.3">
      <c r="A7" s="26">
        <v>45817</v>
      </c>
      <c r="B7" s="27" t="s">
        <v>4</v>
      </c>
      <c r="C7" s="24">
        <v>-78.650000000000006</v>
      </c>
    </row>
    <row r="8" spans="1:9" hidden="1" x14ac:dyDescent="0.3">
      <c r="A8" s="26">
        <v>45818</v>
      </c>
      <c r="B8" s="34" t="s">
        <v>21</v>
      </c>
      <c r="C8" s="24">
        <v>43.3</v>
      </c>
    </row>
    <row r="9" spans="1:9" hidden="1" x14ac:dyDescent="0.3">
      <c r="A9" s="26">
        <v>45821</v>
      </c>
      <c r="B9" s="27" t="s">
        <v>4</v>
      </c>
      <c r="C9" s="24">
        <v>-43.76</v>
      </c>
      <c r="I9" s="25"/>
    </row>
    <row r="10" spans="1:9" hidden="1" x14ac:dyDescent="0.3">
      <c r="A10" s="26">
        <v>45825</v>
      </c>
      <c r="B10" s="34" t="s">
        <v>21</v>
      </c>
      <c r="C10" s="24">
        <v>60.88</v>
      </c>
    </row>
    <row r="11" spans="1:9" hidden="1" x14ac:dyDescent="0.3">
      <c r="A11" s="26">
        <v>45825</v>
      </c>
      <c r="B11" s="46" t="s">
        <v>21</v>
      </c>
      <c r="C11" s="24">
        <v>23.52</v>
      </c>
    </row>
    <row r="12" spans="1:9" hidden="1" x14ac:dyDescent="0.3">
      <c r="A12" s="26">
        <v>45832</v>
      </c>
      <c r="B12" s="31" t="s">
        <v>4</v>
      </c>
      <c r="C12" s="24">
        <v>-84.4</v>
      </c>
    </row>
    <row r="13" spans="1:9" hidden="1" x14ac:dyDescent="0.3">
      <c r="A13" s="26">
        <v>45832</v>
      </c>
      <c r="B13" s="27" t="s">
        <v>1</v>
      </c>
      <c r="C13" s="24">
        <v>20.8</v>
      </c>
    </row>
    <row r="14" spans="1:9" hidden="1" x14ac:dyDescent="0.3">
      <c r="A14" s="26">
        <v>45832</v>
      </c>
      <c r="B14" s="34" t="s">
        <v>21</v>
      </c>
      <c r="C14" s="24">
        <v>34.49</v>
      </c>
    </row>
    <row r="15" spans="1:9" hidden="1" x14ac:dyDescent="0.3">
      <c r="A15" s="26">
        <v>45833</v>
      </c>
      <c r="B15" s="27" t="s">
        <v>4</v>
      </c>
      <c r="C15" s="24">
        <v>-55.29</v>
      </c>
    </row>
    <row r="16" spans="1:9" hidden="1" x14ac:dyDescent="0.3">
      <c r="A16" s="26">
        <v>45839</v>
      </c>
      <c r="B16" s="32" t="s">
        <v>21</v>
      </c>
      <c r="C16" s="24">
        <v>17.34</v>
      </c>
    </row>
    <row r="17" spans="1:3" hidden="1" x14ac:dyDescent="0.3">
      <c r="A17" s="26">
        <v>45839</v>
      </c>
      <c r="B17" s="34" t="s">
        <v>21</v>
      </c>
      <c r="C17" s="24">
        <v>16.48</v>
      </c>
    </row>
    <row r="18" spans="1:3" hidden="1" x14ac:dyDescent="0.3">
      <c r="A18" s="26">
        <v>45839</v>
      </c>
      <c r="B18" s="46" t="s">
        <v>21</v>
      </c>
      <c r="C18" s="24">
        <v>12.84</v>
      </c>
    </row>
    <row r="19" spans="1:3" hidden="1" x14ac:dyDescent="0.3">
      <c r="A19" s="26">
        <v>45840</v>
      </c>
      <c r="B19" s="27" t="s">
        <v>4</v>
      </c>
      <c r="C19" s="24">
        <v>-46.66</v>
      </c>
    </row>
    <row r="20" spans="1:3" hidden="1" x14ac:dyDescent="0.3">
      <c r="A20" s="26">
        <v>45846</v>
      </c>
      <c r="B20" s="27" t="s">
        <v>1</v>
      </c>
      <c r="C20" s="24">
        <v>20.350000000000001</v>
      </c>
    </row>
    <row r="21" spans="1:3" hidden="1" x14ac:dyDescent="0.3">
      <c r="A21" s="26">
        <v>45846</v>
      </c>
      <c r="B21" s="34" t="s">
        <v>21</v>
      </c>
      <c r="C21" s="24">
        <v>20.34</v>
      </c>
    </row>
    <row r="22" spans="1:3" hidden="1" x14ac:dyDescent="0.3">
      <c r="A22" s="26">
        <v>45846</v>
      </c>
      <c r="B22" s="46" t="s">
        <v>21</v>
      </c>
      <c r="C22" s="24">
        <v>4.95</v>
      </c>
    </row>
    <row r="23" spans="1:3" hidden="1" x14ac:dyDescent="0.3">
      <c r="A23" s="26">
        <v>45852</v>
      </c>
      <c r="B23" s="27" t="s">
        <v>4</v>
      </c>
      <c r="C23" s="24">
        <v>-45.64</v>
      </c>
    </row>
    <row r="24" spans="1:3" hidden="1" x14ac:dyDescent="0.3">
      <c r="A24" s="26">
        <v>45853</v>
      </c>
      <c r="B24" s="27" t="s">
        <v>1</v>
      </c>
      <c r="C24" s="24">
        <v>20.8</v>
      </c>
    </row>
    <row r="25" spans="1:3" hidden="1" x14ac:dyDescent="0.3">
      <c r="A25" s="26">
        <v>45853</v>
      </c>
      <c r="B25" s="32" t="s">
        <v>21</v>
      </c>
      <c r="C25" s="24">
        <v>9.84</v>
      </c>
    </row>
    <row r="26" spans="1:3" hidden="1" x14ac:dyDescent="0.3">
      <c r="A26" s="26">
        <v>45853</v>
      </c>
      <c r="B26" s="34" t="s">
        <v>21</v>
      </c>
      <c r="C26" s="24">
        <v>37.549999999999997</v>
      </c>
    </row>
    <row r="27" spans="1:3" hidden="1" x14ac:dyDescent="0.3">
      <c r="A27" s="26">
        <v>45859</v>
      </c>
      <c r="B27" s="27" t="s">
        <v>4</v>
      </c>
      <c r="C27" s="24">
        <v>-68.19</v>
      </c>
    </row>
    <row r="28" spans="1:3" hidden="1" x14ac:dyDescent="0.3">
      <c r="A28" s="26">
        <v>45867</v>
      </c>
      <c r="B28" s="27" t="s">
        <v>1</v>
      </c>
      <c r="C28" s="24">
        <v>20.8</v>
      </c>
    </row>
    <row r="29" spans="1:3" hidden="1" x14ac:dyDescent="0.3">
      <c r="A29" s="26">
        <v>45867</v>
      </c>
      <c r="B29" s="32" t="s">
        <v>21</v>
      </c>
      <c r="C29" s="24">
        <v>17.34</v>
      </c>
    </row>
    <row r="30" spans="1:3" hidden="1" x14ac:dyDescent="0.3">
      <c r="A30" s="26">
        <v>45867</v>
      </c>
      <c r="B30" s="34" t="s">
        <v>21</v>
      </c>
      <c r="C30" s="24">
        <v>64.680000000000007</v>
      </c>
    </row>
    <row r="31" spans="1:3" hidden="1" x14ac:dyDescent="0.3">
      <c r="A31" s="26">
        <v>45867</v>
      </c>
      <c r="B31" s="46" t="s">
        <v>21</v>
      </c>
      <c r="C31" s="24">
        <v>16.05</v>
      </c>
    </row>
    <row r="32" spans="1:3" hidden="1" x14ac:dyDescent="0.3">
      <c r="A32" s="26">
        <v>45873</v>
      </c>
      <c r="B32" s="27" t="s">
        <v>4</v>
      </c>
      <c r="C32" s="24">
        <v>-118.87</v>
      </c>
    </row>
    <row r="33" spans="1:3" hidden="1" x14ac:dyDescent="0.3">
      <c r="A33" s="26">
        <v>45874</v>
      </c>
      <c r="B33" s="27" t="s">
        <v>1</v>
      </c>
      <c r="C33" s="24">
        <v>20.8</v>
      </c>
    </row>
    <row r="34" spans="1:3" hidden="1" x14ac:dyDescent="0.3">
      <c r="A34" s="26">
        <v>45874</v>
      </c>
      <c r="B34" s="34" t="s">
        <v>21</v>
      </c>
      <c r="C34" s="24">
        <v>21.8</v>
      </c>
    </row>
    <row r="35" spans="1:3" hidden="1" x14ac:dyDescent="0.3">
      <c r="A35" s="26">
        <v>45881</v>
      </c>
      <c r="B35" s="27" t="s">
        <v>4</v>
      </c>
      <c r="C35" s="24">
        <v>-42.6</v>
      </c>
    </row>
    <row r="36" spans="1:3" hidden="1" x14ac:dyDescent="0.3">
      <c r="A36" s="26">
        <v>45881</v>
      </c>
      <c r="B36" s="32" t="s">
        <v>21</v>
      </c>
      <c r="C36" s="24">
        <v>17.34</v>
      </c>
    </row>
    <row r="37" spans="1:3" hidden="1" x14ac:dyDescent="0.3">
      <c r="A37" s="26">
        <v>45881</v>
      </c>
      <c r="B37" s="34" t="s">
        <v>21</v>
      </c>
      <c r="C37" s="24">
        <v>45.96</v>
      </c>
    </row>
    <row r="38" spans="1:3" hidden="1" x14ac:dyDescent="0.3">
      <c r="A38" s="26">
        <v>45881</v>
      </c>
      <c r="B38" s="46" t="s">
        <v>21</v>
      </c>
      <c r="C38" s="24">
        <v>4.2</v>
      </c>
    </row>
    <row r="39" spans="1:3" hidden="1" x14ac:dyDescent="0.3">
      <c r="A39" s="26">
        <v>45886</v>
      </c>
      <c r="B39" s="27" t="s">
        <v>4</v>
      </c>
      <c r="C39" s="24">
        <v>-67.5</v>
      </c>
    </row>
    <row r="40" spans="1:3" hidden="1" x14ac:dyDescent="0.3">
      <c r="A40" s="26">
        <v>45888</v>
      </c>
      <c r="B40" s="27" t="s">
        <v>1</v>
      </c>
      <c r="C40" s="24">
        <v>41.6</v>
      </c>
    </row>
    <row r="41" spans="1:3" hidden="1" x14ac:dyDescent="0.3">
      <c r="A41" s="26">
        <v>45888</v>
      </c>
      <c r="B41" s="32" t="s">
        <v>21</v>
      </c>
      <c r="C41" s="24">
        <v>9.84</v>
      </c>
    </row>
    <row r="42" spans="1:3" hidden="1" x14ac:dyDescent="0.3">
      <c r="A42" s="26">
        <v>45888</v>
      </c>
      <c r="B42" s="34" t="s">
        <v>21</v>
      </c>
      <c r="C42" s="24">
        <v>44.02</v>
      </c>
    </row>
    <row r="43" spans="1:3" hidden="1" x14ac:dyDescent="0.3">
      <c r="A43" s="26">
        <v>45894</v>
      </c>
      <c r="B43" s="27" t="s">
        <v>4</v>
      </c>
      <c r="C43" s="24">
        <v>-95.46</v>
      </c>
    </row>
    <row r="44" spans="1:3" hidden="1" x14ac:dyDescent="0.3">
      <c r="A44" s="26">
        <v>45895</v>
      </c>
      <c r="B44" s="32" t="s">
        <v>21</v>
      </c>
      <c r="C44" s="24">
        <v>23.35</v>
      </c>
    </row>
    <row r="45" spans="1:3" hidden="1" x14ac:dyDescent="0.3">
      <c r="A45" s="26">
        <v>45895</v>
      </c>
      <c r="B45" s="34" t="s">
        <v>21</v>
      </c>
      <c r="C45" s="24">
        <v>37.380000000000003</v>
      </c>
    </row>
    <row r="46" spans="1:3" hidden="1" x14ac:dyDescent="0.3">
      <c r="A46" s="26">
        <v>45895</v>
      </c>
      <c r="B46" s="46" t="s">
        <v>21</v>
      </c>
      <c r="C46" s="24">
        <v>10.38</v>
      </c>
    </row>
    <row r="47" spans="1:3" hidden="1" x14ac:dyDescent="0.3">
      <c r="A47" s="26">
        <v>45898</v>
      </c>
      <c r="B47" s="27" t="s">
        <v>4</v>
      </c>
      <c r="C47" s="24">
        <v>-71.11</v>
      </c>
    </row>
    <row r="48" spans="1:3" hidden="1" x14ac:dyDescent="0.3">
      <c r="A48" s="26">
        <v>45902</v>
      </c>
      <c r="B48" s="32" t="s">
        <v>21</v>
      </c>
      <c r="C48" s="24">
        <v>17.34</v>
      </c>
    </row>
    <row r="49" spans="1:3" hidden="1" x14ac:dyDescent="0.3">
      <c r="A49" s="26">
        <v>45902</v>
      </c>
      <c r="B49" s="34" t="s">
        <v>21</v>
      </c>
      <c r="C49" s="24">
        <v>7.68</v>
      </c>
    </row>
    <row r="50" spans="1:3" hidden="1" x14ac:dyDescent="0.3">
      <c r="A50" s="26">
        <v>45910</v>
      </c>
      <c r="B50" s="27" t="s">
        <v>4</v>
      </c>
      <c r="C50" s="24">
        <v>-25.02</v>
      </c>
    </row>
    <row r="51" spans="1:3" hidden="1" x14ac:dyDescent="0.3">
      <c r="A51" s="26">
        <v>45916</v>
      </c>
      <c r="B51" s="32" t="s">
        <v>21</v>
      </c>
      <c r="C51" s="24">
        <v>4.5</v>
      </c>
    </row>
    <row r="52" spans="1:3" hidden="1" x14ac:dyDescent="0.3">
      <c r="A52" s="26">
        <v>45916</v>
      </c>
      <c r="B52" s="34" t="s">
        <v>21</v>
      </c>
      <c r="C52" s="24">
        <v>141.94</v>
      </c>
    </row>
    <row r="53" spans="1:3" hidden="1" x14ac:dyDescent="0.3">
      <c r="A53" s="26">
        <v>45922</v>
      </c>
      <c r="B53" s="27" t="s">
        <v>4</v>
      </c>
      <c r="C53" s="24">
        <v>-146.44</v>
      </c>
    </row>
    <row r="54" spans="1:3" x14ac:dyDescent="0.3">
      <c r="A54" s="26">
        <v>45924</v>
      </c>
      <c r="B54" s="27" t="s">
        <v>4</v>
      </c>
      <c r="C54" s="24">
        <v>-87.82</v>
      </c>
    </row>
    <row r="55" spans="1:3" x14ac:dyDescent="0.3">
      <c r="A55" s="26">
        <v>45923</v>
      </c>
      <c r="B55" s="27" t="s">
        <v>1</v>
      </c>
      <c r="C55" s="24">
        <v>20.8</v>
      </c>
    </row>
    <row r="56" spans="1:3" x14ac:dyDescent="0.3">
      <c r="A56" s="26">
        <v>45923</v>
      </c>
      <c r="B56" s="32" t="s">
        <v>21</v>
      </c>
      <c r="C56" s="24">
        <v>7.5</v>
      </c>
    </row>
    <row r="57" spans="1:3" x14ac:dyDescent="0.3">
      <c r="A57" s="26">
        <v>45923</v>
      </c>
      <c r="B57" s="34" t="s">
        <v>21</v>
      </c>
      <c r="C57" s="24">
        <v>59.52</v>
      </c>
    </row>
    <row r="58" spans="1:3" x14ac:dyDescent="0.3">
      <c r="A58" s="26">
        <v>45938</v>
      </c>
      <c r="B58" s="27" t="s">
        <v>1</v>
      </c>
      <c r="C58" s="24">
        <v>17.34</v>
      </c>
    </row>
    <row r="59" spans="1:3" x14ac:dyDescent="0.3">
      <c r="A59" s="26">
        <v>45938</v>
      </c>
      <c r="B59" s="34" t="s">
        <v>21</v>
      </c>
      <c r="C59" s="24">
        <v>27</v>
      </c>
    </row>
    <row r="60" spans="1:3" x14ac:dyDescent="0.3">
      <c r="A60" s="26">
        <v>45938</v>
      </c>
      <c r="B60" s="46" t="s">
        <v>21</v>
      </c>
      <c r="C60" s="24">
        <v>19.149999999999999</v>
      </c>
    </row>
    <row r="61" spans="1:3" x14ac:dyDescent="0.3">
      <c r="A61" s="26">
        <v>45944</v>
      </c>
      <c r="B61" s="27" t="s">
        <v>4</v>
      </c>
      <c r="C61" s="24">
        <v>-64.09</v>
      </c>
    </row>
    <row r="62" spans="1:3" x14ac:dyDescent="0.3">
      <c r="A62" s="26">
        <v>45951</v>
      </c>
      <c r="B62" s="27" t="s">
        <v>1</v>
      </c>
      <c r="C62" s="24">
        <v>23</v>
      </c>
    </row>
    <row r="63" spans="1:3" x14ac:dyDescent="0.3">
      <c r="A63" s="26">
        <v>45951</v>
      </c>
      <c r="B63" s="32" t="s">
        <v>21</v>
      </c>
      <c r="C63" s="24">
        <v>26.22</v>
      </c>
    </row>
    <row r="64" spans="1:3" x14ac:dyDescent="0.3">
      <c r="A64" s="26">
        <v>45951</v>
      </c>
      <c r="B64" s="34" t="s">
        <v>21</v>
      </c>
      <c r="C64" s="24">
        <v>119.66</v>
      </c>
    </row>
    <row r="65" spans="1:3" x14ac:dyDescent="0.3">
      <c r="A65" s="26">
        <v>45958</v>
      </c>
      <c r="B65" s="32" t="s">
        <v>21</v>
      </c>
      <c r="C65" s="24">
        <v>14.34</v>
      </c>
    </row>
    <row r="66" spans="1:3" x14ac:dyDescent="0.3">
      <c r="A66" s="26">
        <v>45958</v>
      </c>
      <c r="B66" s="34" t="s">
        <v>21</v>
      </c>
      <c r="C66" s="24">
        <v>37.26</v>
      </c>
    </row>
    <row r="67" spans="1:3" x14ac:dyDescent="0.3">
      <c r="A67" s="26">
        <v>45959</v>
      </c>
      <c r="B67" s="27" t="s">
        <v>4</v>
      </c>
      <c r="C67" s="24">
        <v>-168.88</v>
      </c>
    </row>
    <row r="68" spans="1:3" x14ac:dyDescent="0.3">
      <c r="A68" s="26">
        <v>45967</v>
      </c>
      <c r="B68" s="27" t="s">
        <v>4</v>
      </c>
      <c r="C68" s="24">
        <v>-51.6</v>
      </c>
    </row>
    <row r="69" spans="1:3" x14ac:dyDescent="0.3">
      <c r="A69" s="26">
        <v>45967</v>
      </c>
      <c r="B69" s="32" t="s">
        <v>21</v>
      </c>
      <c r="C69" s="24">
        <v>9.84</v>
      </c>
    </row>
    <row r="70" spans="1:3" x14ac:dyDescent="0.3">
      <c r="A70" s="26">
        <v>45967</v>
      </c>
      <c r="B70" s="34" t="s">
        <v>21</v>
      </c>
      <c r="C70" s="24">
        <v>80.040000000000006</v>
      </c>
    </row>
    <row r="71" spans="1:3" x14ac:dyDescent="0.3">
      <c r="A71" s="26">
        <v>45972</v>
      </c>
      <c r="B71" s="27" t="s">
        <v>4</v>
      </c>
      <c r="C71" s="24">
        <v>-89.88</v>
      </c>
    </row>
    <row r="72" spans="1:3" x14ac:dyDescent="0.3">
      <c r="A72" s="26">
        <v>45972</v>
      </c>
      <c r="B72" s="27" t="s">
        <v>1</v>
      </c>
      <c r="C72" s="24">
        <v>38.72</v>
      </c>
    </row>
    <row r="73" spans="1:3" x14ac:dyDescent="0.3">
      <c r="A73" s="26">
        <v>45976</v>
      </c>
      <c r="B73" s="27" t="s">
        <v>4</v>
      </c>
      <c r="C73" s="24">
        <v>-38.72</v>
      </c>
    </row>
    <row r="74" spans="1:3" x14ac:dyDescent="0.3">
      <c r="A74" s="26">
        <v>45979</v>
      </c>
      <c r="B74" s="27" t="s">
        <v>1</v>
      </c>
      <c r="C74" s="24">
        <v>90.24</v>
      </c>
    </row>
    <row r="75" spans="1:3" x14ac:dyDescent="0.3">
      <c r="A75" s="26">
        <v>45989</v>
      </c>
      <c r="B75" s="27" t="s">
        <v>4</v>
      </c>
      <c r="C75" s="24">
        <v>-90.24</v>
      </c>
    </row>
    <row r="76" spans="1:3" x14ac:dyDescent="0.3">
      <c r="A76" s="26">
        <v>45993</v>
      </c>
      <c r="B76" s="27" t="s">
        <v>1</v>
      </c>
      <c r="C76" s="24">
        <v>124.46</v>
      </c>
    </row>
    <row r="77" spans="1:3" x14ac:dyDescent="0.3">
      <c r="A77" s="26">
        <v>46000</v>
      </c>
      <c r="B77" s="27" t="s">
        <v>1</v>
      </c>
      <c r="C77" s="24">
        <v>96.92</v>
      </c>
    </row>
    <row r="78" spans="1:3" x14ac:dyDescent="0.3">
      <c r="A78" s="26">
        <v>46001</v>
      </c>
      <c r="B78" s="27" t="s">
        <v>4</v>
      </c>
      <c r="C78" s="24">
        <v>-124.46</v>
      </c>
    </row>
    <row r="79" spans="1:3" x14ac:dyDescent="0.3">
      <c r="A79" s="26">
        <v>46003</v>
      </c>
      <c r="B79" s="27" t="s">
        <v>4</v>
      </c>
      <c r="C79" s="24">
        <v>-96.92</v>
      </c>
    </row>
    <row r="80" spans="1:3" x14ac:dyDescent="0.3">
      <c r="A80" s="26">
        <v>46007</v>
      </c>
      <c r="B80" s="27" t="s">
        <v>1</v>
      </c>
      <c r="C80" s="24">
        <v>137.13999999999999</v>
      </c>
    </row>
    <row r="81" spans="1:3" x14ac:dyDescent="0.3">
      <c r="A81" s="26">
        <v>46014</v>
      </c>
      <c r="B81" s="27" t="s">
        <v>4</v>
      </c>
      <c r="C81" s="24">
        <v>-137.13999999999999</v>
      </c>
    </row>
    <row r="82" spans="1:3" x14ac:dyDescent="0.3">
      <c r="A82" s="26">
        <v>46014</v>
      </c>
      <c r="B82" s="27" t="s">
        <v>1</v>
      </c>
      <c r="C82" s="24">
        <v>50.85</v>
      </c>
    </row>
    <row r="83" spans="1:3" x14ac:dyDescent="0.3">
      <c r="A83" s="26">
        <v>46017</v>
      </c>
      <c r="B83" s="27" t="s">
        <v>4</v>
      </c>
      <c r="C83" s="24">
        <v>-50.85</v>
      </c>
    </row>
    <row r="84" spans="1:3" x14ac:dyDescent="0.3">
      <c r="A84" s="26">
        <v>46028</v>
      </c>
      <c r="B84" s="27" t="s">
        <v>1</v>
      </c>
      <c r="C84" s="24">
        <v>99.82</v>
      </c>
    </row>
    <row r="85" spans="1:3" x14ac:dyDescent="0.3">
      <c r="A85" s="26">
        <v>46035</v>
      </c>
      <c r="B85" s="27" t="s">
        <v>4</v>
      </c>
      <c r="C85" s="24">
        <v>-99.82</v>
      </c>
    </row>
    <row r="86" spans="1:3" x14ac:dyDescent="0.3">
      <c r="A86" s="26">
        <v>46042</v>
      </c>
      <c r="B86" s="27" t="s">
        <v>1</v>
      </c>
      <c r="C86" s="24">
        <v>130.36000000000001</v>
      </c>
    </row>
    <row r="87" spans="1:3" x14ac:dyDescent="0.3">
      <c r="A87" s="26">
        <v>46047</v>
      </c>
      <c r="B87" s="27" t="s">
        <v>4</v>
      </c>
      <c r="C87" s="24">
        <v>-130.36000000000001</v>
      </c>
    </row>
    <row r="88" spans="1:3" x14ac:dyDescent="0.3">
      <c r="A88" s="26">
        <v>46049</v>
      </c>
      <c r="B88" s="27" t="s">
        <v>1</v>
      </c>
      <c r="C88" s="24">
        <v>51.71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76DDE-8ADC-4205-AD04-48EBD1F2BDFD}">
  <dimension ref="A1:I26"/>
  <sheetViews>
    <sheetView view="pageBreakPreview" zoomScale="80" zoomScaleNormal="100" zoomScaleSheetLayoutView="80" workbookViewId="0">
      <selection activeCell="C27" sqref="C2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468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 t="s">
        <v>469</v>
      </c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45933</v>
      </c>
      <c r="B5" s="32" t="s">
        <v>21</v>
      </c>
      <c r="C5" s="24">
        <v>7.5</v>
      </c>
      <c r="D5" s="30"/>
      <c r="E5" s="30"/>
      <c r="F5" s="30"/>
      <c r="G5" s="22"/>
    </row>
    <row r="6" spans="1:9" x14ac:dyDescent="0.3">
      <c r="A6" s="21">
        <v>45933</v>
      </c>
      <c r="B6" s="34" t="s">
        <v>1</v>
      </c>
      <c r="C6" s="24">
        <v>85.26</v>
      </c>
    </row>
    <row r="7" spans="1:9" x14ac:dyDescent="0.3">
      <c r="A7" s="26">
        <v>45938</v>
      </c>
      <c r="B7" s="27" t="s">
        <v>7</v>
      </c>
      <c r="C7" s="24">
        <v>-93.07</v>
      </c>
    </row>
    <row r="8" spans="1:9" x14ac:dyDescent="0.3">
      <c r="A8" s="26">
        <v>45938</v>
      </c>
      <c r="B8" s="32" t="s">
        <v>1</v>
      </c>
      <c r="C8" s="24">
        <v>9.1999999999999993</v>
      </c>
    </row>
    <row r="9" spans="1:9" x14ac:dyDescent="0.3">
      <c r="A9" s="26">
        <v>45938</v>
      </c>
      <c r="B9" s="34" t="s">
        <v>1</v>
      </c>
      <c r="C9" s="24">
        <v>30.7</v>
      </c>
      <c r="I9" s="25"/>
    </row>
    <row r="10" spans="1:9" x14ac:dyDescent="0.3">
      <c r="A10" s="26">
        <v>45945</v>
      </c>
      <c r="B10" s="27" t="s">
        <v>7</v>
      </c>
      <c r="C10" s="24">
        <v>-39.61</v>
      </c>
    </row>
    <row r="11" spans="1:9" x14ac:dyDescent="0.3">
      <c r="A11" s="26">
        <v>45945</v>
      </c>
      <c r="B11" s="32" t="s">
        <v>1</v>
      </c>
      <c r="C11" s="24">
        <v>4.5999999999999996</v>
      </c>
    </row>
    <row r="12" spans="1:9" x14ac:dyDescent="0.3">
      <c r="A12" s="26">
        <v>45945</v>
      </c>
      <c r="B12" s="34" t="s">
        <v>1</v>
      </c>
      <c r="C12" s="24">
        <v>33.78</v>
      </c>
    </row>
    <row r="13" spans="1:9" x14ac:dyDescent="0.3">
      <c r="A13" s="26">
        <v>45959</v>
      </c>
      <c r="B13" s="31" t="s">
        <v>7</v>
      </c>
      <c r="C13" s="24">
        <v>-38.51</v>
      </c>
    </row>
    <row r="14" spans="1:9" x14ac:dyDescent="0.3">
      <c r="A14" s="26">
        <v>45959</v>
      </c>
      <c r="B14" s="32" t="s">
        <v>1</v>
      </c>
      <c r="C14" s="24">
        <v>16</v>
      </c>
    </row>
    <row r="15" spans="1:9" x14ac:dyDescent="0.3">
      <c r="A15" s="26">
        <v>45959</v>
      </c>
      <c r="B15" s="34" t="s">
        <v>1</v>
      </c>
      <c r="C15" s="24">
        <v>31.22</v>
      </c>
    </row>
    <row r="16" spans="1:9" x14ac:dyDescent="0.3">
      <c r="A16" s="26">
        <v>45965</v>
      </c>
      <c r="B16" s="27" t="s">
        <v>4</v>
      </c>
      <c r="C16" s="24">
        <v>-46.22</v>
      </c>
    </row>
    <row r="17" spans="1:3" x14ac:dyDescent="0.3">
      <c r="A17" s="26">
        <v>45966</v>
      </c>
      <c r="B17" s="34" t="s">
        <v>1</v>
      </c>
      <c r="C17" s="24">
        <v>78.900000000000006</v>
      </c>
    </row>
    <row r="18" spans="1:3" x14ac:dyDescent="0.3">
      <c r="A18" s="26">
        <v>45971</v>
      </c>
      <c r="B18" s="27" t="s">
        <v>4</v>
      </c>
      <c r="C18" s="24">
        <v>-78.900000000000006</v>
      </c>
    </row>
    <row r="19" spans="1:3" x14ac:dyDescent="0.3">
      <c r="A19" s="26">
        <v>45975</v>
      </c>
      <c r="B19" s="27" t="s">
        <v>1</v>
      </c>
      <c r="C19" s="24">
        <v>38.28</v>
      </c>
    </row>
    <row r="20" spans="1:3" x14ac:dyDescent="0.3">
      <c r="A20" s="26">
        <v>45978</v>
      </c>
      <c r="B20" s="27" t="s">
        <v>4</v>
      </c>
      <c r="C20" s="24">
        <v>-38.28</v>
      </c>
    </row>
    <row r="21" spans="1:3" x14ac:dyDescent="0.3">
      <c r="A21" s="26">
        <v>45980</v>
      </c>
      <c r="B21" s="27" t="s">
        <v>1</v>
      </c>
      <c r="C21" s="24">
        <v>73.47</v>
      </c>
    </row>
    <row r="22" spans="1:3" x14ac:dyDescent="0.3">
      <c r="A22" s="26">
        <v>45987</v>
      </c>
      <c r="B22" s="27" t="s">
        <v>7</v>
      </c>
      <c r="C22" s="24">
        <v>-74.319999999999993</v>
      </c>
    </row>
    <row r="23" spans="1:3" x14ac:dyDescent="0.3">
      <c r="A23" s="26">
        <v>45987</v>
      </c>
      <c r="B23" s="27" t="s">
        <v>1</v>
      </c>
      <c r="C23" s="24">
        <v>32.9</v>
      </c>
    </row>
    <row r="24" spans="1:3" x14ac:dyDescent="0.3">
      <c r="A24" s="26">
        <v>46001</v>
      </c>
      <c r="B24" s="27" t="s">
        <v>4</v>
      </c>
      <c r="C24" s="24">
        <v>-32.9</v>
      </c>
    </row>
    <row r="25" spans="1:3" x14ac:dyDescent="0.3">
      <c r="A25" s="26">
        <v>46001</v>
      </c>
      <c r="B25" s="27" t="s">
        <v>1</v>
      </c>
      <c r="C25" s="24">
        <v>52.92</v>
      </c>
    </row>
    <row r="26" spans="1:3" x14ac:dyDescent="0.3">
      <c r="A26" s="26">
        <v>46017</v>
      </c>
      <c r="B26" s="27" t="s">
        <v>7</v>
      </c>
      <c r="C26" s="24">
        <v>-52.92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A9C58-FC66-442B-9B5B-C37DBA6707B0}">
  <dimension ref="A1:I55"/>
  <sheetViews>
    <sheetView view="pageBreakPreview" zoomScale="80" zoomScaleNormal="100" zoomScaleSheetLayoutView="80" workbookViewId="0">
      <selection activeCell="C55" sqref="C5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364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 t="s">
        <v>365</v>
      </c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-0.9100000000000108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45854</v>
      </c>
      <c r="B5" s="32" t="s">
        <v>21</v>
      </c>
      <c r="C5" s="24">
        <v>25.69</v>
      </c>
      <c r="D5" s="30"/>
      <c r="E5" s="30"/>
      <c r="F5" s="30"/>
      <c r="G5" s="22"/>
    </row>
    <row r="6" spans="1:9" hidden="1" x14ac:dyDescent="0.3">
      <c r="A6" s="21">
        <v>45854</v>
      </c>
      <c r="B6" s="34" t="s">
        <v>1</v>
      </c>
      <c r="C6" s="24">
        <v>25.58</v>
      </c>
    </row>
    <row r="7" spans="1:9" hidden="1" x14ac:dyDescent="0.3">
      <c r="A7" s="26">
        <v>45870</v>
      </c>
      <c r="B7" s="27" t="s">
        <v>4</v>
      </c>
      <c r="C7" s="24">
        <v>-51.27</v>
      </c>
    </row>
    <row r="8" spans="1:9" hidden="1" x14ac:dyDescent="0.3">
      <c r="A8" s="26">
        <v>45875</v>
      </c>
      <c r="B8" s="32" t="s">
        <v>1</v>
      </c>
      <c r="C8" s="24">
        <v>9.84</v>
      </c>
    </row>
    <row r="9" spans="1:9" hidden="1" x14ac:dyDescent="0.3">
      <c r="A9" s="26">
        <v>45875</v>
      </c>
      <c r="B9" s="34" t="s">
        <v>1</v>
      </c>
      <c r="C9" s="24">
        <v>74.760000000000005</v>
      </c>
      <c r="I9" s="25"/>
    </row>
    <row r="10" spans="1:9" hidden="1" x14ac:dyDescent="0.3">
      <c r="A10" s="26">
        <v>45882</v>
      </c>
      <c r="B10" s="32" t="s">
        <v>1</v>
      </c>
      <c r="C10" s="24">
        <v>15.85</v>
      </c>
    </row>
    <row r="11" spans="1:9" hidden="1" x14ac:dyDescent="0.3">
      <c r="A11" s="26">
        <v>45882</v>
      </c>
      <c r="B11" s="34" t="s">
        <v>1</v>
      </c>
      <c r="C11" s="24">
        <v>97.92</v>
      </c>
    </row>
    <row r="12" spans="1:9" hidden="1" x14ac:dyDescent="0.3">
      <c r="A12" s="26">
        <v>45896</v>
      </c>
      <c r="B12" s="31" t="s">
        <v>4</v>
      </c>
      <c r="C12" s="24">
        <v>-84.6</v>
      </c>
    </row>
    <row r="13" spans="1:9" hidden="1" x14ac:dyDescent="0.3">
      <c r="A13" s="26">
        <v>45896</v>
      </c>
      <c r="B13" s="31" t="s">
        <v>4</v>
      </c>
      <c r="C13" s="24">
        <v>-96.97</v>
      </c>
    </row>
    <row r="14" spans="1:9" hidden="1" x14ac:dyDescent="0.3">
      <c r="A14" s="26">
        <v>45896</v>
      </c>
      <c r="B14" s="32" t="s">
        <v>1</v>
      </c>
      <c r="C14" s="24">
        <v>9.84</v>
      </c>
    </row>
    <row r="15" spans="1:9" hidden="1" x14ac:dyDescent="0.3">
      <c r="A15" s="26">
        <v>45896</v>
      </c>
      <c r="B15" s="34" t="s">
        <v>1</v>
      </c>
      <c r="C15" s="24">
        <v>106.85</v>
      </c>
    </row>
    <row r="16" spans="1:9" hidden="1" x14ac:dyDescent="0.3">
      <c r="A16" s="26">
        <v>45896</v>
      </c>
      <c r="B16" s="46" t="s">
        <v>1</v>
      </c>
      <c r="C16" s="24">
        <v>20.76</v>
      </c>
    </row>
    <row r="17" spans="1:3" hidden="1" x14ac:dyDescent="0.3">
      <c r="A17" s="26">
        <v>45903</v>
      </c>
      <c r="B17" s="32" t="s">
        <v>1</v>
      </c>
      <c r="C17" s="24">
        <v>33.19</v>
      </c>
    </row>
    <row r="18" spans="1:3" hidden="1" x14ac:dyDescent="0.3">
      <c r="A18" s="26">
        <v>45903</v>
      </c>
      <c r="B18" s="34" t="s">
        <v>1</v>
      </c>
      <c r="C18" s="24">
        <v>48.24</v>
      </c>
    </row>
    <row r="19" spans="1:3" hidden="1" x14ac:dyDescent="0.3">
      <c r="A19" s="26">
        <v>45910</v>
      </c>
      <c r="B19" s="27" t="s">
        <v>4</v>
      </c>
      <c r="C19" s="24">
        <v>-60.4</v>
      </c>
    </row>
    <row r="20" spans="1:3" hidden="1" x14ac:dyDescent="0.3">
      <c r="A20" s="26">
        <v>45910</v>
      </c>
      <c r="B20" s="34" t="s">
        <v>1</v>
      </c>
      <c r="C20" s="24">
        <v>60.39</v>
      </c>
    </row>
    <row r="21" spans="1:3" hidden="1" x14ac:dyDescent="0.3">
      <c r="A21" s="26">
        <v>45912</v>
      </c>
      <c r="B21" s="27" t="s">
        <v>4</v>
      </c>
      <c r="C21" s="24">
        <v>-154.25</v>
      </c>
    </row>
    <row r="22" spans="1:3" hidden="1" x14ac:dyDescent="0.3">
      <c r="A22" s="26">
        <v>45912</v>
      </c>
      <c r="B22" s="32" t="s">
        <v>1</v>
      </c>
      <c r="C22" s="24">
        <v>23.35</v>
      </c>
    </row>
    <row r="23" spans="1:3" hidden="1" x14ac:dyDescent="0.3">
      <c r="A23" s="26">
        <v>45912</v>
      </c>
      <c r="B23" s="34" t="s">
        <v>1</v>
      </c>
      <c r="C23" s="24">
        <v>83.6</v>
      </c>
    </row>
    <row r="24" spans="1:3" hidden="1" x14ac:dyDescent="0.3">
      <c r="A24" s="26">
        <v>45912</v>
      </c>
      <c r="B24" s="46" t="s">
        <v>1</v>
      </c>
      <c r="C24" s="24">
        <v>20.76</v>
      </c>
    </row>
    <row r="25" spans="1:3" hidden="1" x14ac:dyDescent="0.3">
      <c r="A25" s="26">
        <v>45931</v>
      </c>
      <c r="B25" s="27" t="s">
        <v>4</v>
      </c>
      <c r="C25" s="24">
        <v>-81.430000000000007</v>
      </c>
    </row>
    <row r="26" spans="1:3" hidden="1" x14ac:dyDescent="0.3">
      <c r="A26" s="26">
        <v>45945</v>
      </c>
      <c r="B26" s="27" t="s">
        <v>4</v>
      </c>
      <c r="C26" s="24">
        <v>-127.71</v>
      </c>
    </row>
    <row r="27" spans="1:3" hidden="1" x14ac:dyDescent="0.3">
      <c r="A27" s="26">
        <v>45945</v>
      </c>
      <c r="B27" s="32" t="s">
        <v>1</v>
      </c>
      <c r="C27" s="24">
        <v>16.38</v>
      </c>
    </row>
    <row r="28" spans="1:3" hidden="1" x14ac:dyDescent="0.3">
      <c r="A28" s="26">
        <v>45945</v>
      </c>
      <c r="B28" s="34" t="s">
        <v>1</v>
      </c>
      <c r="C28" s="24">
        <v>38.06</v>
      </c>
    </row>
    <row r="29" spans="1:3" hidden="1" x14ac:dyDescent="0.3">
      <c r="A29" s="26">
        <v>45945</v>
      </c>
      <c r="B29" s="46" t="s">
        <v>1</v>
      </c>
      <c r="C29" s="24">
        <v>13.84</v>
      </c>
    </row>
    <row r="30" spans="1:3" hidden="1" x14ac:dyDescent="0.3">
      <c r="A30" s="26">
        <v>45952</v>
      </c>
      <c r="B30" s="32" t="s">
        <v>1</v>
      </c>
      <c r="C30" s="24">
        <v>26.22</v>
      </c>
    </row>
    <row r="31" spans="1:3" hidden="1" x14ac:dyDescent="0.3">
      <c r="A31" s="26">
        <v>45958</v>
      </c>
      <c r="B31" s="27" t="s">
        <v>4</v>
      </c>
      <c r="C31" s="24">
        <v>-26.22</v>
      </c>
    </row>
    <row r="32" spans="1:3" hidden="1" x14ac:dyDescent="0.3">
      <c r="A32" s="26">
        <v>45959</v>
      </c>
      <c r="B32" s="27" t="s">
        <v>4</v>
      </c>
      <c r="C32" s="24">
        <v>-68.7</v>
      </c>
    </row>
    <row r="33" spans="1:3" hidden="1" x14ac:dyDescent="0.3">
      <c r="A33" s="26">
        <v>45959</v>
      </c>
      <c r="B33" s="32" t="s">
        <v>1</v>
      </c>
      <c r="C33" s="24">
        <v>23.88</v>
      </c>
    </row>
    <row r="34" spans="1:3" hidden="1" x14ac:dyDescent="0.3">
      <c r="A34" s="26">
        <v>45959</v>
      </c>
      <c r="B34" s="34" t="s">
        <v>1</v>
      </c>
      <c r="C34" s="24">
        <v>51.48</v>
      </c>
    </row>
    <row r="35" spans="1:3" hidden="1" x14ac:dyDescent="0.3">
      <c r="A35" s="26">
        <v>45980</v>
      </c>
      <c r="B35" s="27" t="s">
        <v>4</v>
      </c>
      <c r="C35" s="24">
        <v>-75.36</v>
      </c>
    </row>
    <row r="36" spans="1:3" x14ac:dyDescent="0.3">
      <c r="A36" s="26">
        <v>45980</v>
      </c>
      <c r="B36" s="27" t="s">
        <v>1</v>
      </c>
      <c r="C36" s="24">
        <v>26.22</v>
      </c>
    </row>
    <row r="37" spans="1:3" x14ac:dyDescent="0.3">
      <c r="A37" s="26">
        <v>45987</v>
      </c>
      <c r="B37" s="27" t="s">
        <v>1</v>
      </c>
      <c r="C37" s="24">
        <v>41.46</v>
      </c>
    </row>
    <row r="38" spans="1:3" x14ac:dyDescent="0.3">
      <c r="A38" s="26">
        <v>45993</v>
      </c>
      <c r="B38" s="27" t="s">
        <v>4</v>
      </c>
      <c r="C38" s="24">
        <v>-26.22</v>
      </c>
    </row>
    <row r="39" spans="1:3" x14ac:dyDescent="0.3">
      <c r="A39" s="26">
        <v>45994</v>
      </c>
      <c r="B39" s="27" t="s">
        <v>4</v>
      </c>
      <c r="C39" s="24">
        <v>-41.46</v>
      </c>
    </row>
    <row r="40" spans="1:3" x14ac:dyDescent="0.3">
      <c r="A40" s="26">
        <v>45994</v>
      </c>
      <c r="B40" s="27" t="s">
        <v>1</v>
      </c>
      <c r="C40" s="24">
        <v>55.58</v>
      </c>
    </row>
    <row r="41" spans="1:3" x14ac:dyDescent="0.3">
      <c r="A41" s="26">
        <v>46001</v>
      </c>
      <c r="B41" s="27" t="s">
        <v>1</v>
      </c>
      <c r="C41" s="24">
        <v>111.78</v>
      </c>
    </row>
    <row r="42" spans="1:3" x14ac:dyDescent="0.3">
      <c r="A42" s="26">
        <v>46002</v>
      </c>
      <c r="B42" s="27" t="s">
        <v>4</v>
      </c>
      <c r="C42" s="24">
        <v>-55.58</v>
      </c>
    </row>
    <row r="43" spans="1:3" x14ac:dyDescent="0.3">
      <c r="A43" s="26">
        <v>46008</v>
      </c>
      <c r="B43" s="27" t="s">
        <v>1</v>
      </c>
      <c r="C43" s="24">
        <v>55.62</v>
      </c>
    </row>
    <row r="44" spans="1:3" x14ac:dyDescent="0.3">
      <c r="A44" s="26">
        <v>46013</v>
      </c>
      <c r="B44" s="27" t="s">
        <v>4</v>
      </c>
      <c r="C44" s="24">
        <v>-111.78</v>
      </c>
    </row>
    <row r="45" spans="1:3" x14ac:dyDescent="0.3">
      <c r="A45" s="26">
        <v>46014</v>
      </c>
      <c r="B45" s="27" t="s">
        <v>1</v>
      </c>
      <c r="C45" s="24">
        <v>107.22</v>
      </c>
    </row>
    <row r="46" spans="1:3" x14ac:dyDescent="0.3">
      <c r="A46" s="26">
        <v>46020</v>
      </c>
      <c r="B46" s="27" t="s">
        <v>4</v>
      </c>
      <c r="C46" s="24">
        <v>-55.62</v>
      </c>
    </row>
    <row r="47" spans="1:3" x14ac:dyDescent="0.3">
      <c r="A47" s="26">
        <v>46021</v>
      </c>
      <c r="B47" s="27" t="s">
        <v>4</v>
      </c>
      <c r="C47" s="24">
        <v>-107.22</v>
      </c>
    </row>
    <row r="48" spans="1:3" x14ac:dyDescent="0.3">
      <c r="A48" s="26">
        <v>46029</v>
      </c>
      <c r="B48" s="27" t="s">
        <v>1</v>
      </c>
      <c r="C48" s="24">
        <f>56.34-6</f>
        <v>50.34</v>
      </c>
    </row>
    <row r="49" spans="1:3" x14ac:dyDescent="0.3">
      <c r="A49" s="26">
        <v>46036</v>
      </c>
      <c r="B49" s="27" t="s">
        <v>1</v>
      </c>
      <c r="C49" s="24">
        <v>69.040000000000006</v>
      </c>
    </row>
    <row r="50" spans="1:3" x14ac:dyDescent="0.3">
      <c r="A50" s="26">
        <v>46042</v>
      </c>
      <c r="B50" s="27" t="s">
        <v>4</v>
      </c>
      <c r="C50" s="24">
        <v>-50.82</v>
      </c>
    </row>
    <row r="51" spans="1:3" x14ac:dyDescent="0.3">
      <c r="A51" s="26">
        <v>46042</v>
      </c>
      <c r="B51" s="27" t="s">
        <v>4</v>
      </c>
      <c r="C51" s="24">
        <v>-69.040000000000006</v>
      </c>
    </row>
    <row r="52" spans="1:3" x14ac:dyDescent="0.3">
      <c r="A52" s="26">
        <v>46043</v>
      </c>
      <c r="B52" s="27" t="s">
        <v>1</v>
      </c>
      <c r="C52" s="24">
        <v>100.65</v>
      </c>
    </row>
    <row r="53" spans="1:3" x14ac:dyDescent="0.3">
      <c r="A53" s="26">
        <v>46049</v>
      </c>
      <c r="B53" s="27" t="s">
        <v>4</v>
      </c>
      <c r="C53" s="24">
        <v>-100.65</v>
      </c>
    </row>
    <row r="54" spans="1:3" x14ac:dyDescent="0.3">
      <c r="A54" s="26">
        <v>46050</v>
      </c>
      <c r="B54" s="27" t="s">
        <v>1</v>
      </c>
      <c r="C54" s="24">
        <v>98.99</v>
      </c>
    </row>
    <row r="55" spans="1:3" x14ac:dyDescent="0.3">
      <c r="A55" s="26">
        <v>46056</v>
      </c>
      <c r="B55" s="27" t="s">
        <v>4</v>
      </c>
      <c r="C55" s="24">
        <v>-98.99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F5AB0-2D74-4B31-AF6C-820021737C5B}">
  <dimension ref="A1:I79"/>
  <sheetViews>
    <sheetView view="pageBreakPreview" zoomScale="80" zoomScaleNormal="100" zoomScaleSheetLayoutView="80" workbookViewId="0">
      <selection sqref="A1:H7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428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2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45904</v>
      </c>
      <c r="B5" s="90" t="s">
        <v>21</v>
      </c>
      <c r="C5" s="22">
        <v>49.04</v>
      </c>
      <c r="D5" s="30">
        <v>2</v>
      </c>
      <c r="E5" s="30"/>
      <c r="F5" s="30"/>
      <c r="G5" s="22"/>
    </row>
    <row r="6" spans="1:9" x14ac:dyDescent="0.3">
      <c r="A6" s="21">
        <v>45904</v>
      </c>
      <c r="B6" s="40" t="s">
        <v>1</v>
      </c>
      <c r="C6" s="24">
        <v>381</v>
      </c>
    </row>
    <row r="7" spans="1:9" x14ac:dyDescent="0.3">
      <c r="A7" s="21">
        <v>45904</v>
      </c>
      <c r="B7" s="31" t="s">
        <v>1</v>
      </c>
      <c r="C7" s="24">
        <v>47.66</v>
      </c>
    </row>
    <row r="8" spans="1:9" x14ac:dyDescent="0.3">
      <c r="A8" s="21">
        <v>45904</v>
      </c>
      <c r="B8" s="27" t="s">
        <v>4</v>
      </c>
      <c r="C8" s="24">
        <v>-477.7</v>
      </c>
    </row>
    <row r="9" spans="1:9" x14ac:dyDescent="0.3">
      <c r="I9" s="25"/>
    </row>
    <row r="10" spans="1:9" x14ac:dyDescent="0.3">
      <c r="B10" s="31"/>
    </row>
    <row r="12" spans="1:9" x14ac:dyDescent="0.3">
      <c r="B12" s="31"/>
    </row>
    <row r="13" spans="1:9" x14ac:dyDescent="0.3">
      <c r="A13" s="21"/>
      <c r="B13" s="46"/>
      <c r="C13" s="22"/>
    </row>
    <row r="14" spans="1:9" x14ac:dyDescent="0.3">
      <c r="B14" s="28"/>
    </row>
    <row r="15" spans="1:9" x14ac:dyDescent="0.3">
      <c r="B15" s="46"/>
    </row>
    <row r="17" spans="2:2" x14ac:dyDescent="0.3">
      <c r="B17" s="28"/>
    </row>
    <row r="18" spans="2:2" x14ac:dyDescent="0.3">
      <c r="B18" s="28"/>
    </row>
    <row r="19" spans="2:2" x14ac:dyDescent="0.3">
      <c r="B19" s="28"/>
    </row>
    <row r="20" spans="2:2" x14ac:dyDescent="0.3">
      <c r="B20" s="28"/>
    </row>
    <row r="21" spans="2:2" x14ac:dyDescent="0.3">
      <c r="B21" s="28"/>
    </row>
    <row r="22" spans="2:2" x14ac:dyDescent="0.3">
      <c r="B22" s="28"/>
    </row>
    <row r="23" spans="2:2" x14ac:dyDescent="0.3">
      <c r="B23" s="28"/>
    </row>
    <row r="24" spans="2:2" x14ac:dyDescent="0.3">
      <c r="B24" s="28"/>
    </row>
    <row r="25" spans="2:2" x14ac:dyDescent="0.3">
      <c r="B25" s="28"/>
    </row>
    <row r="26" spans="2:2" x14ac:dyDescent="0.3">
      <c r="B26" s="28"/>
    </row>
    <row r="27" spans="2:2" x14ac:dyDescent="0.3">
      <c r="B27" s="28"/>
    </row>
    <row r="28" spans="2:2" x14ac:dyDescent="0.3">
      <c r="B28" s="28"/>
    </row>
    <row r="29" spans="2:2" x14ac:dyDescent="0.3">
      <c r="B29" s="28"/>
    </row>
    <row r="30" spans="2:2" x14ac:dyDescent="0.3">
      <c r="B30" s="40"/>
    </row>
    <row r="31" spans="2:2" x14ac:dyDescent="0.3">
      <c r="B31" s="46"/>
    </row>
    <row r="32" spans="2:2" x14ac:dyDescent="0.3">
      <c r="B32" s="28"/>
    </row>
    <row r="33" spans="2:2" x14ac:dyDescent="0.3">
      <c r="B33" s="28"/>
    </row>
    <row r="34" spans="2:2" x14ac:dyDescent="0.3">
      <c r="B34" s="28"/>
    </row>
    <row r="35" spans="2:2" x14ac:dyDescent="0.3">
      <c r="B35" s="28"/>
    </row>
    <row r="36" spans="2:2" x14ac:dyDescent="0.3">
      <c r="B36" s="28"/>
    </row>
    <row r="37" spans="2:2" x14ac:dyDescent="0.3">
      <c r="B37" s="28"/>
    </row>
    <row r="38" spans="2:2" x14ac:dyDescent="0.3">
      <c r="B38" s="40"/>
    </row>
    <row r="39" spans="2:2" x14ac:dyDescent="0.3">
      <c r="B39" s="40"/>
    </row>
    <row r="40" spans="2:2" x14ac:dyDescent="0.3">
      <c r="B40" s="28"/>
    </row>
    <row r="41" spans="2:2" x14ac:dyDescent="0.3">
      <c r="B41" s="36"/>
    </row>
    <row r="42" spans="2:2" x14ac:dyDescent="0.3">
      <c r="B42" s="28"/>
    </row>
    <row r="43" spans="2:2" x14ac:dyDescent="0.3">
      <c r="B43" s="40"/>
    </row>
    <row r="44" spans="2:2" x14ac:dyDescent="0.3">
      <c r="B44" s="40"/>
    </row>
    <row r="45" spans="2:2" x14ac:dyDescent="0.3">
      <c r="B45" s="28"/>
    </row>
    <row r="46" spans="2:2" x14ac:dyDescent="0.3">
      <c r="B46" s="40"/>
    </row>
    <row r="47" spans="2:2" x14ac:dyDescent="0.3">
      <c r="B47" s="28"/>
    </row>
    <row r="48" spans="2:2" x14ac:dyDescent="0.3">
      <c r="B48" s="40"/>
    </row>
    <row r="49" spans="2:2" x14ac:dyDescent="0.3">
      <c r="B49" s="28"/>
    </row>
    <row r="50" spans="2:2" x14ac:dyDescent="0.3">
      <c r="B50" s="28"/>
    </row>
    <row r="51" spans="2:2" x14ac:dyDescent="0.3">
      <c r="B51" s="28"/>
    </row>
    <row r="52" spans="2:2" x14ac:dyDescent="0.3">
      <c r="B52" s="40"/>
    </row>
    <row r="53" spans="2:2" x14ac:dyDescent="0.3">
      <c r="B53" s="40"/>
    </row>
    <row r="54" spans="2:2" x14ac:dyDescent="0.3">
      <c r="B54" s="28"/>
    </row>
    <row r="55" spans="2:2" x14ac:dyDescent="0.3">
      <c r="B55" s="28"/>
    </row>
    <row r="56" spans="2:2" x14ac:dyDescent="0.3">
      <c r="B56" s="28"/>
    </row>
    <row r="57" spans="2:2" x14ac:dyDescent="0.3">
      <c r="B57" s="28"/>
    </row>
    <row r="58" spans="2:2" x14ac:dyDescent="0.3">
      <c r="B58" s="28"/>
    </row>
    <row r="59" spans="2:2" x14ac:dyDescent="0.3">
      <c r="B59" s="28"/>
    </row>
    <row r="60" spans="2:2" x14ac:dyDescent="0.3">
      <c r="B60" s="28"/>
    </row>
    <row r="61" spans="2:2" x14ac:dyDescent="0.3">
      <c r="B61" s="28"/>
    </row>
    <row r="62" spans="2:2" x14ac:dyDescent="0.3">
      <c r="B62" s="40"/>
    </row>
    <row r="63" spans="2:2" x14ac:dyDescent="0.3">
      <c r="B63" s="28"/>
    </row>
    <row r="64" spans="2:2" x14ac:dyDescent="0.3">
      <c r="B64" s="28"/>
    </row>
    <row r="65" spans="2:2" x14ac:dyDescent="0.3">
      <c r="B65" s="40"/>
    </row>
    <row r="66" spans="2:2" x14ac:dyDescent="0.3">
      <c r="B66" s="28"/>
    </row>
    <row r="67" spans="2:2" x14ac:dyDescent="0.3">
      <c r="B67" s="28"/>
    </row>
    <row r="68" spans="2:2" x14ac:dyDescent="0.3">
      <c r="B68" s="40"/>
    </row>
    <row r="69" spans="2:2" x14ac:dyDescent="0.3">
      <c r="B69" s="28"/>
    </row>
    <row r="70" spans="2:2" x14ac:dyDescent="0.3">
      <c r="B70" s="28"/>
    </row>
    <row r="71" spans="2:2" x14ac:dyDescent="0.3">
      <c r="B71" s="28"/>
    </row>
    <row r="74" spans="2:2" x14ac:dyDescent="0.3">
      <c r="B74" s="40"/>
    </row>
    <row r="79" spans="2:2" x14ac:dyDescent="0.3">
      <c r="B79" s="40"/>
    </row>
  </sheetData>
  <mergeCells count="1">
    <mergeCell ref="A3:B3"/>
  </mergeCells>
  <pageMargins left="0.7" right="0.7" top="0.75" bottom="0.75" header="0.3" footer="0.3"/>
  <pageSetup paperSize="5" scale="83" orientation="portrait" r:id="rId1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17F29-5582-44AC-9282-C5F8F9A3083B}">
  <sheetPr codeName="Hoja127"/>
  <dimension ref="A1:I88"/>
  <sheetViews>
    <sheetView view="pageBreakPreview" topLeftCell="A64" zoomScale="80" zoomScaleNormal="100" zoomScaleSheetLayoutView="80" workbookViewId="0">
      <selection activeCell="C89" sqref="C8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37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24.750000000000004</v>
      </c>
      <c r="D3" s="20">
        <f>SUM(D$4:D$1048576)</f>
        <v>7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45282</v>
      </c>
      <c r="B5" s="29" t="s">
        <v>22</v>
      </c>
      <c r="C5" s="22"/>
      <c r="D5" s="30">
        <v>2</v>
      </c>
      <c r="E5" s="30"/>
      <c r="F5" s="30"/>
      <c r="G5" s="22"/>
    </row>
    <row r="6" spans="1:9" x14ac:dyDescent="0.3">
      <c r="A6" s="21">
        <v>45289</v>
      </c>
      <c r="B6" s="31" t="s">
        <v>22</v>
      </c>
      <c r="D6" s="25">
        <v>2</v>
      </c>
    </row>
    <row r="7" spans="1:9" x14ac:dyDescent="0.3">
      <c r="A7" s="26">
        <v>45295</v>
      </c>
      <c r="B7" s="31"/>
      <c r="D7" s="25">
        <v>-2</v>
      </c>
    </row>
    <row r="8" spans="1:9" x14ac:dyDescent="0.3">
      <c r="A8" s="26">
        <v>45392</v>
      </c>
      <c r="D8" s="25">
        <v>-2</v>
      </c>
    </row>
    <row r="9" spans="1:9" x14ac:dyDescent="0.3">
      <c r="A9" s="26">
        <v>45649</v>
      </c>
      <c r="B9" s="27" t="s">
        <v>22</v>
      </c>
      <c r="D9" s="25">
        <v>2</v>
      </c>
      <c r="I9" s="25"/>
    </row>
    <row r="10" spans="1:9" x14ac:dyDescent="0.3">
      <c r="A10" s="26">
        <v>45656</v>
      </c>
      <c r="B10" s="31" t="s">
        <v>22</v>
      </c>
      <c r="D10" s="25">
        <v>2</v>
      </c>
    </row>
    <row r="11" spans="1:9" x14ac:dyDescent="0.3">
      <c r="A11" s="26">
        <v>45702</v>
      </c>
      <c r="B11" s="27" t="s">
        <v>21</v>
      </c>
      <c r="C11" s="24">
        <v>12</v>
      </c>
    </row>
    <row r="12" spans="1:9" x14ac:dyDescent="0.3">
      <c r="A12" s="26">
        <v>45808</v>
      </c>
      <c r="B12" s="31" t="s">
        <v>4</v>
      </c>
      <c r="C12" s="24">
        <v>-10</v>
      </c>
    </row>
    <row r="13" spans="1:9" x14ac:dyDescent="0.3">
      <c r="A13" s="21">
        <v>45226</v>
      </c>
      <c r="B13" s="46" t="s">
        <v>21</v>
      </c>
      <c r="C13" s="22">
        <v>3.88</v>
      </c>
    </row>
    <row r="14" spans="1:9" x14ac:dyDescent="0.3">
      <c r="A14" s="26">
        <v>45268</v>
      </c>
      <c r="B14" s="28"/>
      <c r="C14" s="24">
        <v>-3.88</v>
      </c>
    </row>
    <row r="15" spans="1:9" x14ac:dyDescent="0.3">
      <c r="A15" s="26">
        <v>45289</v>
      </c>
      <c r="B15" s="46" t="s">
        <v>21</v>
      </c>
      <c r="C15" s="24">
        <v>9.49</v>
      </c>
    </row>
    <row r="16" spans="1:9" x14ac:dyDescent="0.3">
      <c r="A16" s="26">
        <v>45323</v>
      </c>
      <c r="B16" s="40" t="s">
        <v>1</v>
      </c>
      <c r="C16" s="24">
        <v>4.3</v>
      </c>
    </row>
    <row r="17" spans="1:3" x14ac:dyDescent="0.3">
      <c r="A17" s="26">
        <v>45401</v>
      </c>
      <c r="B17" s="28" t="s">
        <v>9</v>
      </c>
      <c r="C17" s="24">
        <v>300</v>
      </c>
    </row>
    <row r="18" spans="1:3" x14ac:dyDescent="0.3">
      <c r="A18" s="26">
        <v>45408</v>
      </c>
      <c r="B18" s="28" t="s">
        <v>7</v>
      </c>
      <c r="C18" s="24">
        <v>-20</v>
      </c>
    </row>
    <row r="19" spans="1:3" x14ac:dyDescent="0.3">
      <c r="A19" s="26">
        <v>45415</v>
      </c>
      <c r="B19" s="28" t="s">
        <v>7</v>
      </c>
      <c r="C19" s="24">
        <v>-20</v>
      </c>
    </row>
    <row r="20" spans="1:3" x14ac:dyDescent="0.3">
      <c r="A20" s="26">
        <v>45422</v>
      </c>
      <c r="B20" s="28" t="s">
        <v>4</v>
      </c>
      <c r="C20" s="24">
        <v>-20</v>
      </c>
    </row>
    <row r="21" spans="1:3" x14ac:dyDescent="0.3">
      <c r="A21" s="26">
        <v>45429</v>
      </c>
      <c r="B21" s="28" t="s">
        <v>7</v>
      </c>
      <c r="C21" s="24">
        <v>-20</v>
      </c>
    </row>
    <row r="22" spans="1:3" x14ac:dyDescent="0.3">
      <c r="A22" s="26">
        <v>45436</v>
      </c>
      <c r="B22" s="28" t="s">
        <v>7</v>
      </c>
      <c r="C22" s="24">
        <v>-20</v>
      </c>
    </row>
    <row r="23" spans="1:3" x14ac:dyDescent="0.3">
      <c r="A23" s="26">
        <v>45443</v>
      </c>
      <c r="B23" s="28" t="s">
        <v>7</v>
      </c>
      <c r="C23" s="24">
        <v>-20</v>
      </c>
    </row>
    <row r="24" spans="1:3" x14ac:dyDescent="0.3">
      <c r="A24" s="26">
        <v>45457</v>
      </c>
      <c r="B24" s="28" t="s">
        <v>7</v>
      </c>
      <c r="C24" s="24">
        <v>-20</v>
      </c>
    </row>
    <row r="25" spans="1:3" x14ac:dyDescent="0.3">
      <c r="A25" s="26">
        <v>45464</v>
      </c>
      <c r="B25" s="28" t="s">
        <v>7</v>
      </c>
      <c r="C25" s="24">
        <v>-20</v>
      </c>
    </row>
    <row r="26" spans="1:3" x14ac:dyDescent="0.3">
      <c r="A26" s="26">
        <v>45474</v>
      </c>
      <c r="B26" s="28" t="s">
        <v>7</v>
      </c>
      <c r="C26" s="24">
        <v>-20</v>
      </c>
    </row>
    <row r="27" spans="1:3" x14ac:dyDescent="0.3">
      <c r="A27" s="26">
        <v>45477</v>
      </c>
      <c r="B27" s="28" t="s">
        <v>7</v>
      </c>
      <c r="C27" s="24">
        <v>-20</v>
      </c>
    </row>
    <row r="28" spans="1:3" x14ac:dyDescent="0.3">
      <c r="A28" s="26">
        <v>45485</v>
      </c>
      <c r="B28" s="28" t="s">
        <v>7</v>
      </c>
      <c r="C28" s="24">
        <v>-20</v>
      </c>
    </row>
    <row r="29" spans="1:3" x14ac:dyDescent="0.3">
      <c r="A29" s="26">
        <v>45492</v>
      </c>
      <c r="B29" s="28" t="s">
        <v>7</v>
      </c>
      <c r="C29" s="24">
        <v>-20</v>
      </c>
    </row>
    <row r="30" spans="1:3" x14ac:dyDescent="0.3">
      <c r="A30" s="26">
        <v>45498</v>
      </c>
      <c r="B30" s="40" t="s">
        <v>1</v>
      </c>
      <c r="C30" s="24">
        <v>21.17</v>
      </c>
    </row>
    <row r="31" spans="1:3" x14ac:dyDescent="0.3">
      <c r="A31" s="26">
        <v>45498</v>
      </c>
      <c r="B31" s="46" t="s">
        <v>21</v>
      </c>
      <c r="C31" s="24">
        <v>8.4700000000000006</v>
      </c>
    </row>
    <row r="32" spans="1:3" x14ac:dyDescent="0.3">
      <c r="A32" s="26">
        <v>45506</v>
      </c>
      <c r="B32" s="28" t="s">
        <v>7</v>
      </c>
      <c r="C32" s="24">
        <v>-20</v>
      </c>
    </row>
    <row r="33" spans="1:3" x14ac:dyDescent="0.3">
      <c r="A33" s="26">
        <v>45513</v>
      </c>
      <c r="B33" s="28" t="s">
        <v>7</v>
      </c>
      <c r="C33" s="24">
        <v>-20</v>
      </c>
    </row>
    <row r="34" spans="1:3" x14ac:dyDescent="0.3">
      <c r="A34" s="26">
        <v>45523</v>
      </c>
      <c r="B34" s="28" t="s">
        <v>7</v>
      </c>
      <c r="C34" s="24">
        <v>-20</v>
      </c>
    </row>
    <row r="35" spans="1:3" x14ac:dyDescent="0.3">
      <c r="A35" s="26">
        <v>45527</v>
      </c>
      <c r="B35" s="28" t="s">
        <v>7</v>
      </c>
      <c r="C35" s="24">
        <v>-20</v>
      </c>
    </row>
    <row r="36" spans="1:3" x14ac:dyDescent="0.3">
      <c r="A36" s="26">
        <v>45534</v>
      </c>
      <c r="B36" s="28" t="s">
        <v>7</v>
      </c>
      <c r="C36" s="24">
        <v>-20</v>
      </c>
    </row>
    <row r="37" spans="1:3" x14ac:dyDescent="0.3">
      <c r="A37" s="26">
        <v>45541</v>
      </c>
      <c r="B37" s="28" t="s">
        <v>7</v>
      </c>
      <c r="C37" s="24">
        <v>-4</v>
      </c>
    </row>
    <row r="38" spans="1:3" x14ac:dyDescent="0.3">
      <c r="A38" s="26">
        <v>45569</v>
      </c>
      <c r="B38" s="40" t="s">
        <v>1</v>
      </c>
      <c r="C38" s="24">
        <v>7.88</v>
      </c>
    </row>
    <row r="39" spans="1:3" x14ac:dyDescent="0.3">
      <c r="A39" s="26">
        <v>45580</v>
      </c>
      <c r="B39" s="40" t="s">
        <v>1</v>
      </c>
      <c r="C39" s="24">
        <v>5.98</v>
      </c>
    </row>
    <row r="40" spans="1:3" x14ac:dyDescent="0.3">
      <c r="A40" s="26">
        <v>45600</v>
      </c>
      <c r="B40" s="28" t="s">
        <v>7</v>
      </c>
      <c r="C40" s="24">
        <v>-13.3</v>
      </c>
    </row>
    <row r="41" spans="1:3" x14ac:dyDescent="0.3">
      <c r="A41" s="26">
        <v>45601</v>
      </c>
      <c r="B41" s="36" t="s">
        <v>1</v>
      </c>
      <c r="C41" s="24">
        <v>9.84</v>
      </c>
    </row>
    <row r="42" spans="1:3" x14ac:dyDescent="0.3">
      <c r="A42" s="26">
        <v>45617</v>
      </c>
      <c r="B42" s="28" t="s">
        <v>7</v>
      </c>
      <c r="C42" s="24">
        <v>-10</v>
      </c>
    </row>
    <row r="43" spans="1:3" x14ac:dyDescent="0.3">
      <c r="A43" s="26">
        <v>45622</v>
      </c>
      <c r="B43" s="40" t="s">
        <v>1</v>
      </c>
      <c r="C43" s="24">
        <v>6.07</v>
      </c>
    </row>
    <row r="44" spans="1:3" x14ac:dyDescent="0.3">
      <c r="A44" s="26">
        <v>45629</v>
      </c>
      <c r="B44" s="40" t="s">
        <v>1</v>
      </c>
      <c r="C44" s="24">
        <v>2.85</v>
      </c>
    </row>
    <row r="45" spans="1:3" x14ac:dyDescent="0.3">
      <c r="A45" s="26">
        <v>45640</v>
      </c>
      <c r="B45" s="28" t="s">
        <v>4</v>
      </c>
      <c r="C45" s="24">
        <v>-10</v>
      </c>
    </row>
    <row r="46" spans="1:3" x14ac:dyDescent="0.3">
      <c r="A46" s="26">
        <v>45649</v>
      </c>
      <c r="B46" s="40" t="s">
        <v>1</v>
      </c>
      <c r="C46" s="24">
        <v>65.209999999999994</v>
      </c>
    </row>
    <row r="47" spans="1:3" x14ac:dyDescent="0.3">
      <c r="A47" s="26">
        <v>45653</v>
      </c>
      <c r="B47" s="28" t="s">
        <v>4</v>
      </c>
      <c r="C47" s="24">
        <v>-10</v>
      </c>
    </row>
    <row r="48" spans="1:3" x14ac:dyDescent="0.3">
      <c r="A48" s="26">
        <v>45673</v>
      </c>
      <c r="B48" s="40" t="s">
        <v>1</v>
      </c>
      <c r="C48" s="24">
        <v>6.07</v>
      </c>
    </row>
    <row r="49" spans="1:3" x14ac:dyDescent="0.3">
      <c r="A49" s="26">
        <v>45674</v>
      </c>
      <c r="B49" s="28" t="s">
        <v>7</v>
      </c>
      <c r="C49" s="24">
        <v>-10</v>
      </c>
    </row>
    <row r="50" spans="1:3" x14ac:dyDescent="0.3">
      <c r="A50" s="26">
        <v>45678</v>
      </c>
      <c r="B50" s="28" t="s">
        <v>9</v>
      </c>
      <c r="C50" s="24">
        <v>50</v>
      </c>
    </row>
    <row r="51" spans="1:3" x14ac:dyDescent="0.3">
      <c r="A51" s="26">
        <v>45681</v>
      </c>
      <c r="B51" s="28" t="s">
        <v>7</v>
      </c>
      <c r="C51" s="24">
        <v>-50</v>
      </c>
    </row>
    <row r="52" spans="1:3" x14ac:dyDescent="0.3">
      <c r="A52" s="26">
        <v>45687</v>
      </c>
      <c r="B52" s="40" t="s">
        <v>1</v>
      </c>
      <c r="C52" s="24">
        <v>3.88</v>
      </c>
    </row>
    <row r="53" spans="1:3" x14ac:dyDescent="0.3">
      <c r="A53" s="26">
        <v>45693</v>
      </c>
      <c r="B53" s="40" t="s">
        <v>1</v>
      </c>
      <c r="C53" s="24">
        <v>1.84</v>
      </c>
    </row>
    <row r="54" spans="1:3" x14ac:dyDescent="0.3">
      <c r="A54" s="26">
        <v>45698</v>
      </c>
      <c r="B54" s="28" t="s">
        <v>7</v>
      </c>
      <c r="C54" s="24">
        <v>-10</v>
      </c>
    </row>
    <row r="55" spans="1:3" x14ac:dyDescent="0.3">
      <c r="A55" s="26">
        <v>45702</v>
      </c>
      <c r="B55" s="28" t="s">
        <v>7</v>
      </c>
      <c r="C55" s="24">
        <v>-10</v>
      </c>
    </row>
    <row r="56" spans="1:3" x14ac:dyDescent="0.3">
      <c r="A56" s="26">
        <v>45702</v>
      </c>
      <c r="B56" s="28" t="s">
        <v>9</v>
      </c>
      <c r="C56" s="24">
        <v>32</v>
      </c>
    </row>
    <row r="57" spans="1:3" x14ac:dyDescent="0.3">
      <c r="A57" s="26">
        <v>45709</v>
      </c>
      <c r="B57" s="28" t="s">
        <v>7</v>
      </c>
      <c r="C57" s="24">
        <v>-10</v>
      </c>
    </row>
    <row r="58" spans="1:3" x14ac:dyDescent="0.3">
      <c r="A58" s="26">
        <v>45726</v>
      </c>
      <c r="B58" s="28" t="s">
        <v>4</v>
      </c>
      <c r="C58" s="24">
        <v>-10</v>
      </c>
    </row>
    <row r="59" spans="1:3" x14ac:dyDescent="0.3">
      <c r="A59" s="26">
        <v>45730</v>
      </c>
      <c r="B59" s="28" t="s">
        <v>4</v>
      </c>
      <c r="C59" s="24">
        <v>-10</v>
      </c>
    </row>
    <row r="60" spans="1:3" x14ac:dyDescent="0.3">
      <c r="A60" s="26">
        <v>45737</v>
      </c>
      <c r="B60" s="28" t="s">
        <v>4</v>
      </c>
      <c r="C60" s="24">
        <v>-10</v>
      </c>
    </row>
    <row r="61" spans="1:3" x14ac:dyDescent="0.3">
      <c r="A61" s="26">
        <v>45744</v>
      </c>
      <c r="B61" s="28" t="s">
        <v>4</v>
      </c>
      <c r="C61" s="24">
        <v>-10</v>
      </c>
    </row>
    <row r="62" spans="1:3" x14ac:dyDescent="0.3">
      <c r="A62" s="26">
        <v>45748</v>
      </c>
      <c r="B62" s="40" t="s">
        <v>1</v>
      </c>
      <c r="C62" s="24">
        <v>6.1</v>
      </c>
    </row>
    <row r="63" spans="1:3" x14ac:dyDescent="0.3">
      <c r="A63" s="26">
        <v>45751</v>
      </c>
      <c r="B63" s="28" t="s">
        <v>4</v>
      </c>
      <c r="C63" s="24">
        <v>-10</v>
      </c>
    </row>
    <row r="64" spans="1:3" x14ac:dyDescent="0.3">
      <c r="A64" s="26">
        <v>45758</v>
      </c>
      <c r="B64" s="28" t="s">
        <v>4</v>
      </c>
      <c r="C64" s="24">
        <v>-10</v>
      </c>
    </row>
    <row r="65" spans="1:8" x14ac:dyDescent="0.3">
      <c r="A65" s="26">
        <v>45763</v>
      </c>
      <c r="B65" s="40" t="s">
        <v>1</v>
      </c>
      <c r="C65" s="24">
        <v>24.83</v>
      </c>
    </row>
    <row r="66" spans="1:8" x14ac:dyDescent="0.3">
      <c r="A66" s="26">
        <v>45772</v>
      </c>
      <c r="B66" s="28" t="s">
        <v>4</v>
      </c>
      <c r="C66" s="24">
        <v>-10</v>
      </c>
    </row>
    <row r="67" spans="1:8" x14ac:dyDescent="0.3">
      <c r="A67" s="26">
        <v>45785</v>
      </c>
      <c r="B67" s="28" t="s">
        <v>4</v>
      </c>
      <c r="C67" s="24">
        <v>-10</v>
      </c>
    </row>
    <row r="68" spans="1:8" x14ac:dyDescent="0.3">
      <c r="A68" s="26">
        <v>45797</v>
      </c>
      <c r="B68" s="40" t="s">
        <v>1</v>
      </c>
      <c r="C68" s="24">
        <v>23.88</v>
      </c>
    </row>
    <row r="69" spans="1:8" x14ac:dyDescent="0.3">
      <c r="A69" s="26">
        <v>45803</v>
      </c>
      <c r="B69" s="28" t="s">
        <v>4</v>
      </c>
      <c r="C69" s="24">
        <v>-10</v>
      </c>
    </row>
    <row r="70" spans="1:8" x14ac:dyDescent="0.3">
      <c r="A70" s="26">
        <v>45804</v>
      </c>
      <c r="B70" s="28" t="s">
        <v>9</v>
      </c>
      <c r="C70" s="24">
        <v>25</v>
      </c>
    </row>
    <row r="71" spans="1:8" x14ac:dyDescent="0.3">
      <c r="A71" s="26">
        <v>45814</v>
      </c>
      <c r="B71" s="28" t="s">
        <v>4</v>
      </c>
      <c r="C71" s="24">
        <v>-10</v>
      </c>
    </row>
    <row r="72" spans="1:8" x14ac:dyDescent="0.3">
      <c r="A72" s="26">
        <v>45825</v>
      </c>
      <c r="B72" s="27" t="s">
        <v>22</v>
      </c>
      <c r="D72" s="25">
        <v>1</v>
      </c>
    </row>
    <row r="73" spans="1:8" x14ac:dyDescent="0.3">
      <c r="A73" s="26">
        <v>45828</v>
      </c>
      <c r="B73" s="27" t="s">
        <v>4</v>
      </c>
      <c r="C73" s="24">
        <v>-10</v>
      </c>
    </row>
    <row r="74" spans="1:8" x14ac:dyDescent="0.3">
      <c r="A74" s="26">
        <v>45849</v>
      </c>
      <c r="B74" s="40" t="s">
        <v>1</v>
      </c>
      <c r="C74" s="24">
        <v>3</v>
      </c>
    </row>
    <row r="75" spans="1:8" x14ac:dyDescent="0.3">
      <c r="A75" s="26">
        <v>45855</v>
      </c>
      <c r="B75" s="27" t="s">
        <v>7</v>
      </c>
      <c r="H75" s="17" t="s">
        <v>369</v>
      </c>
    </row>
    <row r="76" spans="1:8" x14ac:dyDescent="0.3">
      <c r="A76" s="26">
        <v>45860</v>
      </c>
      <c r="B76" s="27" t="s">
        <v>9</v>
      </c>
      <c r="C76" s="24">
        <v>53</v>
      </c>
    </row>
    <row r="77" spans="1:8" x14ac:dyDescent="0.3">
      <c r="A77" s="26">
        <v>45860</v>
      </c>
      <c r="B77" s="27" t="s">
        <v>7</v>
      </c>
      <c r="H77" s="17">
        <v>-100000</v>
      </c>
    </row>
    <row r="78" spans="1:8" x14ac:dyDescent="0.3">
      <c r="A78" s="26">
        <v>45863</v>
      </c>
      <c r="B78" s="27" t="s">
        <v>4</v>
      </c>
      <c r="C78" s="24">
        <v>-10</v>
      </c>
    </row>
    <row r="79" spans="1:8" x14ac:dyDescent="0.3">
      <c r="A79" s="26">
        <v>45877</v>
      </c>
      <c r="B79" s="40" t="s">
        <v>1</v>
      </c>
      <c r="C79" s="24">
        <v>9.19</v>
      </c>
    </row>
    <row r="80" spans="1:8" x14ac:dyDescent="0.3">
      <c r="A80" s="26">
        <v>45891</v>
      </c>
      <c r="B80" s="27" t="s">
        <v>4</v>
      </c>
      <c r="C80" s="24">
        <v>-10</v>
      </c>
    </row>
    <row r="81" spans="1:4" x14ac:dyDescent="0.3">
      <c r="A81" s="26">
        <v>45905</v>
      </c>
      <c r="B81" s="27" t="s">
        <v>4</v>
      </c>
      <c r="C81" s="24">
        <v>-10</v>
      </c>
    </row>
    <row r="82" spans="1:4" x14ac:dyDescent="0.3">
      <c r="A82" s="26">
        <v>45926</v>
      </c>
      <c r="B82" s="27" t="s">
        <v>4</v>
      </c>
      <c r="C82" s="24">
        <v>-10</v>
      </c>
    </row>
    <row r="83" spans="1:4" x14ac:dyDescent="0.3">
      <c r="A83" s="26">
        <v>45933</v>
      </c>
      <c r="B83" s="27" t="s">
        <v>4</v>
      </c>
      <c r="C83" s="24">
        <v>-10</v>
      </c>
    </row>
    <row r="84" spans="1:4" x14ac:dyDescent="0.3">
      <c r="A84" s="26">
        <v>46021</v>
      </c>
      <c r="B84" s="27" t="s">
        <v>22</v>
      </c>
      <c r="D84" s="25">
        <v>2</v>
      </c>
    </row>
    <row r="85" spans="1:4" x14ac:dyDescent="0.3">
      <c r="A85" s="26">
        <v>46031</v>
      </c>
      <c r="B85" s="27" t="s">
        <v>4</v>
      </c>
      <c r="C85" s="24">
        <v>-10</v>
      </c>
    </row>
    <row r="86" spans="1:4" x14ac:dyDescent="0.3">
      <c r="A86" s="26">
        <v>46038</v>
      </c>
      <c r="B86" s="27" t="s">
        <v>4</v>
      </c>
      <c r="C86" s="24">
        <v>-10</v>
      </c>
    </row>
    <row r="87" spans="1:4" x14ac:dyDescent="0.3">
      <c r="A87" s="26">
        <v>46044</v>
      </c>
      <c r="B87" s="27" t="s">
        <v>546</v>
      </c>
      <c r="C87" s="24">
        <v>7.38</v>
      </c>
    </row>
    <row r="88" spans="1:4" x14ac:dyDescent="0.3">
      <c r="A88" s="26">
        <v>46045</v>
      </c>
      <c r="B88" s="27" t="s">
        <v>4</v>
      </c>
      <c r="C88" s="24">
        <v>-7.38</v>
      </c>
    </row>
  </sheetData>
  <mergeCells count="1">
    <mergeCell ref="A3:B3"/>
  </mergeCells>
  <pageMargins left="0.7" right="0.7" top="0.75" bottom="0.75" header="0.3" footer="0.3"/>
  <pageSetup paperSize="5" scale="83" orientation="portrait" r:id="rId1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7B898-42DB-476F-9707-A0BC329BF7CB}">
  <sheetPr codeName="Hoja128"/>
  <dimension ref="A1:I79"/>
  <sheetViews>
    <sheetView view="pageBreakPreview" zoomScale="80" zoomScaleNormal="100" zoomScaleSheetLayoutView="80" workbookViewId="0">
      <selection activeCell="C80" sqref="C80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77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38.082999999999998</v>
      </c>
      <c r="D3" s="20">
        <f>SUM(D$4:D$1048576)</f>
        <v>0</v>
      </c>
      <c r="E3" s="20">
        <f>SUM(E$5:E$1048576)</f>
        <v>1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45814</v>
      </c>
      <c r="B5" s="32" t="s">
        <v>21</v>
      </c>
      <c r="C5" s="24">
        <v>15.85</v>
      </c>
      <c r="D5" s="30"/>
      <c r="E5" s="30"/>
      <c r="F5" s="30"/>
      <c r="G5" s="22"/>
    </row>
    <row r="6" spans="1:9" hidden="1" x14ac:dyDescent="0.3">
      <c r="A6" s="21">
        <v>45814</v>
      </c>
      <c r="B6" s="34" t="s">
        <v>21</v>
      </c>
      <c r="C6" s="24">
        <v>23.3</v>
      </c>
    </row>
    <row r="7" spans="1:9" hidden="1" x14ac:dyDescent="0.3">
      <c r="A7" s="26">
        <v>45818</v>
      </c>
      <c r="B7" s="27" t="s">
        <v>4</v>
      </c>
      <c r="C7" s="24">
        <v>-39.15</v>
      </c>
    </row>
    <row r="8" spans="1:9" hidden="1" x14ac:dyDescent="0.3">
      <c r="A8" s="26">
        <v>45819</v>
      </c>
      <c r="B8" s="34" t="s">
        <v>21</v>
      </c>
      <c r="C8" s="24">
        <v>55.21</v>
      </c>
    </row>
    <row r="9" spans="1:9" hidden="1" x14ac:dyDescent="0.3">
      <c r="A9" s="26">
        <v>45824</v>
      </c>
      <c r="B9" s="27" t="s">
        <v>4</v>
      </c>
      <c r="C9" s="24">
        <v>-54.85</v>
      </c>
      <c r="I9" s="25"/>
    </row>
    <row r="10" spans="1:9" hidden="1" x14ac:dyDescent="0.3">
      <c r="A10" s="26">
        <v>45833</v>
      </c>
      <c r="B10" s="34" t="s">
        <v>21</v>
      </c>
      <c r="C10" s="24">
        <v>26.54</v>
      </c>
    </row>
    <row r="11" spans="1:9" hidden="1" x14ac:dyDescent="0.3">
      <c r="A11" s="26">
        <v>45838</v>
      </c>
      <c r="B11" s="27" t="s">
        <v>4</v>
      </c>
      <c r="C11" s="24">
        <v>-26.54</v>
      </c>
    </row>
    <row r="12" spans="1:9" hidden="1" x14ac:dyDescent="0.3">
      <c r="A12" s="26">
        <v>45840</v>
      </c>
      <c r="B12" s="34" t="s">
        <v>21</v>
      </c>
      <c r="C12" s="24">
        <v>43.48</v>
      </c>
    </row>
    <row r="13" spans="1:9" hidden="1" x14ac:dyDescent="0.3">
      <c r="A13" s="26">
        <v>45845</v>
      </c>
      <c r="B13" s="27" t="s">
        <v>4</v>
      </c>
      <c r="C13" s="24">
        <v>-43.91</v>
      </c>
    </row>
    <row r="14" spans="1:9" hidden="1" x14ac:dyDescent="0.3">
      <c r="A14" s="26">
        <v>45847</v>
      </c>
      <c r="B14" s="32" t="s">
        <v>21</v>
      </c>
      <c r="C14" s="24">
        <v>7.5</v>
      </c>
    </row>
    <row r="15" spans="1:9" hidden="1" x14ac:dyDescent="0.3">
      <c r="A15" s="26">
        <v>45847</v>
      </c>
      <c r="B15" s="34" t="s">
        <v>21</v>
      </c>
      <c r="C15" s="24">
        <v>17.34</v>
      </c>
    </row>
    <row r="16" spans="1:9" hidden="1" x14ac:dyDescent="0.3">
      <c r="A16" s="26">
        <v>45852</v>
      </c>
      <c r="B16" s="27" t="s">
        <v>4</v>
      </c>
      <c r="C16" s="24">
        <v>-24.84</v>
      </c>
    </row>
    <row r="17" spans="1:3" hidden="1" x14ac:dyDescent="0.3">
      <c r="A17" s="26">
        <v>45854</v>
      </c>
      <c r="B17" s="34" t="s">
        <v>21</v>
      </c>
      <c r="C17" s="24">
        <v>76.69</v>
      </c>
    </row>
    <row r="18" spans="1:3" hidden="1" x14ac:dyDescent="0.3">
      <c r="A18" s="26">
        <v>45859</v>
      </c>
      <c r="B18" s="27" t="s">
        <v>4</v>
      </c>
      <c r="C18" s="24">
        <v>-76.69</v>
      </c>
    </row>
    <row r="19" spans="1:3" hidden="1" x14ac:dyDescent="0.3">
      <c r="A19" s="26">
        <v>45861</v>
      </c>
      <c r="B19" s="32" t="s">
        <v>21</v>
      </c>
      <c r="C19" s="24">
        <v>15.85</v>
      </c>
    </row>
    <row r="20" spans="1:3" hidden="1" x14ac:dyDescent="0.3">
      <c r="A20" s="26">
        <v>45861</v>
      </c>
      <c r="B20" s="34" t="s">
        <v>21</v>
      </c>
      <c r="C20" s="24">
        <v>13.64</v>
      </c>
    </row>
    <row r="21" spans="1:3" hidden="1" x14ac:dyDescent="0.3">
      <c r="A21" s="26">
        <v>45866</v>
      </c>
      <c r="B21" s="27" t="s">
        <v>4</v>
      </c>
      <c r="C21" s="24">
        <v>-29.49</v>
      </c>
    </row>
    <row r="22" spans="1:3" hidden="1" x14ac:dyDescent="0.3">
      <c r="A22" s="26">
        <v>45868</v>
      </c>
      <c r="B22" s="34" t="s">
        <v>21</v>
      </c>
      <c r="C22" s="24">
        <v>15.51</v>
      </c>
    </row>
    <row r="23" spans="1:3" hidden="1" x14ac:dyDescent="0.3">
      <c r="A23" s="26">
        <v>45873</v>
      </c>
      <c r="B23" s="27" t="s">
        <v>4</v>
      </c>
      <c r="C23" s="24">
        <v>-15.51</v>
      </c>
    </row>
    <row r="24" spans="1:3" hidden="1" x14ac:dyDescent="0.3">
      <c r="A24" s="26">
        <v>45875</v>
      </c>
      <c r="B24" s="32" t="s">
        <v>21</v>
      </c>
      <c r="C24" s="24">
        <v>7.5</v>
      </c>
    </row>
    <row r="25" spans="1:3" hidden="1" x14ac:dyDescent="0.3">
      <c r="A25" s="26">
        <v>45875</v>
      </c>
      <c r="B25" s="34" t="s">
        <v>21</v>
      </c>
      <c r="C25" s="24">
        <v>8.14</v>
      </c>
    </row>
    <row r="26" spans="1:3" hidden="1" x14ac:dyDescent="0.3">
      <c r="A26" s="26">
        <v>45880</v>
      </c>
      <c r="B26" s="27" t="s">
        <v>4</v>
      </c>
      <c r="C26" s="24">
        <v>-15.64</v>
      </c>
    </row>
    <row r="27" spans="1:3" hidden="1" x14ac:dyDescent="0.3">
      <c r="A27" s="26">
        <v>45882</v>
      </c>
      <c r="B27" s="32" t="s">
        <v>21</v>
      </c>
      <c r="C27" s="24">
        <v>15.85</v>
      </c>
    </row>
    <row r="28" spans="1:3" hidden="1" x14ac:dyDescent="0.3">
      <c r="A28" s="26">
        <v>45882</v>
      </c>
      <c r="B28" s="34" t="s">
        <v>21</v>
      </c>
      <c r="C28" s="24">
        <v>33.28</v>
      </c>
    </row>
    <row r="29" spans="1:3" hidden="1" x14ac:dyDescent="0.3">
      <c r="A29" s="26">
        <v>45887</v>
      </c>
      <c r="B29" s="27" t="s">
        <v>4</v>
      </c>
      <c r="C29" s="24">
        <v>-49.13</v>
      </c>
    </row>
    <row r="30" spans="1:3" hidden="1" x14ac:dyDescent="0.3">
      <c r="A30" s="26">
        <v>45897</v>
      </c>
      <c r="B30" s="32" t="s">
        <v>21</v>
      </c>
      <c r="C30" s="24">
        <v>7.5</v>
      </c>
    </row>
    <row r="31" spans="1:3" hidden="1" x14ac:dyDescent="0.3">
      <c r="A31" s="26">
        <v>45898</v>
      </c>
      <c r="B31" s="27" t="s">
        <v>4</v>
      </c>
      <c r="C31" s="24">
        <v>-91.38</v>
      </c>
    </row>
    <row r="32" spans="1:3" hidden="1" x14ac:dyDescent="0.3">
      <c r="A32" s="26">
        <v>45897</v>
      </c>
      <c r="B32" s="34" t="s">
        <v>21</v>
      </c>
      <c r="C32" s="24">
        <v>83.88</v>
      </c>
    </row>
    <row r="33" spans="1:3" hidden="1" x14ac:dyDescent="0.3">
      <c r="A33" s="26">
        <v>45903</v>
      </c>
      <c r="B33" s="34" t="s">
        <v>21</v>
      </c>
      <c r="C33" s="24">
        <v>17.43</v>
      </c>
    </row>
    <row r="34" spans="1:3" hidden="1" x14ac:dyDescent="0.3">
      <c r="A34" s="26">
        <v>45905</v>
      </c>
      <c r="B34" s="27" t="s">
        <v>4</v>
      </c>
      <c r="C34" s="24">
        <v>-17.47</v>
      </c>
    </row>
    <row r="35" spans="1:3" hidden="1" x14ac:dyDescent="0.3">
      <c r="A35" s="26">
        <v>45910</v>
      </c>
      <c r="B35" s="32" t="s">
        <v>21</v>
      </c>
      <c r="C35" s="24">
        <v>20.45</v>
      </c>
    </row>
    <row r="36" spans="1:3" hidden="1" x14ac:dyDescent="0.3">
      <c r="A36" s="26">
        <v>45910</v>
      </c>
      <c r="B36" s="34" t="s">
        <v>21</v>
      </c>
      <c r="C36" s="24">
        <v>41.84</v>
      </c>
    </row>
    <row r="37" spans="1:3" hidden="1" x14ac:dyDescent="0.3">
      <c r="A37" s="26">
        <v>45911</v>
      </c>
      <c r="B37" s="27" t="s">
        <v>4</v>
      </c>
      <c r="C37" s="24">
        <v>-62.29</v>
      </c>
    </row>
    <row r="38" spans="1:3" hidden="1" x14ac:dyDescent="0.3">
      <c r="A38" s="26">
        <v>45918</v>
      </c>
      <c r="B38" s="32" t="s">
        <v>21</v>
      </c>
      <c r="C38" s="24">
        <v>12.1</v>
      </c>
    </row>
    <row r="39" spans="1:3" hidden="1" x14ac:dyDescent="0.3">
      <c r="A39" s="26">
        <v>45918</v>
      </c>
      <c r="B39" s="34" t="s">
        <v>21</v>
      </c>
      <c r="C39" s="24">
        <v>9.0399999999999991</v>
      </c>
    </row>
    <row r="40" spans="1:3" hidden="1" x14ac:dyDescent="0.3">
      <c r="A40" s="26">
        <v>45919</v>
      </c>
      <c r="B40" s="27" t="s">
        <v>4</v>
      </c>
      <c r="C40" s="24">
        <v>-21.14</v>
      </c>
    </row>
    <row r="41" spans="1:3" hidden="1" x14ac:dyDescent="0.3">
      <c r="A41" s="26">
        <v>45924</v>
      </c>
      <c r="B41" s="32" t="s">
        <v>21</v>
      </c>
      <c r="C41" s="24">
        <v>47.662999999999997</v>
      </c>
    </row>
    <row r="42" spans="1:3" hidden="1" x14ac:dyDescent="0.3">
      <c r="A42" s="26">
        <v>45924</v>
      </c>
      <c r="B42" s="34" t="s">
        <v>21</v>
      </c>
      <c r="C42" s="24">
        <v>24.96</v>
      </c>
    </row>
    <row r="43" spans="1:3" hidden="1" x14ac:dyDescent="0.3">
      <c r="A43" s="26">
        <v>45931</v>
      </c>
      <c r="B43" s="27" t="s">
        <v>4</v>
      </c>
      <c r="C43" s="24">
        <v>-72.59</v>
      </c>
    </row>
    <row r="44" spans="1:3" hidden="1" x14ac:dyDescent="0.3">
      <c r="A44" s="26">
        <v>45931</v>
      </c>
      <c r="B44" s="34" t="s">
        <v>21</v>
      </c>
      <c r="C44" s="24">
        <v>56.08</v>
      </c>
    </row>
    <row r="45" spans="1:3" hidden="1" x14ac:dyDescent="0.3">
      <c r="A45" s="26">
        <v>45931</v>
      </c>
      <c r="B45" s="46" t="s">
        <v>21</v>
      </c>
      <c r="C45" s="24">
        <v>15.69</v>
      </c>
    </row>
    <row r="46" spans="1:3" hidden="1" x14ac:dyDescent="0.3">
      <c r="A46" s="26">
        <v>45932</v>
      </c>
      <c r="B46" s="27" t="s">
        <v>4</v>
      </c>
      <c r="C46" s="24">
        <v>-71.77</v>
      </c>
    </row>
    <row r="47" spans="1:3" hidden="1" x14ac:dyDescent="0.3">
      <c r="A47" s="26">
        <v>45938</v>
      </c>
      <c r="B47" s="27" t="s">
        <v>1</v>
      </c>
      <c r="C47" s="24">
        <v>25.06</v>
      </c>
    </row>
    <row r="48" spans="1:3" hidden="1" x14ac:dyDescent="0.3">
      <c r="A48" s="26">
        <v>45938</v>
      </c>
      <c r="B48" s="32" t="s">
        <v>21</v>
      </c>
      <c r="C48" s="24">
        <v>9.6</v>
      </c>
    </row>
    <row r="49" spans="1:3" hidden="1" x14ac:dyDescent="0.3">
      <c r="A49" s="26">
        <v>45938</v>
      </c>
      <c r="B49" s="34" t="s">
        <v>21</v>
      </c>
      <c r="C49" s="24">
        <v>8.84</v>
      </c>
    </row>
    <row r="50" spans="1:3" hidden="1" x14ac:dyDescent="0.3">
      <c r="A50" s="26">
        <v>45938</v>
      </c>
      <c r="B50" s="46" t="s">
        <v>21</v>
      </c>
      <c r="C50" s="24">
        <v>39.26</v>
      </c>
    </row>
    <row r="51" spans="1:3" hidden="1" x14ac:dyDescent="0.3">
      <c r="A51" s="26">
        <v>45939</v>
      </c>
      <c r="B51" s="27" t="s">
        <v>4</v>
      </c>
      <c r="C51" s="24">
        <v>-82.76</v>
      </c>
    </row>
    <row r="52" spans="1:3" hidden="1" x14ac:dyDescent="0.3">
      <c r="A52" s="26">
        <v>45945</v>
      </c>
      <c r="B52" s="27" t="s">
        <v>1</v>
      </c>
      <c r="C52" s="24">
        <v>25.06</v>
      </c>
    </row>
    <row r="53" spans="1:3" hidden="1" x14ac:dyDescent="0.3">
      <c r="A53" s="26">
        <v>45945</v>
      </c>
      <c r="B53" s="32" t="s">
        <v>21</v>
      </c>
      <c r="C53" s="24">
        <v>16.38</v>
      </c>
    </row>
    <row r="54" spans="1:3" hidden="1" x14ac:dyDescent="0.3">
      <c r="A54" s="26">
        <v>45945</v>
      </c>
      <c r="B54" s="34" t="s">
        <v>21</v>
      </c>
      <c r="C54" s="24">
        <v>28.27</v>
      </c>
    </row>
    <row r="55" spans="1:3" hidden="1" x14ac:dyDescent="0.3">
      <c r="A55" s="26">
        <v>45945</v>
      </c>
      <c r="B55" s="46" t="s">
        <v>21</v>
      </c>
      <c r="C55" s="24">
        <v>10.46</v>
      </c>
    </row>
    <row r="56" spans="1:3" hidden="1" x14ac:dyDescent="0.3">
      <c r="A56" s="26">
        <v>45951</v>
      </c>
      <c r="B56" s="27" t="s">
        <v>4</v>
      </c>
      <c r="C56" s="24">
        <v>-80.17</v>
      </c>
    </row>
    <row r="57" spans="1:3" hidden="1" x14ac:dyDescent="0.3">
      <c r="A57" s="26">
        <v>45952</v>
      </c>
      <c r="B57" s="34" t="s">
        <v>21</v>
      </c>
      <c r="C57" s="24">
        <v>116.94</v>
      </c>
    </row>
    <row r="58" spans="1:3" hidden="1" x14ac:dyDescent="0.3">
      <c r="A58" s="26">
        <v>45952</v>
      </c>
      <c r="B58" s="46" t="s">
        <v>21</v>
      </c>
      <c r="C58" s="24">
        <v>3.54</v>
      </c>
    </row>
    <row r="59" spans="1:3" hidden="1" x14ac:dyDescent="0.3">
      <c r="A59" s="26">
        <v>45957</v>
      </c>
      <c r="B59" s="27" t="s">
        <v>4</v>
      </c>
      <c r="C59" s="24">
        <v>-120.48</v>
      </c>
    </row>
    <row r="60" spans="1:3" hidden="1" x14ac:dyDescent="0.3">
      <c r="A60" s="26">
        <v>45959</v>
      </c>
      <c r="B60" s="34" t="s">
        <v>21</v>
      </c>
      <c r="C60" s="24">
        <v>21.9</v>
      </c>
    </row>
    <row r="61" spans="1:3" hidden="1" x14ac:dyDescent="0.3">
      <c r="A61" s="26">
        <v>45961</v>
      </c>
      <c r="B61" s="27" t="s">
        <v>4</v>
      </c>
      <c r="C61" s="24">
        <v>-21.9</v>
      </c>
    </row>
    <row r="62" spans="1:3" hidden="1" x14ac:dyDescent="0.3">
      <c r="A62" s="26">
        <v>45966</v>
      </c>
      <c r="B62" s="32" t="s">
        <v>21</v>
      </c>
      <c r="C62" s="24">
        <v>63.04</v>
      </c>
    </row>
    <row r="63" spans="1:3" hidden="1" x14ac:dyDescent="0.3">
      <c r="A63" s="26">
        <v>45966</v>
      </c>
      <c r="B63" s="34" t="s">
        <v>21</v>
      </c>
      <c r="C63" s="24">
        <v>41.6</v>
      </c>
    </row>
    <row r="64" spans="1:3" hidden="1" x14ac:dyDescent="0.3">
      <c r="A64" s="26">
        <v>45973</v>
      </c>
      <c r="B64" s="27" t="s">
        <v>4</v>
      </c>
      <c r="C64" s="24">
        <v>-104.64</v>
      </c>
    </row>
    <row r="65" spans="1:5" hidden="1" x14ac:dyDescent="0.3">
      <c r="A65" s="26">
        <v>45973</v>
      </c>
      <c r="B65" s="27" t="s">
        <v>1</v>
      </c>
      <c r="C65" s="24">
        <v>40.799999999999997</v>
      </c>
    </row>
    <row r="66" spans="1:5" hidden="1" x14ac:dyDescent="0.3">
      <c r="A66" s="26">
        <v>45974</v>
      </c>
      <c r="B66" s="27" t="s">
        <v>4</v>
      </c>
      <c r="C66" s="24">
        <v>-40.799999999999997</v>
      </c>
    </row>
    <row r="67" spans="1:5" x14ac:dyDescent="0.3">
      <c r="A67" s="26">
        <v>45980</v>
      </c>
      <c r="B67" s="27" t="s">
        <v>1</v>
      </c>
      <c r="C67" s="24">
        <v>64.48</v>
      </c>
      <c r="E67" s="25">
        <v>1</v>
      </c>
    </row>
    <row r="68" spans="1:5" x14ac:dyDescent="0.3">
      <c r="A68" s="26">
        <v>45981</v>
      </c>
      <c r="B68" s="27" t="s">
        <v>4</v>
      </c>
      <c r="C68" s="24">
        <v>-64.48</v>
      </c>
    </row>
    <row r="69" spans="1:5" x14ac:dyDescent="0.3">
      <c r="A69" s="26">
        <v>46001</v>
      </c>
      <c r="B69" s="27" t="s">
        <v>1</v>
      </c>
      <c r="C69" s="24">
        <v>41.16</v>
      </c>
    </row>
    <row r="70" spans="1:5" x14ac:dyDescent="0.3">
      <c r="A70" s="26">
        <v>46008</v>
      </c>
      <c r="B70" s="27" t="s">
        <v>4</v>
      </c>
      <c r="C70" s="24">
        <v>-41.16</v>
      </c>
    </row>
    <row r="71" spans="1:5" x14ac:dyDescent="0.3">
      <c r="A71" s="26">
        <v>46008</v>
      </c>
      <c r="B71" s="27" t="s">
        <v>1</v>
      </c>
      <c r="C71" s="24">
        <v>159.56</v>
      </c>
    </row>
    <row r="72" spans="1:5" x14ac:dyDescent="0.3">
      <c r="A72" s="26">
        <v>46029</v>
      </c>
      <c r="B72" s="27" t="s">
        <v>4</v>
      </c>
      <c r="C72" s="24">
        <v>-159.56</v>
      </c>
    </row>
    <row r="73" spans="1:5" x14ac:dyDescent="0.3">
      <c r="A73" s="26">
        <v>46029</v>
      </c>
      <c r="B73" s="27" t="s">
        <v>1</v>
      </c>
      <c r="C73" s="24">
        <v>73.92</v>
      </c>
    </row>
    <row r="74" spans="1:5" x14ac:dyDescent="0.3">
      <c r="A74" s="26">
        <v>46030</v>
      </c>
      <c r="B74" s="27" t="s">
        <v>4</v>
      </c>
      <c r="C74" s="24">
        <v>-73.92</v>
      </c>
    </row>
    <row r="75" spans="1:5" x14ac:dyDescent="0.3">
      <c r="A75" s="26">
        <v>46036</v>
      </c>
      <c r="B75" s="27" t="s">
        <v>1</v>
      </c>
      <c r="C75" s="24">
        <v>28.26</v>
      </c>
    </row>
    <row r="76" spans="1:5" x14ac:dyDescent="0.3">
      <c r="A76" s="26">
        <v>46042</v>
      </c>
      <c r="B76" s="27" t="s">
        <v>4</v>
      </c>
      <c r="C76" s="24">
        <v>-28.26</v>
      </c>
    </row>
    <row r="77" spans="1:5" x14ac:dyDescent="0.3">
      <c r="A77" s="26">
        <v>46043</v>
      </c>
      <c r="B77" s="27" t="s">
        <v>1</v>
      </c>
      <c r="C77" s="24">
        <v>73.78</v>
      </c>
    </row>
    <row r="78" spans="1:5" x14ac:dyDescent="0.3">
      <c r="A78" s="26">
        <v>46048</v>
      </c>
      <c r="B78" s="27" t="s">
        <v>4</v>
      </c>
      <c r="C78" s="24">
        <v>-73.78</v>
      </c>
    </row>
    <row r="79" spans="1:5" x14ac:dyDescent="0.3">
      <c r="A79" s="26">
        <v>46050</v>
      </c>
      <c r="B79" s="27" t="s">
        <v>1</v>
      </c>
      <c r="C79" s="24">
        <v>38.159999999999997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2C989-6BE7-47F8-85F8-3C3E8F4131AF}">
  <sheetPr codeName="Hoja129"/>
  <dimension ref="A1:I12"/>
  <sheetViews>
    <sheetView view="pageBreakPreview" zoomScale="80" zoomScaleNormal="100" zoomScaleSheetLayoutView="80" workbookViewId="0">
      <selection sqref="A1:H33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342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 t="s">
        <v>27</v>
      </c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0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/>
      <c r="B5" s="34"/>
      <c r="D5" s="30"/>
      <c r="E5" s="30"/>
      <c r="F5" s="30"/>
      <c r="G5" s="22"/>
    </row>
    <row r="6" spans="1:9" x14ac:dyDescent="0.3">
      <c r="A6" s="21"/>
      <c r="B6" s="31"/>
    </row>
    <row r="9" spans="1:9" x14ac:dyDescent="0.3">
      <c r="I9" s="25"/>
    </row>
    <row r="10" spans="1:9" x14ac:dyDescent="0.3">
      <c r="B10" s="31"/>
    </row>
    <row r="12" spans="1:9" x14ac:dyDescent="0.3">
      <c r="B12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374B4-BD5D-467D-82F7-85D75F092F10}">
  <dimension ref="A1:I58"/>
  <sheetViews>
    <sheetView view="pageBreakPreview" zoomScale="80" zoomScaleNormal="100" zoomScaleSheetLayoutView="80" workbookViewId="0">
      <selection activeCell="C59" sqref="C59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427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 t="s">
        <v>426</v>
      </c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6.7399999999999523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45904</v>
      </c>
      <c r="B5" s="32" t="s">
        <v>21</v>
      </c>
      <c r="C5" s="24">
        <v>15.85</v>
      </c>
      <c r="D5" s="30"/>
      <c r="E5" s="30"/>
      <c r="F5" s="30"/>
      <c r="G5" s="22"/>
    </row>
    <row r="6" spans="1:9" hidden="1" x14ac:dyDescent="0.3">
      <c r="A6" s="21">
        <v>45904</v>
      </c>
      <c r="B6" s="34" t="s">
        <v>1</v>
      </c>
      <c r="C6" s="24">
        <v>98.49</v>
      </c>
    </row>
    <row r="7" spans="1:9" hidden="1" x14ac:dyDescent="0.3">
      <c r="A7" s="26">
        <v>45905</v>
      </c>
      <c r="B7" s="27" t="s">
        <v>4</v>
      </c>
      <c r="C7" s="24">
        <v>-113.55</v>
      </c>
    </row>
    <row r="8" spans="1:9" hidden="1" x14ac:dyDescent="0.3">
      <c r="A8" s="26">
        <v>45911</v>
      </c>
      <c r="B8" s="27" t="s">
        <v>4</v>
      </c>
      <c r="C8" s="24">
        <v>-73.33</v>
      </c>
    </row>
    <row r="9" spans="1:9" hidden="1" x14ac:dyDescent="0.3">
      <c r="A9" s="26">
        <v>45911</v>
      </c>
      <c r="B9" s="34" t="s">
        <v>1</v>
      </c>
      <c r="C9" s="24">
        <v>68.94</v>
      </c>
      <c r="I9" s="25"/>
    </row>
    <row r="10" spans="1:9" hidden="1" x14ac:dyDescent="0.3">
      <c r="A10" s="26">
        <v>45918</v>
      </c>
      <c r="B10" s="32" t="s">
        <v>1</v>
      </c>
      <c r="C10" s="24">
        <v>15.85</v>
      </c>
    </row>
    <row r="11" spans="1:9" hidden="1" x14ac:dyDescent="0.3">
      <c r="A11" s="26">
        <v>45918</v>
      </c>
      <c r="B11" s="34" t="s">
        <v>1</v>
      </c>
      <c r="C11" s="24">
        <v>70.92</v>
      </c>
    </row>
    <row r="12" spans="1:9" hidden="1" x14ac:dyDescent="0.3">
      <c r="A12" s="26">
        <v>45925</v>
      </c>
      <c r="B12" s="27" t="s">
        <v>4</v>
      </c>
      <c r="C12" s="24">
        <v>-85.37</v>
      </c>
    </row>
    <row r="13" spans="1:9" hidden="1" x14ac:dyDescent="0.3">
      <c r="A13" s="26">
        <v>45925</v>
      </c>
      <c r="B13" s="27" t="s">
        <v>4</v>
      </c>
      <c r="C13" s="24">
        <v>-97.65</v>
      </c>
    </row>
    <row r="14" spans="1:9" hidden="1" x14ac:dyDescent="0.3">
      <c r="A14" s="26">
        <v>45925</v>
      </c>
      <c r="B14" s="32" t="s">
        <v>1</v>
      </c>
      <c r="C14" s="24">
        <v>9.84</v>
      </c>
    </row>
    <row r="15" spans="1:9" hidden="1" x14ac:dyDescent="0.3">
      <c r="A15" s="26">
        <v>45925</v>
      </c>
      <c r="B15" s="34" t="s">
        <v>1</v>
      </c>
      <c r="C15" s="24">
        <v>96.46</v>
      </c>
    </row>
    <row r="16" spans="1:9" hidden="1" x14ac:dyDescent="0.3">
      <c r="A16" s="26">
        <v>45932</v>
      </c>
      <c r="B16" s="34" t="s">
        <v>1</v>
      </c>
      <c r="C16" s="24">
        <v>103.6</v>
      </c>
    </row>
    <row r="17" spans="1:3" hidden="1" x14ac:dyDescent="0.3">
      <c r="A17" s="26">
        <v>45936</v>
      </c>
      <c r="B17" s="27" t="s">
        <v>4</v>
      </c>
      <c r="C17" s="24">
        <v>-110.05</v>
      </c>
    </row>
    <row r="18" spans="1:3" hidden="1" x14ac:dyDescent="0.3">
      <c r="A18" s="26">
        <v>45939</v>
      </c>
      <c r="B18" s="32" t="s">
        <v>1</v>
      </c>
      <c r="C18" s="24">
        <v>20.88</v>
      </c>
    </row>
    <row r="19" spans="1:3" hidden="1" x14ac:dyDescent="0.3">
      <c r="A19" s="26">
        <v>45939</v>
      </c>
      <c r="B19" s="34" t="s">
        <v>1</v>
      </c>
      <c r="C19" s="24">
        <v>90.26</v>
      </c>
    </row>
    <row r="20" spans="1:3" hidden="1" x14ac:dyDescent="0.3">
      <c r="A20" s="26">
        <v>45944</v>
      </c>
      <c r="B20" s="27" t="s">
        <v>4</v>
      </c>
      <c r="C20" s="24">
        <v>-111.14</v>
      </c>
    </row>
    <row r="21" spans="1:3" hidden="1" x14ac:dyDescent="0.3">
      <c r="A21" s="26">
        <v>45946</v>
      </c>
      <c r="B21" s="34" t="s">
        <v>1</v>
      </c>
      <c r="C21" s="24">
        <v>187.17</v>
      </c>
    </row>
    <row r="22" spans="1:3" hidden="1" x14ac:dyDescent="0.3">
      <c r="A22" s="26">
        <v>45947</v>
      </c>
      <c r="B22" s="27" t="s">
        <v>4</v>
      </c>
      <c r="C22" s="24">
        <v>-66.63</v>
      </c>
    </row>
    <row r="23" spans="1:3" hidden="1" x14ac:dyDescent="0.3">
      <c r="A23" s="26">
        <v>45950</v>
      </c>
      <c r="B23" s="27" t="s">
        <v>4</v>
      </c>
      <c r="C23" s="24">
        <v>-120.54</v>
      </c>
    </row>
    <row r="24" spans="1:3" hidden="1" x14ac:dyDescent="0.3">
      <c r="A24" s="26">
        <v>45953</v>
      </c>
      <c r="B24" s="32" t="s">
        <v>1</v>
      </c>
      <c r="C24" s="24">
        <v>4.5</v>
      </c>
    </row>
    <row r="25" spans="1:3" hidden="1" x14ac:dyDescent="0.3">
      <c r="A25" s="26">
        <v>45953</v>
      </c>
      <c r="B25" s="34" t="s">
        <v>1</v>
      </c>
      <c r="C25" s="24">
        <v>54.66</v>
      </c>
    </row>
    <row r="26" spans="1:3" hidden="1" x14ac:dyDescent="0.3">
      <c r="A26" s="26">
        <v>45958</v>
      </c>
      <c r="B26" s="27" t="s">
        <v>4</v>
      </c>
      <c r="C26" s="24">
        <v>-59.16</v>
      </c>
    </row>
    <row r="27" spans="1:3" hidden="1" x14ac:dyDescent="0.3">
      <c r="A27" s="26">
        <v>45960</v>
      </c>
      <c r="B27" s="32" t="s">
        <v>1</v>
      </c>
      <c r="C27" s="24">
        <v>16.38</v>
      </c>
    </row>
    <row r="28" spans="1:3" hidden="1" x14ac:dyDescent="0.3">
      <c r="A28" s="26">
        <v>45960</v>
      </c>
      <c r="B28" s="34" t="s">
        <v>1</v>
      </c>
      <c r="C28" s="24">
        <v>54.22</v>
      </c>
    </row>
    <row r="29" spans="1:3" hidden="1" x14ac:dyDescent="0.3">
      <c r="A29" s="26">
        <v>45967</v>
      </c>
      <c r="B29" s="27" t="s">
        <v>4</v>
      </c>
      <c r="C29" s="24">
        <v>-70.16</v>
      </c>
    </row>
    <row r="30" spans="1:3" hidden="1" x14ac:dyDescent="0.3">
      <c r="A30" s="26">
        <v>45967</v>
      </c>
      <c r="B30" s="34" t="s">
        <v>1</v>
      </c>
      <c r="C30" s="24">
        <v>46.48</v>
      </c>
    </row>
    <row r="31" spans="1:3" hidden="1" x14ac:dyDescent="0.3">
      <c r="A31" s="26">
        <v>45972</v>
      </c>
      <c r="B31" s="27" t="s">
        <v>4</v>
      </c>
      <c r="C31" s="24">
        <v>-46.47</v>
      </c>
    </row>
    <row r="32" spans="1:3" x14ac:dyDescent="0.3">
      <c r="A32" s="26">
        <v>45974</v>
      </c>
      <c r="B32" s="27" t="s">
        <v>1</v>
      </c>
      <c r="C32" s="24">
        <v>60.49</v>
      </c>
    </row>
    <row r="33" spans="1:3" x14ac:dyDescent="0.3">
      <c r="A33" s="26">
        <v>45975</v>
      </c>
      <c r="B33" s="27" t="s">
        <v>1</v>
      </c>
      <c r="C33" s="24">
        <v>32.64</v>
      </c>
    </row>
    <row r="34" spans="1:3" x14ac:dyDescent="0.3">
      <c r="A34" s="26">
        <v>45979</v>
      </c>
      <c r="B34" s="27" t="s">
        <v>4</v>
      </c>
      <c r="C34" s="24">
        <v>-102.25</v>
      </c>
    </row>
    <row r="35" spans="1:3" x14ac:dyDescent="0.3">
      <c r="A35" s="26">
        <v>45981</v>
      </c>
      <c r="B35" s="27" t="s">
        <v>1</v>
      </c>
      <c r="C35" s="24">
        <v>154.54</v>
      </c>
    </row>
    <row r="36" spans="1:3" x14ac:dyDescent="0.3">
      <c r="A36" s="26">
        <v>45982</v>
      </c>
      <c r="B36" s="27" t="s">
        <v>4</v>
      </c>
      <c r="C36" s="24">
        <v>-45.71</v>
      </c>
    </row>
    <row r="37" spans="1:3" x14ac:dyDescent="0.3">
      <c r="A37" s="26">
        <v>45986</v>
      </c>
      <c r="B37" s="27" t="s">
        <v>4</v>
      </c>
      <c r="C37" s="24">
        <v>-62.54</v>
      </c>
    </row>
    <row r="38" spans="1:3" x14ac:dyDescent="0.3">
      <c r="A38" s="26">
        <v>45987</v>
      </c>
      <c r="B38" s="27" t="s">
        <v>4</v>
      </c>
      <c r="C38" s="24">
        <v>-46</v>
      </c>
    </row>
    <row r="39" spans="1:3" x14ac:dyDescent="0.3">
      <c r="A39" s="26">
        <v>45988</v>
      </c>
      <c r="B39" s="27" t="s">
        <v>1</v>
      </c>
      <c r="C39" s="24">
        <v>69.75</v>
      </c>
    </row>
    <row r="40" spans="1:3" x14ac:dyDescent="0.3">
      <c r="A40" s="26">
        <v>45992</v>
      </c>
      <c r="B40" s="27" t="s">
        <v>4</v>
      </c>
      <c r="C40" s="24">
        <v>-63.37</v>
      </c>
    </row>
    <row r="41" spans="1:3" x14ac:dyDescent="0.3">
      <c r="A41" s="26">
        <v>45995</v>
      </c>
      <c r="B41" s="27" t="s">
        <v>1</v>
      </c>
      <c r="C41" s="24">
        <v>107.93</v>
      </c>
    </row>
    <row r="42" spans="1:3" x14ac:dyDescent="0.3">
      <c r="A42" s="26">
        <v>46000</v>
      </c>
      <c r="B42" s="27" t="s">
        <v>4</v>
      </c>
      <c r="C42" s="24">
        <v>-42.5</v>
      </c>
    </row>
    <row r="43" spans="1:3" x14ac:dyDescent="0.3">
      <c r="A43" s="26">
        <v>46000</v>
      </c>
      <c r="B43" s="27" t="s">
        <v>1</v>
      </c>
      <c r="C43" s="24">
        <v>42.5</v>
      </c>
    </row>
    <row r="44" spans="1:3" x14ac:dyDescent="0.3">
      <c r="A44" s="26">
        <v>46002</v>
      </c>
      <c r="B44" s="27" t="s">
        <v>4</v>
      </c>
      <c r="C44" s="24">
        <v>-106.72</v>
      </c>
    </row>
    <row r="45" spans="1:3" x14ac:dyDescent="0.3">
      <c r="A45" s="26">
        <v>46002</v>
      </c>
      <c r="B45" s="27" t="s">
        <v>1</v>
      </c>
      <c r="C45" s="24">
        <v>38.06</v>
      </c>
    </row>
    <row r="46" spans="1:3" x14ac:dyDescent="0.3">
      <c r="A46" s="26">
        <v>46006</v>
      </c>
      <c r="B46" s="27" t="s">
        <v>4</v>
      </c>
      <c r="C46" s="24">
        <v>-38.06</v>
      </c>
    </row>
    <row r="47" spans="1:3" x14ac:dyDescent="0.3">
      <c r="A47" s="26">
        <v>46010</v>
      </c>
      <c r="B47" s="27" t="s">
        <v>1</v>
      </c>
      <c r="C47" s="24">
        <v>60.1</v>
      </c>
    </row>
    <row r="48" spans="1:3" x14ac:dyDescent="0.3">
      <c r="A48" s="26">
        <v>46013</v>
      </c>
      <c r="B48" s="27" t="s">
        <v>4</v>
      </c>
      <c r="C48" s="24">
        <v>-59.46</v>
      </c>
    </row>
    <row r="49" spans="1:3" x14ac:dyDescent="0.3">
      <c r="A49" s="26">
        <v>46015</v>
      </c>
      <c r="B49" s="27" t="s">
        <v>1</v>
      </c>
      <c r="C49" s="24">
        <v>61.08</v>
      </c>
    </row>
    <row r="50" spans="1:3" x14ac:dyDescent="0.3">
      <c r="A50" s="26">
        <v>46024</v>
      </c>
      <c r="B50" s="27" t="s">
        <v>4</v>
      </c>
      <c r="C50" s="24">
        <v>-60.43</v>
      </c>
    </row>
    <row r="51" spans="1:3" x14ac:dyDescent="0.3">
      <c r="A51" s="26">
        <v>46030</v>
      </c>
      <c r="B51" s="27" t="s">
        <v>1</v>
      </c>
      <c r="C51" s="24">
        <v>116.21</v>
      </c>
    </row>
    <row r="52" spans="1:3" x14ac:dyDescent="0.3">
      <c r="A52" s="26">
        <v>46038</v>
      </c>
      <c r="B52" s="27" t="s">
        <v>4</v>
      </c>
      <c r="C52" s="24">
        <v>-111.32</v>
      </c>
    </row>
    <row r="53" spans="1:3" x14ac:dyDescent="0.3">
      <c r="A53" s="26">
        <v>46038</v>
      </c>
      <c r="B53" s="27" t="s">
        <v>1</v>
      </c>
      <c r="C53" s="24">
        <v>56.38</v>
      </c>
    </row>
    <row r="54" spans="1:3" x14ac:dyDescent="0.3">
      <c r="A54" s="26">
        <v>46044</v>
      </c>
      <c r="B54" s="27" t="s">
        <v>4</v>
      </c>
      <c r="C54" s="24">
        <v>-55.51</v>
      </c>
    </row>
    <row r="55" spans="1:3" x14ac:dyDescent="0.3">
      <c r="A55" s="26">
        <v>46044</v>
      </c>
      <c r="B55" s="27" t="s">
        <v>1</v>
      </c>
      <c r="C55" s="24">
        <v>67.239999999999995</v>
      </c>
    </row>
    <row r="56" spans="1:3" x14ac:dyDescent="0.3">
      <c r="A56" s="26">
        <v>46050</v>
      </c>
      <c r="B56" s="27" t="s">
        <v>4</v>
      </c>
      <c r="C56" s="24">
        <v>-66.760000000000005</v>
      </c>
    </row>
    <row r="57" spans="1:3" x14ac:dyDescent="0.3">
      <c r="A57" s="26">
        <v>46051</v>
      </c>
      <c r="B57" s="27" t="s">
        <v>1</v>
      </c>
      <c r="C57" s="24">
        <v>70.06</v>
      </c>
    </row>
    <row r="58" spans="1:3" x14ac:dyDescent="0.3">
      <c r="A58" s="26">
        <v>46055</v>
      </c>
      <c r="B58" s="27" t="s">
        <v>4</v>
      </c>
      <c r="C58" s="24">
        <v>-70.06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9D9E-5BA3-4AAF-ABEB-9174B6068ECB}">
  <sheetPr codeName="Hoja130"/>
  <dimension ref="A1:I87"/>
  <sheetViews>
    <sheetView view="pageBreakPreview" zoomScale="80" zoomScaleNormal="100" zoomScaleSheetLayoutView="80" workbookViewId="0">
      <selection activeCell="C87" sqref="C8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84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58.050000000000082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45814</v>
      </c>
      <c r="B5" s="32" t="s">
        <v>21</v>
      </c>
      <c r="C5" s="24">
        <v>9.84</v>
      </c>
      <c r="D5" s="30"/>
      <c r="E5" s="30"/>
      <c r="F5" s="30"/>
      <c r="G5" s="22"/>
    </row>
    <row r="6" spans="1:9" hidden="1" x14ac:dyDescent="0.3">
      <c r="A6" s="21">
        <v>45814</v>
      </c>
      <c r="B6" s="50" t="s">
        <v>1</v>
      </c>
      <c r="C6" s="24">
        <v>104.33</v>
      </c>
    </row>
    <row r="7" spans="1:9" hidden="1" x14ac:dyDescent="0.3">
      <c r="A7" s="21">
        <v>45814</v>
      </c>
      <c r="B7" s="51" t="s">
        <v>1</v>
      </c>
      <c r="C7" s="24">
        <v>8.24</v>
      </c>
    </row>
    <row r="8" spans="1:9" hidden="1" x14ac:dyDescent="0.3">
      <c r="A8" s="26">
        <v>45820</v>
      </c>
      <c r="B8" s="27" t="s">
        <v>4</v>
      </c>
      <c r="C8" s="24">
        <v>-122.41</v>
      </c>
    </row>
    <row r="9" spans="1:9" hidden="1" x14ac:dyDescent="0.3">
      <c r="A9" s="26">
        <v>45833</v>
      </c>
      <c r="B9" s="32" t="s">
        <v>21</v>
      </c>
      <c r="C9" s="24">
        <v>25.69</v>
      </c>
      <c r="I9" s="25"/>
    </row>
    <row r="10" spans="1:9" hidden="1" x14ac:dyDescent="0.3">
      <c r="A10" s="26">
        <v>45833</v>
      </c>
      <c r="B10" s="50" t="s">
        <v>1</v>
      </c>
      <c r="C10" s="24">
        <v>213.35</v>
      </c>
    </row>
    <row r="11" spans="1:9" hidden="1" x14ac:dyDescent="0.3">
      <c r="A11" s="26">
        <v>45833</v>
      </c>
      <c r="B11" s="51" t="s">
        <v>1</v>
      </c>
      <c r="C11" s="24">
        <v>12.36</v>
      </c>
    </row>
    <row r="12" spans="1:9" hidden="1" x14ac:dyDescent="0.3">
      <c r="A12" s="26">
        <v>45839</v>
      </c>
      <c r="B12" s="31" t="s">
        <v>4</v>
      </c>
      <c r="C12" s="24">
        <v>-251.4</v>
      </c>
    </row>
    <row r="13" spans="1:9" hidden="1" x14ac:dyDescent="0.3">
      <c r="A13" s="26">
        <v>45840</v>
      </c>
      <c r="B13" s="32" t="s">
        <v>21</v>
      </c>
      <c r="C13" s="24">
        <v>15</v>
      </c>
    </row>
    <row r="14" spans="1:9" hidden="1" x14ac:dyDescent="0.3">
      <c r="A14" s="26">
        <v>45840</v>
      </c>
      <c r="B14" s="50" t="s">
        <v>1</v>
      </c>
      <c r="C14" s="24">
        <v>154.79</v>
      </c>
    </row>
    <row r="15" spans="1:9" hidden="1" x14ac:dyDescent="0.3">
      <c r="A15" s="26">
        <v>45840</v>
      </c>
      <c r="B15" s="51" t="s">
        <v>1</v>
      </c>
      <c r="C15" s="24">
        <v>14.58</v>
      </c>
    </row>
    <row r="16" spans="1:9" hidden="1" x14ac:dyDescent="0.3">
      <c r="A16" s="26">
        <v>45849</v>
      </c>
      <c r="B16" s="27" t="s">
        <v>4</v>
      </c>
      <c r="C16" s="24">
        <v>-184.37</v>
      </c>
    </row>
    <row r="17" spans="1:3" hidden="1" x14ac:dyDescent="0.3">
      <c r="A17" s="26">
        <v>45854</v>
      </c>
      <c r="B17" s="32" t="s">
        <v>21</v>
      </c>
      <c r="C17" s="24">
        <v>25.69</v>
      </c>
    </row>
    <row r="18" spans="1:3" hidden="1" x14ac:dyDescent="0.3">
      <c r="A18" s="26">
        <v>45854</v>
      </c>
      <c r="B18" s="50" t="s">
        <v>1</v>
      </c>
      <c r="C18" s="24">
        <v>52.1</v>
      </c>
    </row>
    <row r="19" spans="1:3" hidden="1" x14ac:dyDescent="0.3">
      <c r="A19" s="26">
        <v>45860</v>
      </c>
      <c r="B19" s="27" t="s">
        <v>4</v>
      </c>
      <c r="C19" s="24">
        <v>-77.790000000000006</v>
      </c>
    </row>
    <row r="20" spans="1:3" hidden="1" x14ac:dyDescent="0.3">
      <c r="A20" s="26">
        <v>45861</v>
      </c>
      <c r="B20" s="32" t="s">
        <v>21</v>
      </c>
      <c r="C20" s="24">
        <v>17.34</v>
      </c>
    </row>
    <row r="21" spans="1:3" hidden="1" x14ac:dyDescent="0.3">
      <c r="A21" s="26">
        <v>45861</v>
      </c>
      <c r="B21" s="50" t="s">
        <v>1</v>
      </c>
      <c r="C21" s="24">
        <v>96.24</v>
      </c>
    </row>
    <row r="22" spans="1:3" hidden="1" x14ac:dyDescent="0.3">
      <c r="A22" s="26">
        <v>45869</v>
      </c>
      <c r="B22" s="32" t="s">
        <v>21</v>
      </c>
      <c r="C22" s="24">
        <v>9.84</v>
      </c>
    </row>
    <row r="23" spans="1:3" hidden="1" x14ac:dyDescent="0.3">
      <c r="A23" s="26">
        <v>45869</v>
      </c>
      <c r="B23" s="50" t="s">
        <v>1</v>
      </c>
      <c r="C23" s="24">
        <v>56.84</v>
      </c>
    </row>
    <row r="24" spans="1:3" hidden="1" x14ac:dyDescent="0.3">
      <c r="A24" s="26">
        <v>45874</v>
      </c>
      <c r="B24" s="27" t="s">
        <v>4</v>
      </c>
      <c r="C24" s="24">
        <v>-113.58</v>
      </c>
    </row>
    <row r="25" spans="1:3" hidden="1" x14ac:dyDescent="0.3">
      <c r="A25" s="26">
        <v>45876</v>
      </c>
      <c r="B25" s="27" t="s">
        <v>4</v>
      </c>
      <c r="C25" s="24">
        <v>-66.680000000000007</v>
      </c>
    </row>
    <row r="26" spans="1:3" hidden="1" x14ac:dyDescent="0.3">
      <c r="A26" s="26">
        <v>45876</v>
      </c>
      <c r="B26" s="32" t="s">
        <v>21</v>
      </c>
      <c r="C26" s="24">
        <v>15.85</v>
      </c>
    </row>
    <row r="27" spans="1:3" hidden="1" x14ac:dyDescent="0.3">
      <c r="A27" s="26">
        <v>45876</v>
      </c>
      <c r="B27" s="50" t="s">
        <v>1</v>
      </c>
      <c r="C27" s="24">
        <v>54.15</v>
      </c>
    </row>
    <row r="28" spans="1:3" hidden="1" x14ac:dyDescent="0.3">
      <c r="A28" s="26">
        <v>45883</v>
      </c>
      <c r="B28" s="27" t="s">
        <v>4</v>
      </c>
      <c r="C28" s="24">
        <v>-70</v>
      </c>
    </row>
    <row r="29" spans="1:3" hidden="1" x14ac:dyDescent="0.3">
      <c r="A29" s="26">
        <v>45883</v>
      </c>
      <c r="B29" s="32" t="s">
        <v>21</v>
      </c>
      <c r="C29" s="24">
        <v>19.5</v>
      </c>
    </row>
    <row r="30" spans="1:3" hidden="1" x14ac:dyDescent="0.3">
      <c r="A30" s="26">
        <v>45883</v>
      </c>
      <c r="B30" s="50" t="s">
        <v>1</v>
      </c>
      <c r="C30" s="24">
        <v>112.88</v>
      </c>
    </row>
    <row r="31" spans="1:3" hidden="1" x14ac:dyDescent="0.3">
      <c r="A31" s="26">
        <v>45887</v>
      </c>
      <c r="B31" s="27" t="s">
        <v>4</v>
      </c>
      <c r="C31" s="24">
        <v>-132.38</v>
      </c>
    </row>
    <row r="32" spans="1:3" hidden="1" x14ac:dyDescent="0.3">
      <c r="A32" s="26">
        <v>45890</v>
      </c>
      <c r="B32" s="50" t="s">
        <v>1</v>
      </c>
      <c r="C32" s="24">
        <v>106.12</v>
      </c>
    </row>
    <row r="33" spans="1:3" hidden="1" x14ac:dyDescent="0.3">
      <c r="A33" s="26">
        <v>45890</v>
      </c>
      <c r="B33" s="32" t="s">
        <v>1</v>
      </c>
      <c r="C33" s="24">
        <v>25.69</v>
      </c>
    </row>
    <row r="34" spans="1:3" hidden="1" x14ac:dyDescent="0.3">
      <c r="A34" s="26">
        <v>45895</v>
      </c>
      <c r="B34" s="27" t="s">
        <v>4</v>
      </c>
      <c r="C34" s="24">
        <v>-131.81</v>
      </c>
    </row>
    <row r="35" spans="1:3" hidden="1" x14ac:dyDescent="0.3">
      <c r="A35" s="26">
        <v>45897</v>
      </c>
      <c r="B35" s="32" t="s">
        <v>1</v>
      </c>
      <c r="C35" s="24">
        <v>23.35</v>
      </c>
    </row>
    <row r="36" spans="1:3" hidden="1" x14ac:dyDescent="0.3">
      <c r="A36" s="26">
        <v>45897</v>
      </c>
      <c r="B36" s="50" t="s">
        <v>1</v>
      </c>
      <c r="C36" s="24">
        <v>84.96</v>
      </c>
    </row>
    <row r="37" spans="1:3" hidden="1" x14ac:dyDescent="0.3">
      <c r="A37" s="26">
        <v>45902</v>
      </c>
      <c r="B37" s="27" t="s">
        <v>4</v>
      </c>
      <c r="C37" s="24">
        <v>-108.31</v>
      </c>
    </row>
    <row r="38" spans="1:3" hidden="1" x14ac:dyDescent="0.3">
      <c r="A38" s="26">
        <v>45904</v>
      </c>
      <c r="B38" s="32" t="s">
        <v>1</v>
      </c>
      <c r="C38" s="24">
        <v>15.85</v>
      </c>
    </row>
    <row r="39" spans="1:3" hidden="1" x14ac:dyDescent="0.3">
      <c r="A39" s="26">
        <v>45904</v>
      </c>
      <c r="B39" s="50" t="s">
        <v>1</v>
      </c>
      <c r="C39" s="24">
        <v>34.68</v>
      </c>
    </row>
    <row r="40" spans="1:3" hidden="1" x14ac:dyDescent="0.3">
      <c r="A40" s="26">
        <v>45911</v>
      </c>
      <c r="B40" s="32" t="s">
        <v>1</v>
      </c>
      <c r="C40" s="24">
        <v>15</v>
      </c>
    </row>
    <row r="41" spans="1:3" hidden="1" x14ac:dyDescent="0.3">
      <c r="A41" s="26">
        <v>45911</v>
      </c>
      <c r="B41" s="50" t="s">
        <v>1</v>
      </c>
      <c r="C41" s="24">
        <v>115.14</v>
      </c>
    </row>
    <row r="42" spans="1:3" hidden="1" x14ac:dyDescent="0.3">
      <c r="A42" s="26">
        <v>45918</v>
      </c>
      <c r="B42" s="27" t="s">
        <v>4</v>
      </c>
      <c r="C42" s="24">
        <v>-50.53</v>
      </c>
    </row>
    <row r="43" spans="1:3" hidden="1" x14ac:dyDescent="0.3">
      <c r="A43" s="26">
        <v>45918</v>
      </c>
      <c r="B43" s="27" t="s">
        <v>4</v>
      </c>
      <c r="C43" s="24">
        <v>-130.13999999999999</v>
      </c>
    </row>
    <row r="44" spans="1:3" hidden="1" x14ac:dyDescent="0.3">
      <c r="A44" s="26">
        <v>45925</v>
      </c>
      <c r="B44" s="32" t="s">
        <v>1</v>
      </c>
      <c r="C44" s="24">
        <v>25.69</v>
      </c>
    </row>
    <row r="45" spans="1:3" hidden="1" x14ac:dyDescent="0.3">
      <c r="A45" s="26">
        <v>45925</v>
      </c>
      <c r="B45" s="50" t="s">
        <v>1</v>
      </c>
      <c r="C45" s="24">
        <v>143.49</v>
      </c>
    </row>
    <row r="46" spans="1:3" hidden="1" x14ac:dyDescent="0.3">
      <c r="A46" s="26">
        <v>45929</v>
      </c>
      <c r="B46" s="27" t="s">
        <v>4</v>
      </c>
      <c r="C46" s="24">
        <v>-169.18</v>
      </c>
    </row>
    <row r="47" spans="1:3" hidden="1" x14ac:dyDescent="0.3">
      <c r="A47" s="26">
        <v>45932</v>
      </c>
      <c r="B47" s="32" t="s">
        <v>1</v>
      </c>
      <c r="C47" s="24">
        <v>17.34</v>
      </c>
    </row>
    <row r="48" spans="1:3" hidden="1" x14ac:dyDescent="0.3">
      <c r="A48" s="26">
        <v>45932</v>
      </c>
      <c r="B48" s="50" t="s">
        <v>1</v>
      </c>
      <c r="C48" s="24">
        <v>96.44</v>
      </c>
    </row>
    <row r="49" spans="1:3" hidden="1" x14ac:dyDescent="0.3">
      <c r="A49" s="26">
        <v>45932</v>
      </c>
      <c r="B49" s="51" t="s">
        <v>1</v>
      </c>
      <c r="C49" s="24">
        <v>11.68</v>
      </c>
    </row>
    <row r="50" spans="1:3" hidden="1" x14ac:dyDescent="0.3">
      <c r="A50" s="26">
        <v>45939</v>
      </c>
      <c r="B50" s="27" t="s">
        <v>4</v>
      </c>
      <c r="C50" s="24">
        <v>-125.46</v>
      </c>
    </row>
    <row r="51" spans="1:3" hidden="1" x14ac:dyDescent="0.3">
      <c r="A51" s="26">
        <v>45940</v>
      </c>
      <c r="B51" s="32" t="s">
        <v>1</v>
      </c>
      <c r="C51" s="24">
        <v>16.38</v>
      </c>
    </row>
    <row r="52" spans="1:3" hidden="1" x14ac:dyDescent="0.3">
      <c r="A52" s="26">
        <v>45940</v>
      </c>
      <c r="B52" s="50" t="s">
        <v>1</v>
      </c>
      <c r="C52" s="24">
        <v>130.08000000000001</v>
      </c>
    </row>
    <row r="53" spans="1:3" hidden="1" x14ac:dyDescent="0.3">
      <c r="A53" s="26">
        <v>45945</v>
      </c>
      <c r="B53" s="27" t="s">
        <v>4</v>
      </c>
      <c r="C53" s="24">
        <v>-80</v>
      </c>
    </row>
    <row r="54" spans="1:3" hidden="1" x14ac:dyDescent="0.3">
      <c r="A54" s="26">
        <v>45947</v>
      </c>
      <c r="B54" s="50" t="s">
        <v>1</v>
      </c>
      <c r="C54" s="24">
        <v>68.22</v>
      </c>
    </row>
    <row r="55" spans="1:3" hidden="1" x14ac:dyDescent="0.3">
      <c r="A55" s="26">
        <v>45947</v>
      </c>
      <c r="B55" s="51" t="s">
        <v>1</v>
      </c>
      <c r="C55" s="24">
        <v>11.68</v>
      </c>
    </row>
    <row r="56" spans="1:3" hidden="1" x14ac:dyDescent="0.3">
      <c r="A56" s="26">
        <v>45950</v>
      </c>
      <c r="B56" s="27" t="s">
        <v>4</v>
      </c>
      <c r="C56" s="24">
        <v>-66.459999999999994</v>
      </c>
    </row>
    <row r="57" spans="1:3" hidden="1" x14ac:dyDescent="0.3">
      <c r="A57" s="26">
        <v>45953</v>
      </c>
      <c r="B57" s="32" t="s">
        <v>1</v>
      </c>
      <c r="C57" s="24">
        <v>33.72</v>
      </c>
    </row>
    <row r="58" spans="1:3" hidden="1" x14ac:dyDescent="0.3">
      <c r="A58" s="26">
        <v>45953</v>
      </c>
      <c r="B58" s="50" t="s">
        <v>1</v>
      </c>
      <c r="C58" s="24">
        <v>54.66</v>
      </c>
    </row>
    <row r="59" spans="1:3" hidden="1" x14ac:dyDescent="0.3">
      <c r="A59" s="26">
        <v>45954</v>
      </c>
      <c r="B59" s="27" t="s">
        <v>4</v>
      </c>
      <c r="C59" s="24">
        <v>-79.900000000000006</v>
      </c>
    </row>
    <row r="60" spans="1:3" hidden="1" x14ac:dyDescent="0.3">
      <c r="A60" s="26">
        <v>45960</v>
      </c>
      <c r="B60" s="27" t="s">
        <v>4</v>
      </c>
      <c r="C60" s="24">
        <v>-88.38</v>
      </c>
    </row>
    <row r="61" spans="1:3" hidden="1" x14ac:dyDescent="0.3">
      <c r="A61" s="26">
        <v>45960</v>
      </c>
      <c r="B61" s="32" t="s">
        <v>1</v>
      </c>
      <c r="C61" s="24">
        <v>7.5</v>
      </c>
    </row>
    <row r="62" spans="1:3" hidden="1" x14ac:dyDescent="0.3">
      <c r="A62" s="26">
        <v>45960</v>
      </c>
      <c r="B62" s="50" t="s">
        <v>1</v>
      </c>
      <c r="C62" s="24">
        <v>271.70999999999998</v>
      </c>
    </row>
    <row r="63" spans="1:3" hidden="1" x14ac:dyDescent="0.3">
      <c r="A63" s="26">
        <v>45967</v>
      </c>
      <c r="B63" s="27" t="s">
        <v>4</v>
      </c>
      <c r="C63" s="24">
        <v>-279.20999999999998</v>
      </c>
    </row>
    <row r="64" spans="1:3" hidden="1" x14ac:dyDescent="0.3">
      <c r="A64" s="26">
        <v>45967</v>
      </c>
      <c r="B64" s="32" t="s">
        <v>1</v>
      </c>
      <c r="C64" s="24">
        <v>34.020000000000003</v>
      </c>
    </row>
    <row r="65" spans="1:3" hidden="1" x14ac:dyDescent="0.3">
      <c r="A65" s="26">
        <v>45967</v>
      </c>
      <c r="B65" s="50" t="s">
        <v>1</v>
      </c>
      <c r="C65" s="24">
        <v>120.48</v>
      </c>
    </row>
    <row r="66" spans="1:3" hidden="1" x14ac:dyDescent="0.3">
      <c r="A66" s="26">
        <v>45967</v>
      </c>
      <c r="B66" s="51" t="s">
        <v>1</v>
      </c>
      <c r="C66" s="24">
        <v>11.68</v>
      </c>
    </row>
    <row r="67" spans="1:3" hidden="1" x14ac:dyDescent="0.3">
      <c r="A67" s="26">
        <v>45974</v>
      </c>
      <c r="B67" s="27" t="s">
        <v>1</v>
      </c>
      <c r="C67" s="24">
        <v>208.62</v>
      </c>
    </row>
    <row r="68" spans="1:3" hidden="1" x14ac:dyDescent="0.3">
      <c r="A68" s="26">
        <v>45975</v>
      </c>
      <c r="B68" s="27" t="s">
        <v>4</v>
      </c>
      <c r="C68" s="24">
        <v>-166.18</v>
      </c>
    </row>
    <row r="69" spans="1:3" hidden="1" x14ac:dyDescent="0.3">
      <c r="A69" s="26">
        <v>45981</v>
      </c>
      <c r="B69" s="27" t="s">
        <v>4</v>
      </c>
      <c r="C69" s="24">
        <v>-208.62</v>
      </c>
    </row>
    <row r="70" spans="1:3" hidden="1" x14ac:dyDescent="0.3">
      <c r="A70" s="26">
        <v>45981</v>
      </c>
      <c r="B70" s="27" t="s">
        <v>1</v>
      </c>
      <c r="C70" s="24">
        <v>68.180000000000007</v>
      </c>
    </row>
    <row r="71" spans="1:3" hidden="1" x14ac:dyDescent="0.3">
      <c r="A71" s="26">
        <v>45988</v>
      </c>
      <c r="B71" s="27" t="s">
        <v>4</v>
      </c>
      <c r="C71" s="24">
        <v>-68.180000000000007</v>
      </c>
    </row>
    <row r="72" spans="1:3" x14ac:dyDescent="0.3">
      <c r="A72" s="26">
        <v>45988</v>
      </c>
      <c r="B72" s="27" t="s">
        <v>1</v>
      </c>
      <c r="C72" s="24">
        <v>165.06</v>
      </c>
    </row>
    <row r="73" spans="1:3" x14ac:dyDescent="0.3">
      <c r="A73" s="26">
        <v>46001</v>
      </c>
      <c r="B73" s="27" t="s">
        <v>4</v>
      </c>
      <c r="C73" s="24">
        <v>-165.01</v>
      </c>
    </row>
    <row r="74" spans="1:3" x14ac:dyDescent="0.3">
      <c r="A74" s="26">
        <v>46002</v>
      </c>
      <c r="B74" s="27" t="s">
        <v>1</v>
      </c>
      <c r="C74" s="24">
        <v>83.16</v>
      </c>
    </row>
    <row r="75" spans="1:3" x14ac:dyDescent="0.3">
      <c r="A75" s="26">
        <v>46009</v>
      </c>
      <c r="B75" s="27" t="s">
        <v>1</v>
      </c>
      <c r="C75" s="24">
        <v>318.26</v>
      </c>
    </row>
    <row r="76" spans="1:3" x14ac:dyDescent="0.3">
      <c r="A76" s="26">
        <v>46020</v>
      </c>
      <c r="B76" s="27" t="s">
        <v>4</v>
      </c>
      <c r="C76" s="24">
        <v>-83.16</v>
      </c>
    </row>
    <row r="77" spans="1:3" x14ac:dyDescent="0.3">
      <c r="A77" s="26">
        <v>46024</v>
      </c>
      <c r="B77" s="27" t="s">
        <v>4</v>
      </c>
      <c r="C77" s="24">
        <v>-180</v>
      </c>
    </row>
    <row r="78" spans="1:3" x14ac:dyDescent="0.3">
      <c r="A78" s="26">
        <v>46028</v>
      </c>
      <c r="B78" s="27" t="s">
        <v>4</v>
      </c>
      <c r="C78" s="24">
        <v>-138.26</v>
      </c>
    </row>
    <row r="79" spans="1:3" x14ac:dyDescent="0.3">
      <c r="A79" s="26">
        <v>46030</v>
      </c>
      <c r="B79" s="27" t="s">
        <v>1</v>
      </c>
      <c r="C79" s="24">
        <v>221.92</v>
      </c>
    </row>
    <row r="80" spans="1:3" x14ac:dyDescent="0.3">
      <c r="A80" s="26">
        <v>46036</v>
      </c>
      <c r="B80" s="27" t="s">
        <v>4</v>
      </c>
      <c r="C80" s="24">
        <v>-221.92</v>
      </c>
    </row>
    <row r="81" spans="1:3" x14ac:dyDescent="0.3">
      <c r="A81" s="26">
        <v>46037</v>
      </c>
      <c r="B81" s="27" t="s">
        <v>1</v>
      </c>
      <c r="C81" s="24">
        <v>180.64</v>
      </c>
    </row>
    <row r="82" spans="1:3" x14ac:dyDescent="0.3">
      <c r="A82" s="26">
        <v>46042</v>
      </c>
      <c r="B82" s="27" t="s">
        <v>4</v>
      </c>
      <c r="C82" s="24">
        <v>-180.64</v>
      </c>
    </row>
    <row r="83" spans="1:3" x14ac:dyDescent="0.3">
      <c r="A83" s="26">
        <v>46044</v>
      </c>
      <c r="B83" s="27" t="s">
        <v>1</v>
      </c>
      <c r="C83" s="24">
        <v>101.34</v>
      </c>
    </row>
    <row r="84" spans="1:3" x14ac:dyDescent="0.3">
      <c r="A84" s="26">
        <v>46051</v>
      </c>
      <c r="B84" s="27" t="s">
        <v>1</v>
      </c>
      <c r="C84" s="24">
        <v>119.89</v>
      </c>
    </row>
    <row r="85" spans="1:3" x14ac:dyDescent="0.3">
      <c r="A85" s="26">
        <v>46052</v>
      </c>
      <c r="B85" s="27" t="s">
        <v>1</v>
      </c>
      <c r="C85" s="24">
        <v>58</v>
      </c>
    </row>
    <row r="86" spans="1:3" x14ac:dyDescent="0.3">
      <c r="A86" s="26">
        <v>46056</v>
      </c>
      <c r="B86" s="27" t="s">
        <v>4</v>
      </c>
      <c r="C86" s="24">
        <v>-101.34</v>
      </c>
    </row>
    <row r="87" spans="1:3" x14ac:dyDescent="0.3">
      <c r="A87" s="26">
        <v>46056</v>
      </c>
      <c r="B87" s="27" t="s">
        <v>4</v>
      </c>
      <c r="C87" s="24">
        <v>-119.89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B3B96-BF02-4490-A8DD-5C82DB86AC1F}">
  <dimension ref="A1:I15"/>
  <sheetViews>
    <sheetView view="pageBreakPreview" zoomScale="80" zoomScaleNormal="100" zoomScaleSheetLayoutView="80" workbookViewId="0"/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461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-2.8999999999999986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45931</v>
      </c>
      <c r="B5" s="27" t="s">
        <v>21</v>
      </c>
      <c r="C5" s="24">
        <v>23.8</v>
      </c>
      <c r="D5" s="30"/>
      <c r="E5" s="30"/>
      <c r="F5" s="30"/>
      <c r="G5" s="22"/>
    </row>
    <row r="6" spans="1:9" x14ac:dyDescent="0.3">
      <c r="A6" s="21">
        <v>45940</v>
      </c>
      <c r="B6" s="27" t="s">
        <v>4</v>
      </c>
      <c r="C6" s="24">
        <v>-26.7</v>
      </c>
    </row>
    <row r="9" spans="1:9" x14ac:dyDescent="0.3">
      <c r="B9" s="34"/>
      <c r="I9" s="25"/>
    </row>
    <row r="10" spans="1:9" x14ac:dyDescent="0.3">
      <c r="B10" s="32"/>
    </row>
    <row r="11" spans="1:9" x14ac:dyDescent="0.3">
      <c r="B11" s="34"/>
    </row>
    <row r="14" spans="1:9" x14ac:dyDescent="0.3">
      <c r="B14" s="32"/>
    </row>
    <row r="15" spans="1:9" x14ac:dyDescent="0.3">
      <c r="B15" s="34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273F5-AEF1-4758-A9D6-AF2D5E7C6EF6}">
  <sheetPr codeName="Hoja131"/>
  <dimension ref="A1:I71"/>
  <sheetViews>
    <sheetView view="pageBreakPreview" topLeftCell="A49" zoomScale="80" zoomScaleNormal="100" zoomScaleSheetLayoutView="80" workbookViewId="0">
      <selection activeCell="B72" sqref="B7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36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28.91</v>
      </c>
      <c r="D3" s="20">
        <f>SUM(D$4:D$1048576)</f>
        <v>5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45649</v>
      </c>
      <c r="B5" s="29" t="s">
        <v>22</v>
      </c>
      <c r="C5" s="22"/>
      <c r="D5" s="30">
        <v>2</v>
      </c>
      <c r="E5" s="30"/>
      <c r="F5" s="30"/>
      <c r="G5" s="22"/>
    </row>
    <row r="6" spans="1:9" x14ac:dyDescent="0.3">
      <c r="A6" s="21">
        <v>45656</v>
      </c>
      <c r="B6" s="31" t="s">
        <v>22</v>
      </c>
      <c r="D6" s="25">
        <v>3</v>
      </c>
    </row>
    <row r="7" spans="1:9" x14ac:dyDescent="0.3">
      <c r="A7" s="26">
        <v>45660</v>
      </c>
      <c r="B7" s="31" t="s">
        <v>22</v>
      </c>
      <c r="D7" s="25">
        <v>-3</v>
      </c>
    </row>
    <row r="8" spans="1:9" x14ac:dyDescent="0.3">
      <c r="A8" s="21">
        <v>45555</v>
      </c>
      <c r="B8" s="28" t="s">
        <v>9</v>
      </c>
      <c r="C8" s="22">
        <v>100</v>
      </c>
    </row>
    <row r="9" spans="1:9" x14ac:dyDescent="0.3">
      <c r="A9" s="26">
        <v>45562</v>
      </c>
      <c r="B9" s="28" t="s">
        <v>7</v>
      </c>
      <c r="C9" s="24">
        <v>-20</v>
      </c>
      <c r="I9" s="25"/>
    </row>
    <row r="10" spans="1:9" x14ac:dyDescent="0.3">
      <c r="A10" s="26">
        <v>45569</v>
      </c>
      <c r="B10" s="28" t="s">
        <v>7</v>
      </c>
      <c r="C10" s="24">
        <v>-20</v>
      </c>
    </row>
    <row r="11" spans="1:9" x14ac:dyDescent="0.3">
      <c r="A11" s="26">
        <v>45576</v>
      </c>
      <c r="B11" s="28" t="s">
        <v>7</v>
      </c>
      <c r="C11" s="24">
        <v>-20</v>
      </c>
    </row>
    <row r="12" spans="1:9" x14ac:dyDescent="0.3">
      <c r="A12" s="26">
        <v>45583</v>
      </c>
      <c r="B12" s="28" t="s">
        <v>7</v>
      </c>
      <c r="C12" s="24">
        <v>-10</v>
      </c>
    </row>
    <row r="13" spans="1:9" x14ac:dyDescent="0.3">
      <c r="A13" s="26">
        <v>45592</v>
      </c>
      <c r="B13" s="28" t="s">
        <v>4</v>
      </c>
      <c r="C13" s="24">
        <v>-10</v>
      </c>
    </row>
    <row r="14" spans="1:9" x14ac:dyDescent="0.3">
      <c r="A14" s="26">
        <v>45600</v>
      </c>
      <c r="B14" s="28" t="s">
        <v>7</v>
      </c>
      <c r="C14" s="24">
        <v>-10</v>
      </c>
    </row>
    <row r="15" spans="1:9" x14ac:dyDescent="0.3">
      <c r="A15" s="26">
        <v>45612</v>
      </c>
      <c r="B15" s="28" t="s">
        <v>7</v>
      </c>
      <c r="C15" s="24">
        <v>-10</v>
      </c>
    </row>
    <row r="16" spans="1:9" x14ac:dyDescent="0.3">
      <c r="A16" s="26">
        <v>45625</v>
      </c>
      <c r="B16" s="28" t="s">
        <v>9</v>
      </c>
      <c r="C16" s="24">
        <v>50</v>
      </c>
    </row>
    <row r="17" spans="1:3" x14ac:dyDescent="0.3">
      <c r="A17" s="26">
        <v>45630</v>
      </c>
      <c r="B17" s="36" t="s">
        <v>21</v>
      </c>
      <c r="C17" s="24">
        <v>14.4</v>
      </c>
    </row>
    <row r="18" spans="1:3" x14ac:dyDescent="0.3">
      <c r="A18" s="26">
        <v>45632</v>
      </c>
      <c r="B18" s="28" t="s">
        <v>7</v>
      </c>
      <c r="C18" s="24">
        <v>-10</v>
      </c>
    </row>
    <row r="19" spans="1:3" x14ac:dyDescent="0.3">
      <c r="A19" s="26">
        <v>45640</v>
      </c>
      <c r="B19" s="28" t="s">
        <v>7</v>
      </c>
      <c r="C19" s="24">
        <v>-20</v>
      </c>
    </row>
    <row r="20" spans="1:3" x14ac:dyDescent="0.3">
      <c r="A20" s="26">
        <v>45646</v>
      </c>
      <c r="B20" s="28" t="s">
        <v>7</v>
      </c>
      <c r="C20" s="24">
        <v>-20</v>
      </c>
    </row>
    <row r="21" spans="1:3" x14ac:dyDescent="0.3">
      <c r="A21" s="26">
        <v>45649</v>
      </c>
      <c r="B21" s="40" t="s">
        <v>1</v>
      </c>
      <c r="C21" s="24">
        <v>23.24</v>
      </c>
    </row>
    <row r="22" spans="1:3" x14ac:dyDescent="0.3">
      <c r="A22" s="26">
        <v>45664</v>
      </c>
      <c r="B22" s="28" t="s">
        <v>9</v>
      </c>
      <c r="C22" s="24">
        <v>17.100000000000001</v>
      </c>
    </row>
    <row r="23" spans="1:3" x14ac:dyDescent="0.3">
      <c r="A23" s="26">
        <v>45664</v>
      </c>
      <c r="B23" s="28" t="s">
        <v>7</v>
      </c>
      <c r="C23" s="24">
        <v>-10</v>
      </c>
    </row>
    <row r="24" spans="1:3" x14ac:dyDescent="0.3">
      <c r="A24" s="26">
        <v>45674</v>
      </c>
      <c r="B24" s="28" t="s">
        <v>7</v>
      </c>
      <c r="C24" s="24">
        <v>-20</v>
      </c>
    </row>
    <row r="25" spans="1:3" x14ac:dyDescent="0.3">
      <c r="A25" s="26">
        <v>45698</v>
      </c>
      <c r="B25" s="28" t="s">
        <v>7</v>
      </c>
      <c r="C25" s="24">
        <v>-10</v>
      </c>
    </row>
    <row r="26" spans="1:3" x14ac:dyDescent="0.3">
      <c r="A26" s="26">
        <v>45702</v>
      </c>
      <c r="B26" s="28" t="s">
        <v>7</v>
      </c>
      <c r="C26" s="24">
        <v>-10</v>
      </c>
    </row>
    <row r="27" spans="1:3" x14ac:dyDescent="0.3">
      <c r="A27" s="26">
        <v>45707</v>
      </c>
      <c r="B27" s="40" t="s">
        <v>1</v>
      </c>
      <c r="C27" s="24">
        <v>3.98</v>
      </c>
    </row>
    <row r="28" spans="1:3" x14ac:dyDescent="0.3">
      <c r="A28" s="26">
        <v>45716</v>
      </c>
      <c r="B28" s="28" t="s">
        <v>9</v>
      </c>
      <c r="C28" s="24">
        <v>50</v>
      </c>
    </row>
    <row r="29" spans="1:3" x14ac:dyDescent="0.3">
      <c r="A29" s="26">
        <v>45726</v>
      </c>
      <c r="B29" s="28" t="s">
        <v>4</v>
      </c>
      <c r="C29" s="24">
        <v>-20</v>
      </c>
    </row>
    <row r="30" spans="1:3" x14ac:dyDescent="0.3">
      <c r="A30" s="26">
        <v>45730</v>
      </c>
      <c r="B30" s="28" t="s">
        <v>4</v>
      </c>
      <c r="C30" s="24">
        <v>-18</v>
      </c>
    </row>
    <row r="31" spans="1:3" x14ac:dyDescent="0.3">
      <c r="A31" s="26">
        <v>45744</v>
      </c>
      <c r="B31" s="28" t="s">
        <v>4</v>
      </c>
      <c r="C31" s="24">
        <v>-10</v>
      </c>
    </row>
    <row r="32" spans="1:3" x14ac:dyDescent="0.3">
      <c r="A32" s="26">
        <v>45751</v>
      </c>
      <c r="B32" s="28" t="s">
        <v>4</v>
      </c>
      <c r="C32" s="24">
        <v>-10</v>
      </c>
    </row>
    <row r="33" spans="1:4" x14ac:dyDescent="0.3">
      <c r="A33" s="26">
        <v>45779</v>
      </c>
      <c r="B33" s="28" t="s">
        <v>9</v>
      </c>
      <c r="C33" s="24">
        <v>25</v>
      </c>
    </row>
    <row r="34" spans="1:4" x14ac:dyDescent="0.3">
      <c r="A34" s="26">
        <v>45785</v>
      </c>
      <c r="B34" s="28" t="s">
        <v>4</v>
      </c>
      <c r="C34" s="24">
        <v>-10</v>
      </c>
    </row>
    <row r="35" spans="1:4" x14ac:dyDescent="0.3">
      <c r="A35" s="26">
        <v>45793</v>
      </c>
      <c r="B35" s="28" t="s">
        <v>4</v>
      </c>
      <c r="C35" s="24">
        <v>-10</v>
      </c>
    </row>
    <row r="36" spans="1:4" x14ac:dyDescent="0.3">
      <c r="A36" s="26">
        <v>45807</v>
      </c>
      <c r="B36" s="28" t="s">
        <v>9</v>
      </c>
      <c r="C36" s="24">
        <v>70</v>
      </c>
    </row>
    <row r="37" spans="1:4" x14ac:dyDescent="0.3">
      <c r="A37" s="26">
        <v>45814</v>
      </c>
      <c r="B37" s="28" t="s">
        <v>4</v>
      </c>
      <c r="C37" s="24">
        <v>-20</v>
      </c>
    </row>
    <row r="38" spans="1:4" x14ac:dyDescent="0.3">
      <c r="A38" s="26">
        <v>45818</v>
      </c>
      <c r="B38" s="45" t="s">
        <v>1</v>
      </c>
      <c r="C38" s="24">
        <v>1.72</v>
      </c>
    </row>
    <row r="39" spans="1:4" x14ac:dyDescent="0.3">
      <c r="A39" s="26">
        <v>45821</v>
      </c>
      <c r="B39" s="27" t="s">
        <v>4</v>
      </c>
      <c r="C39" s="24">
        <v>-10</v>
      </c>
    </row>
    <row r="40" spans="1:4" x14ac:dyDescent="0.3">
      <c r="A40" s="26">
        <v>45825</v>
      </c>
      <c r="B40" s="27" t="s">
        <v>22</v>
      </c>
      <c r="D40" s="25">
        <v>1</v>
      </c>
    </row>
    <row r="41" spans="1:4" x14ac:dyDescent="0.3">
      <c r="A41" s="26">
        <v>45828</v>
      </c>
      <c r="B41" s="27" t="s">
        <v>4</v>
      </c>
      <c r="C41" s="24">
        <v>-20</v>
      </c>
    </row>
    <row r="42" spans="1:4" x14ac:dyDescent="0.3">
      <c r="A42" s="26">
        <v>45849</v>
      </c>
      <c r="B42" s="27" t="s">
        <v>4</v>
      </c>
      <c r="C42" s="24">
        <v>-10</v>
      </c>
    </row>
    <row r="43" spans="1:4" x14ac:dyDescent="0.3">
      <c r="A43" s="26">
        <v>45863</v>
      </c>
      <c r="B43" s="27" t="s">
        <v>4</v>
      </c>
      <c r="C43" s="24">
        <v>-10</v>
      </c>
    </row>
    <row r="44" spans="1:4" x14ac:dyDescent="0.3">
      <c r="A44" s="26">
        <v>45866</v>
      </c>
      <c r="B44" s="27" t="s">
        <v>9</v>
      </c>
      <c r="C44" s="24">
        <v>30.34</v>
      </c>
    </row>
    <row r="45" spans="1:4" x14ac:dyDescent="0.3">
      <c r="A45" s="26">
        <v>45877</v>
      </c>
      <c r="B45" s="27" t="s">
        <v>4</v>
      </c>
      <c r="C45" s="24">
        <v>-10</v>
      </c>
    </row>
    <row r="46" spans="1:4" x14ac:dyDescent="0.3">
      <c r="A46" s="26">
        <v>45890</v>
      </c>
      <c r="B46" s="27" t="s">
        <v>22</v>
      </c>
    </row>
    <row r="47" spans="1:4" x14ac:dyDescent="0.3">
      <c r="A47" s="26">
        <v>45891</v>
      </c>
      <c r="B47" s="27" t="s">
        <v>4</v>
      </c>
      <c r="C47" s="24">
        <v>-10</v>
      </c>
    </row>
    <row r="48" spans="1:4" x14ac:dyDescent="0.3">
      <c r="A48" s="26">
        <v>45912</v>
      </c>
      <c r="B48" s="27" t="s">
        <v>4</v>
      </c>
      <c r="C48" s="24">
        <v>-10</v>
      </c>
    </row>
    <row r="49" spans="1:3" x14ac:dyDescent="0.3">
      <c r="A49" s="26">
        <v>45924</v>
      </c>
      <c r="B49" s="50" t="s">
        <v>1</v>
      </c>
      <c r="C49" s="24">
        <v>7.46</v>
      </c>
    </row>
    <row r="50" spans="1:3" x14ac:dyDescent="0.3">
      <c r="A50" s="26">
        <v>45937</v>
      </c>
      <c r="B50" s="50" t="s">
        <v>1</v>
      </c>
      <c r="C50" s="24">
        <v>4.4000000000000004</v>
      </c>
    </row>
    <row r="51" spans="1:3" x14ac:dyDescent="0.3">
      <c r="A51" s="26">
        <v>45947</v>
      </c>
      <c r="B51" s="27" t="s">
        <v>4</v>
      </c>
      <c r="C51" s="24">
        <v>-10</v>
      </c>
    </row>
    <row r="52" spans="1:3" x14ac:dyDescent="0.3">
      <c r="A52" s="26">
        <v>45952</v>
      </c>
      <c r="B52" s="50" t="s">
        <v>1</v>
      </c>
      <c r="C52" s="24">
        <v>2.25</v>
      </c>
    </row>
    <row r="53" spans="1:3" x14ac:dyDescent="0.3">
      <c r="A53" s="26">
        <v>45954</v>
      </c>
      <c r="B53" s="27" t="s">
        <v>4</v>
      </c>
      <c r="C53" s="24">
        <v>-10</v>
      </c>
    </row>
    <row r="54" spans="1:3" x14ac:dyDescent="0.3">
      <c r="A54" s="26">
        <v>45959</v>
      </c>
      <c r="B54" s="27" t="s">
        <v>9</v>
      </c>
      <c r="C54" s="24">
        <v>40</v>
      </c>
    </row>
    <row r="55" spans="1:3" x14ac:dyDescent="0.3">
      <c r="A55" s="26">
        <v>45960</v>
      </c>
      <c r="B55" s="27" t="s">
        <v>9</v>
      </c>
      <c r="C55" s="24">
        <v>20</v>
      </c>
    </row>
    <row r="56" spans="1:3" x14ac:dyDescent="0.3">
      <c r="A56" s="26">
        <v>45960</v>
      </c>
      <c r="B56" s="50" t="s">
        <v>1</v>
      </c>
      <c r="C56" s="24">
        <v>7.14</v>
      </c>
    </row>
    <row r="57" spans="1:3" x14ac:dyDescent="0.3">
      <c r="A57" s="26">
        <v>45968</v>
      </c>
      <c r="B57" s="27" t="s">
        <v>4</v>
      </c>
      <c r="C57" s="24">
        <v>-20</v>
      </c>
    </row>
    <row r="58" spans="1:3" x14ac:dyDescent="0.3">
      <c r="A58" s="26">
        <v>45975</v>
      </c>
      <c r="B58" s="27" t="s">
        <v>4</v>
      </c>
      <c r="C58" s="24">
        <v>-10</v>
      </c>
    </row>
    <row r="59" spans="1:3" x14ac:dyDescent="0.3">
      <c r="A59" s="26">
        <v>45981</v>
      </c>
      <c r="B59" s="27" t="s">
        <v>1</v>
      </c>
      <c r="C59" s="24">
        <v>7.11</v>
      </c>
    </row>
    <row r="60" spans="1:3" x14ac:dyDescent="0.3">
      <c r="A60" s="26">
        <v>45982</v>
      </c>
      <c r="B60" s="27" t="s">
        <v>4</v>
      </c>
      <c r="C60" s="24">
        <v>-10</v>
      </c>
    </row>
    <row r="61" spans="1:3" x14ac:dyDescent="0.3">
      <c r="A61" s="26">
        <v>45989</v>
      </c>
      <c r="B61" s="27" t="s">
        <v>4</v>
      </c>
      <c r="C61" s="24">
        <v>-10</v>
      </c>
    </row>
    <row r="62" spans="1:3" x14ac:dyDescent="0.3">
      <c r="A62" s="26">
        <v>45996</v>
      </c>
      <c r="B62" s="27" t="s">
        <v>4</v>
      </c>
      <c r="C62" s="24">
        <v>-10</v>
      </c>
    </row>
    <row r="63" spans="1:3" x14ac:dyDescent="0.3">
      <c r="A63" s="26">
        <v>45996</v>
      </c>
      <c r="B63" s="27" t="s">
        <v>9</v>
      </c>
      <c r="C63" s="24">
        <v>40</v>
      </c>
    </row>
    <row r="64" spans="1:3" x14ac:dyDescent="0.3">
      <c r="A64" s="26">
        <v>46003</v>
      </c>
      <c r="B64" s="27" t="s">
        <v>4</v>
      </c>
      <c r="C64" s="24">
        <v>-10</v>
      </c>
    </row>
    <row r="65" spans="1:4" x14ac:dyDescent="0.3">
      <c r="A65" s="26">
        <v>46015</v>
      </c>
      <c r="B65" s="27" t="s">
        <v>1</v>
      </c>
      <c r="C65" s="24">
        <v>4.54</v>
      </c>
    </row>
    <row r="66" spans="1:4" x14ac:dyDescent="0.3">
      <c r="A66" s="26">
        <v>46017</v>
      </c>
      <c r="B66" s="27" t="s">
        <v>4</v>
      </c>
      <c r="C66" s="24">
        <v>-20</v>
      </c>
    </row>
    <row r="67" spans="1:4" x14ac:dyDescent="0.3">
      <c r="A67" s="26">
        <v>46021</v>
      </c>
      <c r="B67" s="27" t="s">
        <v>1</v>
      </c>
      <c r="C67" s="24">
        <v>16</v>
      </c>
      <c r="D67" s="25">
        <v>2</v>
      </c>
    </row>
    <row r="68" spans="1:4" x14ac:dyDescent="0.3">
      <c r="A68" s="26">
        <v>46031</v>
      </c>
      <c r="B68" s="27" t="s">
        <v>4</v>
      </c>
      <c r="C68" s="24">
        <v>-20</v>
      </c>
    </row>
    <row r="69" spans="1:4" x14ac:dyDescent="0.3">
      <c r="A69" s="26">
        <v>46038</v>
      </c>
      <c r="B69" s="27" t="s">
        <v>4</v>
      </c>
      <c r="C69" s="24">
        <v>-20</v>
      </c>
    </row>
    <row r="70" spans="1:4" x14ac:dyDescent="0.3">
      <c r="A70" s="26">
        <v>46042</v>
      </c>
      <c r="B70" s="27" t="s">
        <v>1</v>
      </c>
      <c r="C70" s="24">
        <v>6.21</v>
      </c>
    </row>
    <row r="71" spans="1:4" x14ac:dyDescent="0.3">
      <c r="A71" s="26">
        <v>46043</v>
      </c>
      <c r="B71" s="27" t="s">
        <v>9</v>
      </c>
      <c r="C71" s="24">
        <v>16.02</v>
      </c>
    </row>
  </sheetData>
  <mergeCells count="1">
    <mergeCell ref="A3:B3"/>
  </mergeCells>
  <pageMargins left="0.7" right="0.7" top="0.75" bottom="0.75" header="0.3" footer="0.3"/>
  <pageSetup paperSize="5" scale="82" orientation="portrait" r:id="rId1"/>
  <legacyDrawing r:id="rId2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1C5A-018E-4BB7-87E2-6271C980ADBB}">
  <sheetPr codeName="Hoja190"/>
  <dimension ref="A1:H33"/>
  <sheetViews>
    <sheetView view="pageBreakPreview" zoomScale="80" zoomScaleNormal="100" zoomScaleSheetLayoutView="80" workbookViewId="0">
      <selection sqref="A1:H34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269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74.430000000000021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45826</v>
      </c>
      <c r="B5" s="34" t="s">
        <v>21</v>
      </c>
      <c r="C5" s="24">
        <v>75.260000000000005</v>
      </c>
      <c r="D5" s="30"/>
      <c r="E5" s="30"/>
      <c r="F5" s="30"/>
      <c r="G5" s="22"/>
    </row>
    <row r="6" spans="1:8" hidden="1" x14ac:dyDescent="0.3">
      <c r="A6" s="21">
        <v>45833</v>
      </c>
      <c r="B6" s="27" t="s">
        <v>4</v>
      </c>
      <c r="C6" s="24">
        <v>-64.2</v>
      </c>
    </row>
    <row r="7" spans="1:8" hidden="1" x14ac:dyDescent="0.3">
      <c r="A7" s="26">
        <v>45840</v>
      </c>
      <c r="B7" s="27" t="s">
        <v>7</v>
      </c>
      <c r="C7" s="24">
        <v>-11.75</v>
      </c>
    </row>
    <row r="8" spans="1:8" hidden="1" x14ac:dyDescent="0.3">
      <c r="A8" s="26">
        <v>45840</v>
      </c>
      <c r="B8" s="32" t="s">
        <v>21</v>
      </c>
      <c r="C8" s="24">
        <v>15.85</v>
      </c>
    </row>
    <row r="9" spans="1:8" hidden="1" x14ac:dyDescent="0.3">
      <c r="A9" s="26">
        <v>45840</v>
      </c>
      <c r="B9" s="34" t="s">
        <v>21</v>
      </c>
      <c r="C9" s="24">
        <v>30.12</v>
      </c>
    </row>
    <row r="10" spans="1:8" hidden="1" x14ac:dyDescent="0.3">
      <c r="A10" s="26">
        <v>45854</v>
      </c>
      <c r="B10" s="31" t="s">
        <v>4</v>
      </c>
      <c r="C10" s="24">
        <v>-21.07</v>
      </c>
    </row>
    <row r="11" spans="1:8" hidden="1" x14ac:dyDescent="0.3">
      <c r="A11" s="26">
        <v>45854</v>
      </c>
      <c r="B11" s="31" t="s">
        <v>4</v>
      </c>
      <c r="C11" s="24">
        <v>-24.9</v>
      </c>
    </row>
    <row r="12" spans="1:8" hidden="1" x14ac:dyDescent="0.3">
      <c r="A12" s="26">
        <v>45854</v>
      </c>
      <c r="B12" s="32" t="s">
        <v>21</v>
      </c>
      <c r="C12" s="24">
        <v>45.29</v>
      </c>
    </row>
    <row r="13" spans="1:8" hidden="1" x14ac:dyDescent="0.3">
      <c r="A13" s="26">
        <v>45854</v>
      </c>
      <c r="B13" s="34" t="s">
        <v>21</v>
      </c>
      <c r="C13" s="24">
        <v>77.98</v>
      </c>
    </row>
    <row r="14" spans="1:8" hidden="1" x14ac:dyDescent="0.3">
      <c r="A14" s="26">
        <v>45868</v>
      </c>
      <c r="B14" s="27" t="s">
        <v>4</v>
      </c>
      <c r="C14" s="24">
        <v>-68.27</v>
      </c>
    </row>
    <row r="15" spans="1:8" hidden="1" x14ac:dyDescent="0.3">
      <c r="A15" s="26">
        <v>45882</v>
      </c>
      <c r="B15" s="27" t="s">
        <v>4</v>
      </c>
      <c r="C15" s="24">
        <v>-31.71</v>
      </c>
    </row>
    <row r="16" spans="1:8" hidden="1" x14ac:dyDescent="0.3">
      <c r="A16" s="26">
        <v>45882</v>
      </c>
      <c r="B16" s="27" t="s">
        <v>4</v>
      </c>
      <c r="C16" s="24">
        <v>-23.27</v>
      </c>
    </row>
    <row r="17" spans="1:3" hidden="1" x14ac:dyDescent="0.3">
      <c r="A17" s="26">
        <v>45882</v>
      </c>
      <c r="B17" s="32" t="s">
        <v>21</v>
      </c>
      <c r="C17" s="24">
        <v>15.85</v>
      </c>
    </row>
    <row r="18" spans="1:3" hidden="1" x14ac:dyDescent="0.3">
      <c r="A18" s="26">
        <v>45882</v>
      </c>
      <c r="B18" s="34" t="s">
        <v>21</v>
      </c>
      <c r="C18" s="24">
        <v>73.8</v>
      </c>
    </row>
    <row r="19" spans="1:3" hidden="1" x14ac:dyDescent="0.3">
      <c r="A19" s="26">
        <v>45896</v>
      </c>
      <c r="B19" s="27" t="s">
        <v>4</v>
      </c>
      <c r="C19" s="24">
        <v>-47</v>
      </c>
    </row>
    <row r="20" spans="1:3" hidden="1" x14ac:dyDescent="0.3">
      <c r="A20" s="26">
        <v>45903</v>
      </c>
      <c r="B20" s="27" t="s">
        <v>4</v>
      </c>
      <c r="C20" s="24">
        <v>-41.63</v>
      </c>
    </row>
    <row r="21" spans="1:3" hidden="1" x14ac:dyDescent="0.3">
      <c r="A21" s="26">
        <v>45903</v>
      </c>
      <c r="B21" s="32" t="s">
        <v>21</v>
      </c>
      <c r="C21" s="24">
        <v>15.85</v>
      </c>
    </row>
    <row r="22" spans="1:3" hidden="1" x14ac:dyDescent="0.3">
      <c r="A22" s="26">
        <v>45903</v>
      </c>
      <c r="B22" s="34" t="s">
        <v>21</v>
      </c>
      <c r="C22" s="24">
        <v>31.44</v>
      </c>
    </row>
    <row r="23" spans="1:3" hidden="1" x14ac:dyDescent="0.3">
      <c r="A23" s="26">
        <v>45917</v>
      </c>
      <c r="B23" s="27" t="s">
        <v>4</v>
      </c>
      <c r="C23" s="24">
        <v>-47.64</v>
      </c>
    </row>
    <row r="24" spans="1:3" hidden="1" x14ac:dyDescent="0.3">
      <c r="A24" s="26">
        <v>45917</v>
      </c>
      <c r="B24" s="32" t="s">
        <v>21</v>
      </c>
      <c r="C24" s="24">
        <v>32.35</v>
      </c>
    </row>
    <row r="25" spans="1:3" hidden="1" x14ac:dyDescent="0.3">
      <c r="A25" s="26">
        <v>45917</v>
      </c>
      <c r="B25" s="34" t="s">
        <v>21</v>
      </c>
      <c r="C25" s="24">
        <v>47.58</v>
      </c>
    </row>
    <row r="26" spans="1:3" hidden="1" x14ac:dyDescent="0.3">
      <c r="A26" s="26">
        <v>45923</v>
      </c>
      <c r="B26" s="27" t="s">
        <v>4</v>
      </c>
      <c r="C26" s="24">
        <v>-79.959999999999994</v>
      </c>
    </row>
    <row r="27" spans="1:3" x14ac:dyDescent="0.3">
      <c r="A27" s="26">
        <v>45924</v>
      </c>
      <c r="B27" s="32" t="s">
        <v>21</v>
      </c>
      <c r="C27" s="24">
        <v>24.85</v>
      </c>
    </row>
    <row r="28" spans="1:3" x14ac:dyDescent="0.3">
      <c r="A28" s="26">
        <v>45924</v>
      </c>
      <c r="B28" s="34" t="s">
        <v>21</v>
      </c>
      <c r="C28" s="24">
        <v>79.75</v>
      </c>
    </row>
    <row r="29" spans="1:3" x14ac:dyDescent="0.3">
      <c r="A29" s="26">
        <v>45924</v>
      </c>
      <c r="B29" s="46" t="s">
        <v>21</v>
      </c>
      <c r="C29" s="24">
        <v>49.78</v>
      </c>
    </row>
    <row r="30" spans="1:3" x14ac:dyDescent="0.3">
      <c r="A30" s="26">
        <v>45944</v>
      </c>
      <c r="B30" s="27" t="s">
        <v>4</v>
      </c>
      <c r="C30" s="24">
        <v>-102.5</v>
      </c>
    </row>
    <row r="31" spans="1:3" x14ac:dyDescent="0.3">
      <c r="A31" s="26">
        <v>45945</v>
      </c>
      <c r="B31" s="27" t="s">
        <v>4</v>
      </c>
      <c r="C31" s="24">
        <v>-56.88</v>
      </c>
    </row>
    <row r="32" spans="1:3" x14ac:dyDescent="0.3">
      <c r="A32" s="26">
        <v>45945</v>
      </c>
      <c r="B32" s="32" t="s">
        <v>21</v>
      </c>
      <c r="C32" s="24">
        <v>41.88</v>
      </c>
    </row>
    <row r="33" spans="1:3" x14ac:dyDescent="0.3">
      <c r="A33" s="26">
        <v>45945</v>
      </c>
      <c r="B33" s="34" t="s">
        <v>21</v>
      </c>
      <c r="C33" s="24">
        <v>37.58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3242-037C-4B85-91DF-A89052AF1DF7}">
  <sheetPr codeName="Hoja132"/>
  <dimension ref="A1:I24"/>
  <sheetViews>
    <sheetView view="pageBreakPreview" zoomScale="80" zoomScaleNormal="100" zoomScaleSheetLayoutView="80" workbookViewId="0">
      <selection activeCell="C25" sqref="C25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81</v>
      </c>
      <c r="C1" s="17"/>
      <c r="D1" s="17"/>
      <c r="E1" s="17"/>
      <c r="F1" s="17"/>
      <c r="G1" s="18"/>
      <c r="H1" s="16"/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42.48</v>
      </c>
      <c r="D3" s="20">
        <f>SUM(D$4:D$1048576)</f>
        <v>1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x14ac:dyDescent="0.3">
      <c r="A5" s="21">
        <v>45814</v>
      </c>
      <c r="B5" s="32" t="s">
        <v>21</v>
      </c>
      <c r="C5" s="24">
        <v>15.85</v>
      </c>
      <c r="D5" s="30">
        <v>1</v>
      </c>
      <c r="E5" s="30"/>
      <c r="F5" s="30"/>
      <c r="G5" s="22"/>
    </row>
    <row r="6" spans="1:9" x14ac:dyDescent="0.3">
      <c r="A6" s="21">
        <v>45820</v>
      </c>
      <c r="B6" s="31" t="s">
        <v>4</v>
      </c>
      <c r="C6" s="24">
        <v>-9.9700000000000006</v>
      </c>
    </row>
    <row r="7" spans="1:9" x14ac:dyDescent="0.3">
      <c r="A7" s="21">
        <v>45820</v>
      </c>
      <c r="B7" s="31" t="s">
        <v>4</v>
      </c>
      <c r="C7" s="24">
        <v>-5.88</v>
      </c>
    </row>
    <row r="8" spans="1:9" x14ac:dyDescent="0.3">
      <c r="A8" s="26">
        <v>45903</v>
      </c>
      <c r="B8" s="32" t="s">
        <v>21</v>
      </c>
      <c r="C8" s="24">
        <v>25.45</v>
      </c>
      <c r="D8" s="25">
        <v>-1</v>
      </c>
    </row>
    <row r="9" spans="1:9" x14ac:dyDescent="0.3">
      <c r="A9" s="26">
        <v>45903</v>
      </c>
      <c r="B9" s="34" t="s">
        <v>21</v>
      </c>
      <c r="C9" s="24">
        <v>69.239999999999995</v>
      </c>
      <c r="I9" s="25"/>
    </row>
    <row r="10" spans="1:9" x14ac:dyDescent="0.3">
      <c r="A10" s="26">
        <v>45903</v>
      </c>
      <c r="B10" s="46" t="s">
        <v>21</v>
      </c>
      <c r="C10" s="24">
        <v>10.34</v>
      </c>
    </row>
    <row r="11" spans="1:9" x14ac:dyDescent="0.3">
      <c r="A11" s="26">
        <v>45920</v>
      </c>
      <c r="B11" s="27" t="s">
        <v>4</v>
      </c>
      <c r="C11" s="24">
        <v>-100.55</v>
      </c>
    </row>
    <row r="12" spans="1:9" x14ac:dyDescent="0.3">
      <c r="A12" s="26">
        <v>45924</v>
      </c>
      <c r="B12" s="31" t="s">
        <v>7</v>
      </c>
      <c r="C12" s="24">
        <v>-1.64</v>
      </c>
    </row>
    <row r="13" spans="1:9" x14ac:dyDescent="0.3">
      <c r="A13" s="26">
        <v>45924</v>
      </c>
      <c r="B13" s="34" t="s">
        <v>21</v>
      </c>
      <c r="C13" s="24">
        <v>18.18</v>
      </c>
    </row>
    <row r="14" spans="1:9" x14ac:dyDescent="0.3">
      <c r="A14" s="26">
        <v>45936</v>
      </c>
      <c r="B14" s="27" t="s">
        <v>4</v>
      </c>
      <c r="C14" s="24">
        <v>-15.15</v>
      </c>
    </row>
    <row r="15" spans="1:9" x14ac:dyDescent="0.3">
      <c r="A15" s="26">
        <v>45945</v>
      </c>
      <c r="B15" s="34" t="s">
        <v>21</v>
      </c>
      <c r="C15" s="24">
        <v>51.45</v>
      </c>
    </row>
    <row r="16" spans="1:9" x14ac:dyDescent="0.3">
      <c r="A16" s="26">
        <v>45945</v>
      </c>
      <c r="B16" s="46" t="s">
        <v>21</v>
      </c>
      <c r="C16" s="24">
        <v>3</v>
      </c>
    </row>
    <row r="17" spans="1:4" x14ac:dyDescent="0.3">
      <c r="A17" s="26">
        <v>45953</v>
      </c>
      <c r="B17" s="27" t="s">
        <v>4</v>
      </c>
      <c r="C17" s="24">
        <v>-54.45</v>
      </c>
    </row>
    <row r="18" spans="1:4" x14ac:dyDescent="0.3">
      <c r="A18" s="26">
        <v>45973</v>
      </c>
      <c r="B18" s="27" t="s">
        <v>1</v>
      </c>
      <c r="C18" s="24">
        <v>102</v>
      </c>
      <c r="D18" s="25">
        <v>1</v>
      </c>
    </row>
    <row r="19" spans="1:4" x14ac:dyDescent="0.3">
      <c r="A19" s="26">
        <v>45986</v>
      </c>
      <c r="B19" s="27" t="s">
        <v>4</v>
      </c>
      <c r="C19" s="24">
        <v>-19.8</v>
      </c>
    </row>
    <row r="20" spans="1:4" x14ac:dyDescent="0.3">
      <c r="A20" s="26">
        <v>45995</v>
      </c>
      <c r="B20" s="27" t="s">
        <v>4</v>
      </c>
      <c r="C20" s="24">
        <v>-82.12</v>
      </c>
    </row>
    <row r="21" spans="1:4" x14ac:dyDescent="0.3">
      <c r="A21" s="26">
        <v>46029</v>
      </c>
      <c r="B21" s="27" t="s">
        <v>1</v>
      </c>
      <c r="C21" s="24">
        <v>26.38</v>
      </c>
    </row>
    <row r="22" spans="1:4" x14ac:dyDescent="0.3">
      <c r="A22" s="26">
        <v>46030</v>
      </c>
      <c r="B22" s="27" t="s">
        <v>1</v>
      </c>
      <c r="C22" s="24">
        <v>12</v>
      </c>
    </row>
    <row r="23" spans="1:4" x14ac:dyDescent="0.3">
      <c r="A23" s="26">
        <v>46050</v>
      </c>
      <c r="B23" s="27" t="s">
        <v>1</v>
      </c>
      <c r="C23" s="24">
        <v>36.72</v>
      </c>
    </row>
    <row r="24" spans="1:4" x14ac:dyDescent="0.3">
      <c r="A24" s="26">
        <v>46052</v>
      </c>
      <c r="B24" s="27" t="s">
        <v>4</v>
      </c>
      <c r="C24" s="24">
        <v>-38.57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4876D-88BB-4221-BAE4-D05B82A769B1}">
  <sheetPr codeName="Hoja191"/>
  <dimension ref="A1:H47"/>
  <sheetViews>
    <sheetView view="pageBreakPreview" zoomScale="80" zoomScaleNormal="100" zoomScaleSheetLayoutView="80" workbookViewId="0">
      <selection activeCell="C48" sqref="C48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249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 t="s">
        <v>250</v>
      </c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41.769999999999996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1">
        <v>45825</v>
      </c>
      <c r="B5" s="27" t="s">
        <v>21</v>
      </c>
      <c r="C5" s="24">
        <v>20.8</v>
      </c>
      <c r="D5" s="30"/>
      <c r="E5" s="30"/>
      <c r="F5" s="30"/>
      <c r="G5" s="22"/>
    </row>
    <row r="6" spans="1:8" hidden="1" x14ac:dyDescent="0.3">
      <c r="A6" s="21">
        <v>45825</v>
      </c>
      <c r="B6" s="72" t="s">
        <v>1</v>
      </c>
      <c r="C6" s="24">
        <v>15.85</v>
      </c>
    </row>
    <row r="7" spans="1:8" hidden="1" x14ac:dyDescent="0.3">
      <c r="A7" s="21">
        <v>45825</v>
      </c>
      <c r="B7" s="73" t="s">
        <v>1</v>
      </c>
      <c r="C7" s="24">
        <v>22.96</v>
      </c>
    </row>
    <row r="8" spans="1:8" hidden="1" x14ac:dyDescent="0.3">
      <c r="A8" s="26">
        <v>45839</v>
      </c>
      <c r="B8" s="27" t="s">
        <v>4</v>
      </c>
      <c r="C8" s="24">
        <v>-59.62</v>
      </c>
    </row>
    <row r="9" spans="1:8" hidden="1" x14ac:dyDescent="0.3">
      <c r="A9" s="26">
        <v>45839</v>
      </c>
      <c r="B9" s="72" t="s">
        <v>1</v>
      </c>
      <c r="C9" s="24">
        <v>32.950000000000003</v>
      </c>
    </row>
    <row r="10" spans="1:8" hidden="1" x14ac:dyDescent="0.3">
      <c r="A10" s="26">
        <v>45839</v>
      </c>
      <c r="B10" s="73" t="s">
        <v>1</v>
      </c>
      <c r="C10" s="24">
        <v>22.96</v>
      </c>
    </row>
    <row r="11" spans="1:8" hidden="1" x14ac:dyDescent="0.3">
      <c r="A11" s="26">
        <v>45846</v>
      </c>
      <c r="B11" s="27" t="s">
        <v>4</v>
      </c>
      <c r="C11" s="24">
        <v>-55.92</v>
      </c>
    </row>
    <row r="12" spans="1:8" hidden="1" x14ac:dyDescent="0.3">
      <c r="A12" s="26">
        <v>45846</v>
      </c>
      <c r="B12" s="72" t="s">
        <v>1</v>
      </c>
      <c r="C12" s="24">
        <v>42.55</v>
      </c>
    </row>
    <row r="13" spans="1:8" hidden="1" x14ac:dyDescent="0.3">
      <c r="A13" s="26">
        <v>45846</v>
      </c>
      <c r="B13" s="73" t="s">
        <v>1</v>
      </c>
      <c r="C13" s="24">
        <v>23.8</v>
      </c>
    </row>
    <row r="14" spans="1:8" hidden="1" x14ac:dyDescent="0.3">
      <c r="A14" s="26">
        <v>45860</v>
      </c>
      <c r="B14" s="27" t="s">
        <v>4</v>
      </c>
      <c r="C14" s="24">
        <v>-66.33</v>
      </c>
    </row>
    <row r="15" spans="1:8" hidden="1" x14ac:dyDescent="0.3">
      <c r="A15" s="26">
        <v>45860</v>
      </c>
      <c r="B15" s="27" t="s">
        <v>1</v>
      </c>
      <c r="C15" s="24">
        <v>41.6</v>
      </c>
    </row>
    <row r="16" spans="1:8" hidden="1" x14ac:dyDescent="0.3">
      <c r="A16" s="26">
        <v>45860</v>
      </c>
      <c r="B16" s="72" t="s">
        <v>1</v>
      </c>
      <c r="C16" s="24">
        <v>42.55</v>
      </c>
    </row>
    <row r="17" spans="1:3" hidden="1" x14ac:dyDescent="0.3">
      <c r="A17" s="26">
        <v>45860</v>
      </c>
      <c r="B17" s="73" t="s">
        <v>1</v>
      </c>
      <c r="C17" s="24">
        <v>16.399999999999999</v>
      </c>
    </row>
    <row r="18" spans="1:3" hidden="1" x14ac:dyDescent="0.3">
      <c r="A18" s="26">
        <v>45888</v>
      </c>
      <c r="B18" s="27" t="s">
        <v>4</v>
      </c>
      <c r="C18" s="24">
        <v>-100.55</v>
      </c>
    </row>
    <row r="19" spans="1:3" hidden="1" x14ac:dyDescent="0.3">
      <c r="A19" s="26">
        <v>45895</v>
      </c>
      <c r="B19" s="72" t="s">
        <v>1</v>
      </c>
      <c r="C19" s="24">
        <v>25.45</v>
      </c>
    </row>
    <row r="20" spans="1:3" hidden="1" x14ac:dyDescent="0.3">
      <c r="A20" s="26">
        <v>45902</v>
      </c>
      <c r="B20" s="27" t="s">
        <v>4</v>
      </c>
      <c r="C20" s="24">
        <v>-25.45</v>
      </c>
    </row>
    <row r="21" spans="1:3" hidden="1" x14ac:dyDescent="0.3">
      <c r="A21" s="26">
        <v>45902</v>
      </c>
      <c r="B21" s="72" t="s">
        <v>1</v>
      </c>
      <c r="C21" s="24">
        <v>42.55</v>
      </c>
    </row>
    <row r="22" spans="1:3" hidden="1" x14ac:dyDescent="0.3">
      <c r="A22" s="26">
        <v>45909</v>
      </c>
      <c r="B22" s="27" t="s">
        <v>4</v>
      </c>
      <c r="C22" s="24">
        <v>-42.55</v>
      </c>
    </row>
    <row r="23" spans="1:3" hidden="1" x14ac:dyDescent="0.3">
      <c r="A23" s="26">
        <v>45909</v>
      </c>
      <c r="B23" s="72" t="s">
        <v>1</v>
      </c>
      <c r="C23" s="24">
        <v>42.55</v>
      </c>
    </row>
    <row r="24" spans="1:3" hidden="1" x14ac:dyDescent="0.3">
      <c r="A24" s="26">
        <v>45923</v>
      </c>
      <c r="B24" s="27" t="s">
        <v>1</v>
      </c>
      <c r="C24" s="24">
        <v>41.6</v>
      </c>
    </row>
    <row r="25" spans="1:3" hidden="1" x14ac:dyDescent="0.3">
      <c r="A25" s="26">
        <v>45923</v>
      </c>
      <c r="B25" s="72" t="s">
        <v>1</v>
      </c>
      <c r="C25" s="24">
        <v>42.55</v>
      </c>
    </row>
    <row r="26" spans="1:3" hidden="1" x14ac:dyDescent="0.3">
      <c r="A26" s="26">
        <v>45923</v>
      </c>
      <c r="B26" s="27" t="s">
        <v>4</v>
      </c>
      <c r="C26" s="24">
        <v>-42.55</v>
      </c>
    </row>
    <row r="27" spans="1:3" hidden="1" x14ac:dyDescent="0.3">
      <c r="A27" s="26">
        <v>45937</v>
      </c>
      <c r="B27" s="27" t="s">
        <v>4</v>
      </c>
      <c r="C27" s="24">
        <v>-84.15</v>
      </c>
    </row>
    <row r="28" spans="1:3" hidden="1" x14ac:dyDescent="0.3">
      <c r="A28" s="26">
        <v>45937</v>
      </c>
      <c r="B28" s="72" t="s">
        <v>1</v>
      </c>
      <c r="C28" s="24">
        <v>51.96</v>
      </c>
    </row>
    <row r="29" spans="1:3" hidden="1" x14ac:dyDescent="0.3">
      <c r="A29" s="26">
        <v>45951</v>
      </c>
      <c r="B29" s="27" t="s">
        <v>4</v>
      </c>
      <c r="C29" s="24">
        <v>-51.96</v>
      </c>
    </row>
    <row r="30" spans="1:3" hidden="1" x14ac:dyDescent="0.3">
      <c r="A30" s="26">
        <v>45951</v>
      </c>
      <c r="B30" s="32" t="s">
        <v>1</v>
      </c>
      <c r="C30" s="24">
        <v>50.58</v>
      </c>
    </row>
    <row r="31" spans="1:3" hidden="1" x14ac:dyDescent="0.3">
      <c r="A31" s="26">
        <v>45965</v>
      </c>
      <c r="B31" s="27" t="s">
        <v>4</v>
      </c>
      <c r="C31" s="24">
        <v>-31.2</v>
      </c>
    </row>
    <row r="32" spans="1:3" hidden="1" x14ac:dyDescent="0.3">
      <c r="A32" s="26">
        <v>45965</v>
      </c>
      <c r="B32" s="32" t="s">
        <v>1</v>
      </c>
      <c r="C32" s="24">
        <v>51.38</v>
      </c>
    </row>
    <row r="33" spans="1:3" hidden="1" x14ac:dyDescent="0.3">
      <c r="A33" s="26">
        <v>45968</v>
      </c>
      <c r="B33" s="27" t="s">
        <v>4</v>
      </c>
      <c r="C33" s="24">
        <v>-20</v>
      </c>
    </row>
    <row r="34" spans="1:3" hidden="1" x14ac:dyDescent="0.3">
      <c r="A34" s="26">
        <v>45972</v>
      </c>
      <c r="B34" s="27" t="s">
        <v>4</v>
      </c>
      <c r="C34" s="24">
        <v>-51.38</v>
      </c>
    </row>
    <row r="35" spans="1:3" hidden="1" x14ac:dyDescent="0.3">
      <c r="A35" s="26">
        <v>45972</v>
      </c>
      <c r="B35" s="27" t="s">
        <v>1</v>
      </c>
      <c r="C35" s="24">
        <v>41.38</v>
      </c>
    </row>
    <row r="36" spans="1:3" hidden="1" x14ac:dyDescent="0.3">
      <c r="A36" s="26">
        <v>45979</v>
      </c>
      <c r="B36" s="27" t="s">
        <v>4</v>
      </c>
      <c r="C36" s="24">
        <v>-42.01</v>
      </c>
    </row>
    <row r="37" spans="1:3" hidden="1" x14ac:dyDescent="0.3">
      <c r="A37" s="26">
        <v>45979</v>
      </c>
      <c r="B37" s="27" t="s">
        <v>1</v>
      </c>
      <c r="C37" s="24">
        <v>63.82</v>
      </c>
    </row>
    <row r="38" spans="1:3" hidden="1" x14ac:dyDescent="0.3">
      <c r="A38" s="26">
        <v>45993</v>
      </c>
      <c r="B38" s="27" t="s">
        <v>4</v>
      </c>
      <c r="C38" s="24">
        <v>-62.25</v>
      </c>
    </row>
    <row r="39" spans="1:3" x14ac:dyDescent="0.3">
      <c r="A39" s="26">
        <v>45993</v>
      </c>
      <c r="B39" s="27" t="s">
        <v>7</v>
      </c>
      <c r="C39" s="24">
        <v>-1.78</v>
      </c>
    </row>
    <row r="40" spans="1:3" x14ac:dyDescent="0.3">
      <c r="A40" s="26">
        <v>45993</v>
      </c>
      <c r="B40" s="27" t="s">
        <v>1</v>
      </c>
      <c r="C40" s="24">
        <v>64.08</v>
      </c>
    </row>
    <row r="41" spans="1:3" x14ac:dyDescent="0.3">
      <c r="A41" s="26">
        <v>46007</v>
      </c>
      <c r="B41" s="27" t="s">
        <v>4</v>
      </c>
      <c r="C41" s="24">
        <v>-64.08</v>
      </c>
    </row>
    <row r="42" spans="1:3" x14ac:dyDescent="0.3">
      <c r="A42" s="26">
        <v>46007</v>
      </c>
      <c r="B42" s="27" t="s">
        <v>1</v>
      </c>
      <c r="C42" s="24">
        <v>64.08</v>
      </c>
    </row>
    <row r="43" spans="1:3" x14ac:dyDescent="0.3">
      <c r="A43" s="26">
        <v>46014</v>
      </c>
      <c r="B43" s="27" t="s">
        <v>1</v>
      </c>
      <c r="C43" s="24">
        <v>32.76</v>
      </c>
    </row>
    <row r="44" spans="1:3" x14ac:dyDescent="0.3">
      <c r="A44" s="26">
        <v>46049</v>
      </c>
      <c r="B44" s="27" t="s">
        <v>4</v>
      </c>
      <c r="C44" s="24">
        <v>-95.38</v>
      </c>
    </row>
    <row r="45" spans="1:3" x14ac:dyDescent="0.3">
      <c r="A45" s="26">
        <v>46049</v>
      </c>
      <c r="B45" s="27" t="s">
        <v>1</v>
      </c>
      <c r="C45" s="24">
        <v>37.32</v>
      </c>
    </row>
    <row r="46" spans="1:3" x14ac:dyDescent="0.3">
      <c r="A46" s="26">
        <v>46056</v>
      </c>
      <c r="B46" s="27" t="s">
        <v>4</v>
      </c>
      <c r="C46" s="24">
        <v>-37.35</v>
      </c>
    </row>
    <row r="47" spans="1:3" x14ac:dyDescent="0.3">
      <c r="A47" s="26">
        <v>46056</v>
      </c>
      <c r="B47" s="27" t="s">
        <v>1</v>
      </c>
      <c r="C47" s="24">
        <v>41.8</v>
      </c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5494-0079-4138-8AB1-90448BB10A16}">
  <sheetPr codeName="Hoja192"/>
  <dimension ref="A1:V111"/>
  <sheetViews>
    <sheetView view="pageBreakPreview" topLeftCell="A81" zoomScale="80" zoomScaleNormal="100" zoomScaleSheetLayoutView="80" workbookViewId="0">
      <selection activeCell="H112" sqref="H112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109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8" x14ac:dyDescent="0.3">
      <c r="A1" s="16" t="s">
        <v>15</v>
      </c>
      <c r="B1" s="17" t="s">
        <v>440</v>
      </c>
      <c r="C1" s="17"/>
      <c r="D1" s="17"/>
      <c r="E1" s="17"/>
      <c r="F1" s="17"/>
      <c r="G1" s="18"/>
      <c r="H1" s="16"/>
    </row>
    <row r="2" spans="1:8" x14ac:dyDescent="0.3">
      <c r="A2" s="16" t="s">
        <v>91</v>
      </c>
      <c r="B2" s="17"/>
      <c r="C2" s="17"/>
      <c r="D2" s="17"/>
      <c r="E2" s="17"/>
      <c r="F2" s="17"/>
      <c r="G2" s="17"/>
    </row>
    <row r="3" spans="1:8" ht="14.4" thickBot="1" x14ac:dyDescent="0.35">
      <c r="A3" s="138" t="s">
        <v>16</v>
      </c>
      <c r="B3" s="139"/>
      <c r="C3" s="19">
        <f>SUM(C$4:C$1048576)</f>
        <v>2835.1327999999994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8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8" hidden="1" x14ac:dyDescent="0.3">
      <c r="A5" s="26">
        <v>45826</v>
      </c>
      <c r="B5" s="27" t="s">
        <v>1</v>
      </c>
      <c r="C5" s="24">
        <v>821.3</v>
      </c>
      <c r="D5" s="30"/>
      <c r="E5" s="30"/>
      <c r="F5" s="30"/>
      <c r="G5" s="22"/>
    </row>
    <row r="6" spans="1:8" hidden="1" x14ac:dyDescent="0.3">
      <c r="A6" s="26">
        <v>45826</v>
      </c>
      <c r="B6" s="72" t="s">
        <v>1</v>
      </c>
      <c r="C6" s="24">
        <v>253.48</v>
      </c>
    </row>
    <row r="7" spans="1:8" hidden="1" x14ac:dyDescent="0.3">
      <c r="A7" s="26">
        <v>45834</v>
      </c>
      <c r="B7" s="72" t="s">
        <v>1</v>
      </c>
      <c r="C7" s="24">
        <v>75</v>
      </c>
    </row>
    <row r="8" spans="1:8" hidden="1" x14ac:dyDescent="0.3">
      <c r="A8" s="26">
        <v>45838</v>
      </c>
      <c r="B8" s="27" t="s">
        <v>4</v>
      </c>
      <c r="C8" s="24">
        <v>-836.24</v>
      </c>
    </row>
    <row r="9" spans="1:8" hidden="1" x14ac:dyDescent="0.3">
      <c r="A9" s="26">
        <v>45841</v>
      </c>
      <c r="B9" s="27" t="s">
        <v>4</v>
      </c>
      <c r="C9" s="24">
        <v>-311.89999999999998</v>
      </c>
    </row>
    <row r="10" spans="1:8" hidden="1" x14ac:dyDescent="0.3">
      <c r="A10" s="26">
        <v>45841</v>
      </c>
      <c r="B10" s="27" t="s">
        <v>1</v>
      </c>
      <c r="C10" s="24">
        <v>599.20000000000005</v>
      </c>
    </row>
    <row r="11" spans="1:8" hidden="1" x14ac:dyDescent="0.3">
      <c r="A11" s="26">
        <v>45841</v>
      </c>
      <c r="B11" s="72" t="s">
        <v>1</v>
      </c>
      <c r="C11" s="24">
        <v>92.6</v>
      </c>
    </row>
    <row r="12" spans="1:8" hidden="1" x14ac:dyDescent="0.3">
      <c r="A12" s="26">
        <v>45842</v>
      </c>
      <c r="B12" s="72" t="s">
        <v>1</v>
      </c>
      <c r="C12" s="24">
        <v>27.55</v>
      </c>
    </row>
    <row r="13" spans="1:8" hidden="1" x14ac:dyDescent="0.3">
      <c r="A13" s="26">
        <v>45842</v>
      </c>
      <c r="B13" s="73" t="s">
        <v>1</v>
      </c>
      <c r="C13" s="24">
        <v>58.92</v>
      </c>
    </row>
    <row r="14" spans="1:8" hidden="1" x14ac:dyDescent="0.3">
      <c r="A14" s="26">
        <v>45848</v>
      </c>
      <c r="B14" s="27" t="s">
        <v>4</v>
      </c>
      <c r="C14" s="24">
        <v>-640.16999999999996</v>
      </c>
    </row>
    <row r="15" spans="1:8" hidden="1" x14ac:dyDescent="0.3">
      <c r="A15" s="26">
        <v>45848</v>
      </c>
      <c r="B15" s="27" t="s">
        <v>1</v>
      </c>
      <c r="C15" s="24">
        <v>885.1</v>
      </c>
    </row>
    <row r="16" spans="1:8" hidden="1" x14ac:dyDescent="0.3">
      <c r="A16" s="26">
        <v>45861</v>
      </c>
      <c r="B16" s="27" t="s">
        <v>4</v>
      </c>
      <c r="C16" s="24">
        <v>-1024.83</v>
      </c>
    </row>
    <row r="17" spans="1:3" hidden="1" x14ac:dyDescent="0.3">
      <c r="A17" s="26">
        <v>45863</v>
      </c>
      <c r="B17" s="72" t="s">
        <v>1</v>
      </c>
      <c r="C17" s="24">
        <v>97.56</v>
      </c>
    </row>
    <row r="18" spans="1:3" hidden="1" x14ac:dyDescent="0.3">
      <c r="A18" s="26">
        <v>45869</v>
      </c>
      <c r="B18" s="27" t="s">
        <v>1</v>
      </c>
      <c r="C18" s="24">
        <v>1062.2</v>
      </c>
    </row>
    <row r="19" spans="1:3" hidden="1" x14ac:dyDescent="0.3">
      <c r="A19" s="26">
        <v>45869</v>
      </c>
      <c r="B19" s="72" t="s">
        <v>1</v>
      </c>
      <c r="C19" s="24">
        <v>118.52</v>
      </c>
    </row>
    <row r="20" spans="1:3" hidden="1" x14ac:dyDescent="0.3">
      <c r="A20" s="26">
        <v>45870</v>
      </c>
      <c r="B20" s="72" t="s">
        <v>1</v>
      </c>
      <c r="C20" s="24">
        <v>22.5</v>
      </c>
    </row>
    <row r="21" spans="1:3" hidden="1" x14ac:dyDescent="0.3">
      <c r="A21" s="26">
        <v>45882</v>
      </c>
      <c r="B21" s="27" t="s">
        <v>4</v>
      </c>
      <c r="C21" s="24">
        <v>-1180.7</v>
      </c>
    </row>
    <row r="22" spans="1:3" hidden="1" x14ac:dyDescent="0.3">
      <c r="A22" s="26">
        <v>45883</v>
      </c>
      <c r="B22" s="27" t="s">
        <v>1</v>
      </c>
      <c r="C22" s="24">
        <v>749.2</v>
      </c>
    </row>
    <row r="23" spans="1:3" hidden="1" x14ac:dyDescent="0.3">
      <c r="A23" s="26">
        <v>45883</v>
      </c>
      <c r="B23" s="72" t="s">
        <v>1</v>
      </c>
      <c r="C23" s="24">
        <v>177.61</v>
      </c>
    </row>
    <row r="24" spans="1:3" hidden="1" x14ac:dyDescent="0.3">
      <c r="A24" s="26">
        <v>45893</v>
      </c>
      <c r="B24" s="27" t="s">
        <v>4</v>
      </c>
      <c r="C24" s="24">
        <v>-472.22</v>
      </c>
    </row>
    <row r="25" spans="1:3" hidden="1" x14ac:dyDescent="0.3">
      <c r="A25" s="26">
        <v>45893</v>
      </c>
      <c r="B25" s="27" t="s">
        <v>4</v>
      </c>
      <c r="C25" s="24">
        <v>-422.88</v>
      </c>
    </row>
    <row r="26" spans="1:3" hidden="1" x14ac:dyDescent="0.3">
      <c r="A26" s="26">
        <v>45893</v>
      </c>
      <c r="B26" s="27" t="s">
        <v>4</v>
      </c>
      <c r="C26" s="24">
        <v>-288.97000000000003</v>
      </c>
    </row>
    <row r="27" spans="1:3" hidden="1" x14ac:dyDescent="0.3">
      <c r="A27" s="26">
        <v>45891</v>
      </c>
      <c r="B27" s="27" t="s">
        <v>1</v>
      </c>
      <c r="C27" s="24">
        <v>1012.1</v>
      </c>
    </row>
    <row r="28" spans="1:3" hidden="1" x14ac:dyDescent="0.3">
      <c r="A28" s="26">
        <v>45891</v>
      </c>
      <c r="B28" s="72" t="s">
        <v>1</v>
      </c>
      <c r="C28" s="24">
        <v>54.78</v>
      </c>
    </row>
    <row r="29" spans="1:3" hidden="1" x14ac:dyDescent="0.3">
      <c r="A29" s="26">
        <v>45898</v>
      </c>
      <c r="B29" s="27" t="s">
        <v>4</v>
      </c>
      <c r="C29" s="24">
        <v>-924.65</v>
      </c>
    </row>
    <row r="30" spans="1:3" hidden="1" x14ac:dyDescent="0.3">
      <c r="A30" s="26">
        <v>45898</v>
      </c>
      <c r="B30" s="27" t="s">
        <v>1</v>
      </c>
      <c r="C30" s="24">
        <v>1258.8</v>
      </c>
    </row>
    <row r="31" spans="1:3" hidden="1" x14ac:dyDescent="0.3">
      <c r="A31" s="26">
        <v>45898</v>
      </c>
      <c r="B31" s="72" t="s">
        <v>1</v>
      </c>
      <c r="C31" s="24">
        <v>143.22</v>
      </c>
    </row>
    <row r="32" spans="1:3" hidden="1" x14ac:dyDescent="0.3">
      <c r="A32" s="26">
        <v>45912</v>
      </c>
      <c r="B32" s="27" t="s">
        <v>4</v>
      </c>
      <c r="C32" s="24">
        <v>-692.13</v>
      </c>
    </row>
    <row r="33" spans="1:22" hidden="1" x14ac:dyDescent="0.3">
      <c r="A33" s="26">
        <v>45915</v>
      </c>
      <c r="B33" s="27" t="s">
        <v>4</v>
      </c>
      <c r="C33" s="24">
        <v>-714.95</v>
      </c>
    </row>
    <row r="34" spans="1:22" x14ac:dyDescent="0.3">
      <c r="A34" s="26">
        <v>45912</v>
      </c>
      <c r="B34" s="27" t="s">
        <v>1</v>
      </c>
      <c r="C34" s="24">
        <v>364.1</v>
      </c>
    </row>
    <row r="35" spans="1:22" x14ac:dyDescent="0.3">
      <c r="A35" s="26">
        <v>45912</v>
      </c>
      <c r="B35" s="72" t="s">
        <v>1</v>
      </c>
      <c r="C35" s="24">
        <v>73.849999999999994</v>
      </c>
    </row>
    <row r="36" spans="1:22" x14ac:dyDescent="0.3">
      <c r="A36" s="26">
        <v>45919</v>
      </c>
      <c r="B36" s="27" t="s">
        <v>1</v>
      </c>
      <c r="C36" s="24">
        <v>741.3</v>
      </c>
    </row>
    <row r="37" spans="1:22" x14ac:dyDescent="0.3">
      <c r="A37" s="26">
        <v>45919</v>
      </c>
      <c r="B37" s="72" t="s">
        <v>1</v>
      </c>
      <c r="C37" s="24">
        <v>245.16</v>
      </c>
    </row>
    <row r="38" spans="1:22" x14ac:dyDescent="0.3">
      <c r="A38" s="26">
        <v>45922</v>
      </c>
      <c r="B38" s="27" t="s">
        <v>4</v>
      </c>
      <c r="C38" s="24">
        <v>-437.95</v>
      </c>
    </row>
    <row r="39" spans="1:22" x14ac:dyDescent="0.3">
      <c r="A39" s="26">
        <v>45924</v>
      </c>
      <c r="B39" s="27" t="s">
        <v>4</v>
      </c>
      <c r="C39" s="24">
        <v>-823.65</v>
      </c>
    </row>
    <row r="40" spans="1:22" x14ac:dyDescent="0.3">
      <c r="A40" s="26">
        <v>45924</v>
      </c>
      <c r="B40" s="27" t="s">
        <v>1</v>
      </c>
      <c r="C40" s="24">
        <v>996</v>
      </c>
    </row>
    <row r="41" spans="1:22" x14ac:dyDescent="0.3">
      <c r="A41" s="26">
        <v>45924</v>
      </c>
      <c r="B41" s="72" t="s">
        <v>1</v>
      </c>
      <c r="C41" s="24">
        <v>69.92</v>
      </c>
    </row>
    <row r="42" spans="1:22" x14ac:dyDescent="0.3">
      <c r="A42" s="26">
        <v>45933</v>
      </c>
      <c r="B42" s="27" t="s">
        <v>4</v>
      </c>
      <c r="C42" s="24">
        <v>-464.13</v>
      </c>
    </row>
    <row r="43" spans="1:22" x14ac:dyDescent="0.3">
      <c r="A43" s="26">
        <v>45933</v>
      </c>
      <c r="B43" s="27" t="s">
        <v>4</v>
      </c>
      <c r="C43" s="24">
        <v>-35.49</v>
      </c>
    </row>
    <row r="44" spans="1:22" x14ac:dyDescent="0.3">
      <c r="A44" s="26">
        <v>45933</v>
      </c>
      <c r="B44" s="27" t="s">
        <v>4</v>
      </c>
      <c r="C44" s="24">
        <v>-316.7</v>
      </c>
    </row>
    <row r="45" spans="1:22" x14ac:dyDescent="0.3">
      <c r="A45" s="26">
        <v>45933</v>
      </c>
      <c r="B45" s="27" t="s">
        <v>1</v>
      </c>
      <c r="C45" s="24">
        <v>687.8</v>
      </c>
    </row>
    <row r="46" spans="1:22" ht="14.4" customHeight="1" x14ac:dyDescent="0.3">
      <c r="A46" s="26">
        <v>45933</v>
      </c>
      <c r="B46" s="72" t="s">
        <v>1</v>
      </c>
      <c r="C46" s="24">
        <v>121.8</v>
      </c>
      <c r="L46" s="141" t="s">
        <v>523</v>
      </c>
      <c r="M46" s="141"/>
      <c r="N46" s="141"/>
      <c r="O46" s="141"/>
      <c r="P46" s="141"/>
      <c r="Q46" s="141"/>
      <c r="R46" s="141"/>
      <c r="S46" s="141"/>
      <c r="T46" s="141"/>
      <c r="U46" s="141"/>
      <c r="V46" s="141"/>
    </row>
    <row r="47" spans="1:22" ht="13.8" customHeight="1" x14ac:dyDescent="0.3">
      <c r="A47" s="26">
        <v>45940</v>
      </c>
      <c r="B47" s="27" t="s">
        <v>1</v>
      </c>
      <c r="C47" s="24">
        <v>447.09</v>
      </c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</row>
    <row r="48" spans="1:22" ht="13.8" customHeight="1" x14ac:dyDescent="0.3">
      <c r="A48" s="26">
        <v>45940</v>
      </c>
      <c r="B48" s="72" t="s">
        <v>1</v>
      </c>
      <c r="C48" s="24">
        <v>16.54</v>
      </c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</row>
    <row r="49" spans="1:22" ht="13.8" customHeight="1" x14ac:dyDescent="0.3">
      <c r="A49" s="26">
        <v>45946</v>
      </c>
      <c r="B49" s="27" t="s">
        <v>4</v>
      </c>
      <c r="C49" s="24">
        <v>-992.72</v>
      </c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</row>
    <row r="50" spans="1:22" ht="13.8" customHeight="1" x14ac:dyDescent="0.3">
      <c r="A50" s="26">
        <v>45947</v>
      </c>
      <c r="B50" s="27" t="s">
        <v>1</v>
      </c>
      <c r="C50" s="24">
        <v>333.52</v>
      </c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</row>
    <row r="51" spans="1:22" ht="13.8" customHeight="1" x14ac:dyDescent="0.3">
      <c r="A51" s="26">
        <v>45947</v>
      </c>
      <c r="B51" s="72" t="s">
        <v>1</v>
      </c>
      <c r="C51" s="24">
        <v>37.159999999999997</v>
      </c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</row>
    <row r="52" spans="1:22" ht="13.8" customHeight="1" x14ac:dyDescent="0.3">
      <c r="A52" s="26">
        <v>45954</v>
      </c>
      <c r="B52" s="27" t="s">
        <v>1</v>
      </c>
      <c r="C52" s="24">
        <v>230</v>
      </c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</row>
    <row r="53" spans="1:22" ht="13.8" customHeight="1" x14ac:dyDescent="0.3">
      <c r="A53" s="26">
        <v>45954</v>
      </c>
      <c r="B53" s="72" t="s">
        <v>1</v>
      </c>
      <c r="C53" s="24">
        <v>93.22</v>
      </c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</row>
    <row r="54" spans="1:22" ht="13.8" customHeight="1" x14ac:dyDescent="0.3">
      <c r="A54" s="26">
        <v>45961</v>
      </c>
      <c r="B54" s="72" t="s">
        <v>1</v>
      </c>
      <c r="C54" s="24">
        <v>58.4</v>
      </c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</row>
    <row r="55" spans="1:22" ht="13.8" customHeight="1" x14ac:dyDescent="0.3">
      <c r="A55" s="26">
        <v>45961</v>
      </c>
      <c r="B55" s="73" t="s">
        <v>1</v>
      </c>
      <c r="C55" s="24">
        <f>781.44*0.985</f>
        <v>769.71840000000009</v>
      </c>
      <c r="I55" s="103">
        <f>781.44-C55</f>
        <v>11.721599999999967</v>
      </c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</row>
    <row r="56" spans="1:22" ht="13.8" customHeight="1" x14ac:dyDescent="0.3">
      <c r="A56" s="26">
        <v>45971</v>
      </c>
      <c r="B56" s="27" t="s">
        <v>4</v>
      </c>
      <c r="C56" s="24">
        <v>-450.13</v>
      </c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</row>
    <row r="57" spans="1:22" ht="13.8" customHeight="1" x14ac:dyDescent="0.3">
      <c r="A57" s="26">
        <v>45972</v>
      </c>
      <c r="B57" s="27" t="s">
        <v>4</v>
      </c>
      <c r="C57" s="24">
        <v>-1771.12</v>
      </c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</row>
    <row r="58" spans="1:22" ht="13.8" customHeight="1" x14ac:dyDescent="0.3">
      <c r="A58" s="26">
        <v>45973</v>
      </c>
      <c r="B58" s="27" t="s">
        <v>1</v>
      </c>
      <c r="C58" s="24">
        <v>1020.93</v>
      </c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</row>
    <row r="59" spans="1:22" ht="13.8" customHeight="1" x14ac:dyDescent="0.3">
      <c r="A59" s="26">
        <v>45974</v>
      </c>
      <c r="B59" s="27" t="s">
        <v>1</v>
      </c>
      <c r="C59" s="24">
        <f>571.09*0.985</f>
        <v>562.52364999999998</v>
      </c>
      <c r="I59" s="103">
        <f>571.09-C59</f>
        <v>8.5663500000000568</v>
      </c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</row>
    <row r="60" spans="1:22" ht="14.4" customHeight="1" x14ac:dyDescent="0.3">
      <c r="A60" s="26">
        <v>45975</v>
      </c>
      <c r="B60" s="27" t="s">
        <v>1</v>
      </c>
      <c r="C60" s="24">
        <f>318.4*0.985</f>
        <v>313.62399999999997</v>
      </c>
      <c r="I60" s="103">
        <f>318.4-C60</f>
        <v>4.7760000000000105</v>
      </c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</row>
    <row r="61" spans="1:22" ht="13.8" customHeight="1" x14ac:dyDescent="0.3">
      <c r="A61" s="26">
        <v>45980</v>
      </c>
      <c r="B61" s="27" t="s">
        <v>4</v>
      </c>
      <c r="C61" s="24">
        <v>-548.04999999999995</v>
      </c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</row>
    <row r="62" spans="1:22" ht="13.8" customHeight="1" x14ac:dyDescent="0.3">
      <c r="A62" s="26">
        <v>45981</v>
      </c>
      <c r="B62" s="27" t="s">
        <v>4</v>
      </c>
      <c r="C62" s="24">
        <v>-79.06</v>
      </c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</row>
    <row r="63" spans="1:22" ht="13.8" customHeight="1" x14ac:dyDescent="0.3">
      <c r="A63" s="26">
        <v>45981</v>
      </c>
      <c r="B63" s="27" t="s">
        <v>4</v>
      </c>
      <c r="C63" s="24">
        <v>-104.03</v>
      </c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</row>
    <row r="64" spans="1:22" ht="13.8" customHeight="1" x14ac:dyDescent="0.3">
      <c r="A64" s="26">
        <v>45981</v>
      </c>
      <c r="B64" s="27" t="s">
        <v>1</v>
      </c>
      <c r="C64" s="24">
        <v>881.69</v>
      </c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</row>
    <row r="65" spans="1:22" ht="13.8" customHeight="1" x14ac:dyDescent="0.3">
      <c r="A65" s="26">
        <v>45982</v>
      </c>
      <c r="B65" s="27" t="s">
        <v>1</v>
      </c>
      <c r="C65" s="24">
        <f>1406.13-19.34</f>
        <v>1386.7900000000002</v>
      </c>
      <c r="I65" s="102">
        <v>19.34</v>
      </c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</row>
    <row r="66" spans="1:22" ht="14.4" customHeight="1" x14ac:dyDescent="0.3">
      <c r="A66" s="26">
        <v>45988</v>
      </c>
      <c r="B66" s="27" t="s">
        <v>4</v>
      </c>
      <c r="C66" s="24">
        <v>-408.75</v>
      </c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</row>
    <row r="67" spans="1:22" ht="13.8" customHeight="1" x14ac:dyDescent="0.3">
      <c r="A67" s="26">
        <v>45988</v>
      </c>
      <c r="B67" s="27" t="s">
        <v>4</v>
      </c>
      <c r="C67" s="24">
        <v>-159.41</v>
      </c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</row>
    <row r="68" spans="1:22" ht="13.8" customHeight="1" x14ac:dyDescent="0.3">
      <c r="A68" s="26">
        <v>45989</v>
      </c>
      <c r="B68" s="27" t="s">
        <v>4</v>
      </c>
      <c r="C68" s="24">
        <v>-332.89</v>
      </c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</row>
    <row r="69" spans="1:22" ht="13.8" customHeight="1" x14ac:dyDescent="0.3">
      <c r="A69" s="26">
        <v>45989</v>
      </c>
      <c r="B69" s="27" t="s">
        <v>1</v>
      </c>
      <c r="C69" s="24">
        <f>291.35-1.67</f>
        <v>289.68</v>
      </c>
      <c r="I69" s="18">
        <v>1.67</v>
      </c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</row>
    <row r="70" spans="1:22" ht="13.8" customHeight="1" x14ac:dyDescent="0.3">
      <c r="A70" s="26">
        <v>45989</v>
      </c>
      <c r="B70" s="27" t="s">
        <v>503</v>
      </c>
      <c r="C70" s="24">
        <v>-22.8</v>
      </c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</row>
    <row r="71" spans="1:22" ht="13.8" customHeight="1" x14ac:dyDescent="0.3">
      <c r="A71" s="26">
        <v>45989</v>
      </c>
      <c r="B71" s="27" t="s">
        <v>4</v>
      </c>
      <c r="C71" s="24">
        <v>-808.73</v>
      </c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</row>
    <row r="72" spans="1:22" ht="13.8" customHeight="1" x14ac:dyDescent="0.3">
      <c r="A72" s="26">
        <v>45989</v>
      </c>
      <c r="B72" s="27" t="s">
        <v>4</v>
      </c>
      <c r="C72" s="24">
        <v>-808.73</v>
      </c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</row>
    <row r="73" spans="1:22" ht="13.8" customHeight="1" x14ac:dyDescent="0.3">
      <c r="A73" s="26">
        <v>45989</v>
      </c>
      <c r="B73" s="27" t="s">
        <v>4</v>
      </c>
      <c r="C73" s="24">
        <v>-323.49</v>
      </c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</row>
    <row r="74" spans="1:22" ht="13.8" customHeight="1" x14ac:dyDescent="0.3">
      <c r="A74" s="26">
        <v>45989</v>
      </c>
      <c r="B74" s="27" t="s">
        <v>4</v>
      </c>
      <c r="C74" s="24">
        <v>-34.78</v>
      </c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</row>
    <row r="75" spans="1:22" ht="13.8" customHeight="1" x14ac:dyDescent="0.3">
      <c r="A75" s="26">
        <v>45994</v>
      </c>
      <c r="B75" s="27" t="s">
        <v>4</v>
      </c>
      <c r="C75" s="24">
        <v>-84.27</v>
      </c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</row>
    <row r="76" spans="1:22" ht="13.8" customHeight="1" x14ac:dyDescent="0.3">
      <c r="A76" s="26">
        <v>45994</v>
      </c>
      <c r="B76" s="27" t="s">
        <v>4</v>
      </c>
      <c r="C76" s="24">
        <v>-329.05</v>
      </c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</row>
    <row r="77" spans="1:22" ht="13.8" customHeight="1" x14ac:dyDescent="0.3">
      <c r="A77" s="26">
        <v>45994</v>
      </c>
      <c r="B77" s="27" t="s">
        <v>1</v>
      </c>
      <c r="C77" s="24">
        <v>2796.61</v>
      </c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</row>
    <row r="78" spans="1:22" ht="13.8" customHeight="1" x14ac:dyDescent="0.3">
      <c r="A78" s="26">
        <v>45998</v>
      </c>
      <c r="B78" s="27" t="s">
        <v>4</v>
      </c>
      <c r="C78" s="24">
        <f>-116.31</f>
        <v>-116.31</v>
      </c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</row>
    <row r="79" spans="1:22" ht="13.8" customHeight="1" x14ac:dyDescent="0.3">
      <c r="A79" s="26">
        <v>45996</v>
      </c>
      <c r="B79" s="27" t="s">
        <v>1</v>
      </c>
      <c r="C79" s="24">
        <f>604.2*0.985</f>
        <v>595.13700000000006</v>
      </c>
      <c r="I79" s="87">
        <f>604.2-C79</f>
        <v>9.0629999999999882</v>
      </c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</row>
    <row r="80" spans="1:22" x14ac:dyDescent="0.3">
      <c r="A80" s="26">
        <v>45999</v>
      </c>
      <c r="B80" s="27" t="s">
        <v>4</v>
      </c>
      <c r="C80" s="24">
        <v>-158.96</v>
      </c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</row>
    <row r="81" spans="1:22" x14ac:dyDescent="0.3">
      <c r="A81" s="26">
        <v>46003</v>
      </c>
      <c r="B81" s="27" t="s">
        <v>1</v>
      </c>
      <c r="C81" s="24">
        <f>1158.72*0.985</f>
        <v>1141.3392000000001</v>
      </c>
      <c r="H81" s="17" t="s">
        <v>122</v>
      </c>
      <c r="I81" s="87">
        <f>+C81-1158.72</f>
        <v>-17.380799999999908</v>
      </c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</row>
    <row r="82" spans="1:22" x14ac:dyDescent="0.3">
      <c r="A82" s="26">
        <v>46004</v>
      </c>
      <c r="B82" s="27" t="s">
        <v>4</v>
      </c>
      <c r="C82" s="24">
        <v>-332.36</v>
      </c>
      <c r="H82" s="17" t="s">
        <v>126</v>
      </c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</row>
    <row r="83" spans="1:22" x14ac:dyDescent="0.3">
      <c r="A83" s="26">
        <v>46004</v>
      </c>
      <c r="B83" s="27" t="s">
        <v>4</v>
      </c>
      <c r="C83" s="24">
        <v>-106.71</v>
      </c>
      <c r="H83" s="17" t="s">
        <v>126</v>
      </c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</row>
    <row r="84" spans="1:22" x14ac:dyDescent="0.3">
      <c r="A84" s="26">
        <v>46004</v>
      </c>
      <c r="B84" s="27" t="s">
        <v>4</v>
      </c>
      <c r="C84" s="24">
        <v>-332.36</v>
      </c>
      <c r="H84" s="17" t="s">
        <v>126</v>
      </c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</row>
    <row r="85" spans="1:22" x14ac:dyDescent="0.3">
      <c r="A85" s="26">
        <v>46004</v>
      </c>
      <c r="B85" s="27" t="s">
        <v>4</v>
      </c>
      <c r="C85" s="24">
        <v>-332.36</v>
      </c>
      <c r="H85" s="17" t="s">
        <v>126</v>
      </c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</row>
    <row r="86" spans="1:22" x14ac:dyDescent="0.3">
      <c r="A86" s="26">
        <v>46007</v>
      </c>
      <c r="B86" s="27" t="s">
        <v>4</v>
      </c>
      <c r="C86" s="24">
        <v>-219.31</v>
      </c>
      <c r="H86" s="17" t="s">
        <v>126</v>
      </c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</row>
    <row r="87" spans="1:22" x14ac:dyDescent="0.3">
      <c r="A87" s="26">
        <v>46007</v>
      </c>
      <c r="B87" s="27" t="s">
        <v>4</v>
      </c>
      <c r="C87" s="24">
        <v>-36.549999999999997</v>
      </c>
      <c r="H87" s="17" t="s">
        <v>126</v>
      </c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</row>
    <row r="88" spans="1:22" x14ac:dyDescent="0.3">
      <c r="A88" s="26">
        <v>46007</v>
      </c>
      <c r="B88" s="27" t="s">
        <v>4</v>
      </c>
      <c r="C88" s="24">
        <v>-73.099999999999994</v>
      </c>
      <c r="H88" s="17" t="s">
        <v>126</v>
      </c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</row>
    <row r="89" spans="1:22" x14ac:dyDescent="0.3">
      <c r="A89" s="26">
        <v>46007</v>
      </c>
      <c r="B89" s="27" t="s">
        <v>4</v>
      </c>
      <c r="C89" s="24">
        <v>-365.52</v>
      </c>
      <c r="H89" s="17" t="s">
        <v>126</v>
      </c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</row>
    <row r="90" spans="1:22" x14ac:dyDescent="0.3">
      <c r="A90" s="26">
        <v>46007</v>
      </c>
      <c r="B90" s="27" t="s">
        <v>4</v>
      </c>
      <c r="C90" s="24">
        <v>-235.96</v>
      </c>
      <c r="H90" s="17" t="s">
        <v>126</v>
      </c>
    </row>
    <row r="91" spans="1:22" x14ac:dyDescent="0.3">
      <c r="A91" s="26">
        <v>46010</v>
      </c>
      <c r="B91" s="27" t="s">
        <v>1</v>
      </c>
      <c r="C91" s="24">
        <v>1180.45</v>
      </c>
      <c r="H91" s="17" t="s">
        <v>126</v>
      </c>
    </row>
    <row r="92" spans="1:22" x14ac:dyDescent="0.3">
      <c r="A92" s="26">
        <v>46010</v>
      </c>
      <c r="B92" s="27" t="s">
        <v>1</v>
      </c>
      <c r="C92" s="24">
        <f>1863.17-27.56</f>
        <v>1835.6100000000001</v>
      </c>
      <c r="H92" s="17" t="s">
        <v>122</v>
      </c>
      <c r="I92" s="18">
        <v>27.56</v>
      </c>
    </row>
    <row r="93" spans="1:22" x14ac:dyDescent="0.3">
      <c r="A93" s="26">
        <v>46012</v>
      </c>
      <c r="B93" s="27" t="s">
        <v>4</v>
      </c>
      <c r="C93" s="24">
        <v>-700.76</v>
      </c>
      <c r="H93" s="17" t="s">
        <v>126</v>
      </c>
    </row>
    <row r="94" spans="1:22" x14ac:dyDescent="0.3">
      <c r="A94" s="26">
        <v>46012</v>
      </c>
      <c r="B94" s="27" t="s">
        <v>4</v>
      </c>
      <c r="C94" s="24">
        <v>-539.59</v>
      </c>
      <c r="H94" s="17" t="s">
        <v>126</v>
      </c>
    </row>
    <row r="95" spans="1:22" x14ac:dyDescent="0.3">
      <c r="A95" s="26">
        <v>46013</v>
      </c>
      <c r="B95" s="27" t="s">
        <v>4</v>
      </c>
      <c r="C95" s="24">
        <v>-163.51</v>
      </c>
      <c r="H95" s="17" t="s">
        <v>126</v>
      </c>
    </row>
    <row r="96" spans="1:22" x14ac:dyDescent="0.3">
      <c r="A96" s="26">
        <v>46017</v>
      </c>
      <c r="B96" s="27" t="s">
        <v>4</v>
      </c>
      <c r="C96" s="24">
        <v>-2230.98</v>
      </c>
      <c r="H96" s="17" t="s">
        <v>126</v>
      </c>
    </row>
    <row r="97" spans="1:9" x14ac:dyDescent="0.3">
      <c r="A97" s="26">
        <v>46017</v>
      </c>
      <c r="B97" s="27" t="s">
        <v>4</v>
      </c>
      <c r="C97" s="24">
        <v>-339.02</v>
      </c>
      <c r="H97" s="17" t="s">
        <v>126</v>
      </c>
    </row>
    <row r="98" spans="1:9" x14ac:dyDescent="0.3">
      <c r="A98" s="26">
        <v>46021</v>
      </c>
      <c r="B98" s="27" t="s">
        <v>4</v>
      </c>
      <c r="C98" s="24">
        <v>-224.72</v>
      </c>
      <c r="H98" s="17" t="s">
        <v>126</v>
      </c>
    </row>
    <row r="99" spans="1:9" x14ac:dyDescent="0.3">
      <c r="A99" s="26">
        <v>46027</v>
      </c>
      <c r="B99" s="27" t="s">
        <v>4</v>
      </c>
      <c r="C99" s="24">
        <v>-1247.21</v>
      </c>
      <c r="H99" s="17" t="s">
        <v>126</v>
      </c>
    </row>
    <row r="100" spans="1:9" x14ac:dyDescent="0.3">
      <c r="A100" s="26">
        <v>46029</v>
      </c>
      <c r="B100" s="27" t="s">
        <v>1</v>
      </c>
      <c r="C100" s="24">
        <v>1048.01</v>
      </c>
      <c r="H100" s="17" t="s">
        <v>122</v>
      </c>
      <c r="I100" s="18">
        <v>14.43</v>
      </c>
    </row>
    <row r="101" spans="1:9" x14ac:dyDescent="0.3">
      <c r="A101" s="26">
        <v>46037</v>
      </c>
      <c r="B101" s="27" t="s">
        <v>1</v>
      </c>
      <c r="C101" s="24">
        <v>90</v>
      </c>
      <c r="H101" s="17" t="s">
        <v>122</v>
      </c>
    </row>
    <row r="102" spans="1:9" x14ac:dyDescent="0.3">
      <c r="A102" s="26">
        <v>46037</v>
      </c>
      <c r="B102" s="27" t="s">
        <v>503</v>
      </c>
      <c r="C102" s="24">
        <v>-7.2</v>
      </c>
      <c r="H102" s="17" t="s">
        <v>122</v>
      </c>
    </row>
    <row r="103" spans="1:9" x14ac:dyDescent="0.3">
      <c r="A103" s="26">
        <v>46038</v>
      </c>
      <c r="B103" s="27" t="s">
        <v>1</v>
      </c>
      <c r="C103" s="24">
        <f>964.63*0.985</f>
        <v>950.16054999999994</v>
      </c>
      <c r="H103" s="17" t="s">
        <v>122</v>
      </c>
      <c r="I103" s="87">
        <f>964.63-C103</f>
        <v>14.469450000000052</v>
      </c>
    </row>
    <row r="104" spans="1:9" x14ac:dyDescent="0.3">
      <c r="A104" s="26">
        <v>46042</v>
      </c>
      <c r="B104" s="27" t="s">
        <v>4</v>
      </c>
      <c r="C104" s="24">
        <v>-580.54</v>
      </c>
      <c r="H104" s="17" t="s">
        <v>541</v>
      </c>
    </row>
    <row r="105" spans="1:9" x14ac:dyDescent="0.3">
      <c r="A105" s="26">
        <v>46042</v>
      </c>
      <c r="B105" s="27" t="s">
        <v>4</v>
      </c>
      <c r="C105" s="24">
        <v>-290.27</v>
      </c>
      <c r="H105" s="17" t="s">
        <v>541</v>
      </c>
    </row>
    <row r="106" spans="1:9" x14ac:dyDescent="0.3">
      <c r="A106" s="26">
        <v>46044</v>
      </c>
      <c r="B106" s="27" t="s">
        <v>1</v>
      </c>
      <c r="C106" s="24">
        <v>1097.05</v>
      </c>
      <c r="H106" s="17" t="s">
        <v>126</v>
      </c>
    </row>
    <row r="107" spans="1:9" x14ac:dyDescent="0.3">
      <c r="A107" s="26">
        <v>46045</v>
      </c>
      <c r="B107" s="27" t="s">
        <v>1</v>
      </c>
      <c r="C107" s="24">
        <f>1288.97-16.62</f>
        <v>1272.3500000000001</v>
      </c>
      <c r="H107" s="17" t="s">
        <v>122</v>
      </c>
      <c r="I107" s="18">
        <v>16.62</v>
      </c>
    </row>
    <row r="108" spans="1:9" x14ac:dyDescent="0.3">
      <c r="A108" s="26">
        <v>46045</v>
      </c>
      <c r="B108" s="125" t="s">
        <v>503</v>
      </c>
      <c r="C108" s="24">
        <v>-12</v>
      </c>
    </row>
    <row r="109" spans="1:9" x14ac:dyDescent="0.3">
      <c r="A109" s="26">
        <v>46052</v>
      </c>
      <c r="B109" s="27" t="s">
        <v>4</v>
      </c>
      <c r="C109" s="24">
        <v>-835.83</v>
      </c>
      <c r="H109" s="17" t="s">
        <v>541</v>
      </c>
    </row>
    <row r="110" spans="1:9" x14ac:dyDescent="0.3">
      <c r="A110" s="26">
        <v>46055</v>
      </c>
      <c r="B110" s="27" t="s">
        <v>4</v>
      </c>
      <c r="C110" s="24">
        <v>-640.64</v>
      </c>
      <c r="H110" s="17" t="s">
        <v>541</v>
      </c>
    </row>
    <row r="111" spans="1:9" x14ac:dyDescent="0.3">
      <c r="A111" s="26">
        <v>46056</v>
      </c>
      <c r="B111" s="27" t="s">
        <v>1</v>
      </c>
      <c r="C111" s="24">
        <v>545.29999999999995</v>
      </c>
      <c r="H111" s="17" t="s">
        <v>126</v>
      </c>
    </row>
  </sheetData>
  <mergeCells count="2">
    <mergeCell ref="A3:B3"/>
    <mergeCell ref="L46:V89"/>
  </mergeCells>
  <pageMargins left="0.7" right="0.7" top="0.75" bottom="0.75" header="0.3" footer="0.3"/>
  <pageSetup paperSize="5" scale="81" orientation="portrait" r:id="rId1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BB32B-D58C-4EC8-A94A-48DB00391339}">
  <dimension ref="A1:I86"/>
  <sheetViews>
    <sheetView view="pageBreakPreview" zoomScale="80" zoomScaleNormal="100" zoomScaleSheetLayoutView="80" workbookViewId="0">
      <selection activeCell="C37" sqref="C37"/>
    </sheetView>
  </sheetViews>
  <sheetFormatPr baseColWidth="10" defaultColWidth="10.88671875" defaultRowHeight="13.8" x14ac:dyDescent="0.3"/>
  <cols>
    <col min="1" max="1" width="11.33203125" style="26" bestFit="1" customWidth="1"/>
    <col min="2" max="2" width="3.109375" style="27" customWidth="1"/>
    <col min="3" max="3" width="11.77734375" style="24" bestFit="1" customWidth="1"/>
    <col min="4" max="6" width="7.6640625" style="25" customWidth="1"/>
    <col min="7" max="7" width="8.6640625" style="24" customWidth="1"/>
    <col min="8" max="8" width="7.6640625" style="17" customWidth="1"/>
    <col min="9" max="16384" width="10.88671875" style="18"/>
  </cols>
  <sheetData>
    <row r="1" spans="1:9" x14ac:dyDescent="0.3">
      <c r="A1" s="16" t="s">
        <v>15</v>
      </c>
      <c r="B1" s="17" t="s">
        <v>333</v>
      </c>
      <c r="C1" s="17"/>
      <c r="D1" s="17"/>
      <c r="E1" s="17"/>
      <c r="F1" s="17"/>
      <c r="G1" s="18"/>
      <c r="H1" s="16"/>
      <c r="I1" s="18" t="s">
        <v>496</v>
      </c>
    </row>
    <row r="2" spans="1:9" x14ac:dyDescent="0.3">
      <c r="A2" s="16" t="s">
        <v>91</v>
      </c>
      <c r="B2" s="17"/>
      <c r="C2" s="17"/>
      <c r="D2" s="17"/>
      <c r="E2" s="17"/>
      <c r="F2" s="17"/>
      <c r="G2" s="17"/>
    </row>
    <row r="3" spans="1:9" ht="14.4" thickBot="1" x14ac:dyDescent="0.35">
      <c r="A3" s="138" t="s">
        <v>16</v>
      </c>
      <c r="B3" s="139"/>
      <c r="C3" s="19">
        <f>SUM(C$4:C$1048576)</f>
        <v>306.0999999999998</v>
      </c>
      <c r="D3" s="20">
        <f>SUM(D$4:D$1048576)</f>
        <v>0</v>
      </c>
      <c r="E3" s="20">
        <f>SUM(E$5:E$1048576)</f>
        <v>0</v>
      </c>
      <c r="F3" s="20">
        <f>SUM(F$5:F$1048576)</f>
        <v>0</v>
      </c>
      <c r="G3" s="19">
        <f>SUM(G$5:G$1048576)</f>
        <v>0</v>
      </c>
    </row>
    <row r="4" spans="1:9" ht="42" thickBot="1" x14ac:dyDescent="0.35">
      <c r="A4" s="55" t="s">
        <v>17</v>
      </c>
      <c r="B4" s="56" t="s">
        <v>18</v>
      </c>
      <c r="C4" s="57" t="s">
        <v>19</v>
      </c>
      <c r="D4" s="54" t="s">
        <v>89</v>
      </c>
      <c r="E4" s="53" t="s">
        <v>20</v>
      </c>
      <c r="F4" s="53" t="s">
        <v>11</v>
      </c>
      <c r="G4" s="52" t="s">
        <v>90</v>
      </c>
    </row>
    <row r="5" spans="1:9" hidden="1" x14ac:dyDescent="0.3">
      <c r="A5" s="21">
        <v>45840</v>
      </c>
      <c r="B5" s="32" t="s">
        <v>21</v>
      </c>
      <c r="C5" s="24">
        <v>33.49</v>
      </c>
      <c r="D5" s="30"/>
      <c r="E5" s="30"/>
      <c r="F5" s="30"/>
      <c r="G5" s="22"/>
    </row>
    <row r="6" spans="1:9" hidden="1" x14ac:dyDescent="0.3">
      <c r="A6" s="21">
        <v>45840</v>
      </c>
      <c r="B6" s="34" t="s">
        <v>1</v>
      </c>
      <c r="C6" s="24">
        <v>32.130000000000003</v>
      </c>
    </row>
    <row r="7" spans="1:9" hidden="1" x14ac:dyDescent="0.3">
      <c r="A7" s="21">
        <v>45849</v>
      </c>
      <c r="B7" s="27" t="s">
        <v>4</v>
      </c>
      <c r="C7" s="24">
        <v>-65.75</v>
      </c>
    </row>
    <row r="8" spans="1:9" hidden="1" x14ac:dyDescent="0.3">
      <c r="A8" s="26">
        <v>45855</v>
      </c>
      <c r="B8" s="32" t="s">
        <v>1</v>
      </c>
      <c r="C8" s="24">
        <v>42.64</v>
      </c>
    </row>
    <row r="9" spans="1:9" hidden="1" x14ac:dyDescent="0.3">
      <c r="A9" s="26">
        <v>45855</v>
      </c>
      <c r="B9" s="27" t="s">
        <v>1</v>
      </c>
      <c r="C9" s="24">
        <v>56.22</v>
      </c>
    </row>
    <row r="10" spans="1:9" hidden="1" x14ac:dyDescent="0.3">
      <c r="A10" s="26">
        <v>45876</v>
      </c>
      <c r="B10" s="27" t="s">
        <v>4</v>
      </c>
      <c r="C10" s="24">
        <v>-98.86</v>
      </c>
    </row>
    <row r="11" spans="1:9" hidden="1" x14ac:dyDescent="0.3">
      <c r="A11" s="26">
        <v>45876</v>
      </c>
      <c r="B11" s="32" t="s">
        <v>1</v>
      </c>
      <c r="C11" s="24">
        <v>20.5</v>
      </c>
    </row>
    <row r="12" spans="1:9" hidden="1" x14ac:dyDescent="0.3">
      <c r="A12" s="26">
        <v>45876</v>
      </c>
      <c r="B12" s="46" t="s">
        <v>1</v>
      </c>
      <c r="C12" s="24">
        <v>6.78</v>
      </c>
    </row>
    <row r="13" spans="1:9" hidden="1" x14ac:dyDescent="0.3">
      <c r="A13" s="26">
        <v>45876</v>
      </c>
      <c r="B13" s="27" t="s">
        <v>1</v>
      </c>
      <c r="C13" s="24">
        <v>65.400000000000006</v>
      </c>
    </row>
    <row r="14" spans="1:9" hidden="1" x14ac:dyDescent="0.3">
      <c r="A14" s="26">
        <v>45882</v>
      </c>
      <c r="B14" s="27" t="s">
        <v>4</v>
      </c>
      <c r="C14" s="24">
        <v>-92.68</v>
      </c>
    </row>
    <row r="15" spans="1:9" hidden="1" x14ac:dyDescent="0.3">
      <c r="A15" s="26">
        <v>45883</v>
      </c>
      <c r="B15" s="34" t="s">
        <v>1</v>
      </c>
      <c r="C15" s="24">
        <v>86.88</v>
      </c>
    </row>
    <row r="16" spans="1:9" hidden="1" x14ac:dyDescent="0.3">
      <c r="A16" s="26">
        <v>45883</v>
      </c>
      <c r="B16" s="27" t="s">
        <v>1</v>
      </c>
      <c r="C16" s="24">
        <v>78.2</v>
      </c>
    </row>
    <row r="17" spans="1:3" hidden="1" x14ac:dyDescent="0.3">
      <c r="A17" s="26">
        <v>45889</v>
      </c>
      <c r="B17" s="27" t="s">
        <v>4</v>
      </c>
      <c r="C17" s="24">
        <v>-165.08</v>
      </c>
    </row>
    <row r="18" spans="1:3" hidden="1" x14ac:dyDescent="0.3">
      <c r="A18" s="26">
        <v>45890</v>
      </c>
      <c r="B18" s="27" t="s">
        <v>1</v>
      </c>
      <c r="C18" s="24">
        <v>95.3</v>
      </c>
    </row>
    <row r="19" spans="1:3" hidden="1" x14ac:dyDescent="0.3">
      <c r="A19" s="26">
        <v>45890</v>
      </c>
      <c r="B19" s="32" t="s">
        <v>1</v>
      </c>
      <c r="C19" s="24">
        <v>70.94</v>
      </c>
    </row>
    <row r="20" spans="1:3" hidden="1" x14ac:dyDescent="0.3">
      <c r="A20" s="26">
        <v>45918</v>
      </c>
      <c r="B20" s="27" t="s">
        <v>4</v>
      </c>
      <c r="C20" s="24">
        <v>-140</v>
      </c>
    </row>
    <row r="21" spans="1:3" hidden="1" x14ac:dyDescent="0.3">
      <c r="A21" s="26">
        <v>45918</v>
      </c>
      <c r="B21" s="27" t="s">
        <v>4</v>
      </c>
      <c r="C21" s="24">
        <v>-26.58</v>
      </c>
    </row>
    <row r="22" spans="1:3" hidden="1" x14ac:dyDescent="0.3">
      <c r="A22" s="26">
        <v>45919</v>
      </c>
      <c r="B22" s="32" t="s">
        <v>1</v>
      </c>
      <c r="C22" s="24">
        <v>149.09</v>
      </c>
    </row>
    <row r="23" spans="1:3" hidden="1" x14ac:dyDescent="0.3">
      <c r="A23" s="26">
        <v>45919</v>
      </c>
      <c r="B23" s="34" t="s">
        <v>1</v>
      </c>
      <c r="C23" s="24">
        <v>101.27</v>
      </c>
    </row>
    <row r="24" spans="1:3" hidden="1" x14ac:dyDescent="0.3">
      <c r="A24" s="26">
        <v>45919</v>
      </c>
      <c r="B24" s="27" t="s">
        <v>1</v>
      </c>
      <c r="C24" s="24">
        <v>20.8</v>
      </c>
    </row>
    <row r="25" spans="1:3" hidden="1" x14ac:dyDescent="0.3">
      <c r="A25" s="26">
        <v>45945</v>
      </c>
      <c r="B25" s="27" t="s">
        <v>7</v>
      </c>
      <c r="C25" s="24">
        <v>-270.77</v>
      </c>
    </row>
    <row r="26" spans="1:3" x14ac:dyDescent="0.3">
      <c r="A26" s="26">
        <v>45947</v>
      </c>
      <c r="B26" s="32" t="s">
        <v>1</v>
      </c>
      <c r="C26" s="24">
        <v>80.760000000000005</v>
      </c>
    </row>
    <row r="27" spans="1:3" x14ac:dyDescent="0.3">
      <c r="A27" s="26">
        <v>45947</v>
      </c>
      <c r="B27" s="34" t="s">
        <v>1</v>
      </c>
      <c r="C27" s="24">
        <v>147.72</v>
      </c>
    </row>
    <row r="28" spans="1:3" x14ac:dyDescent="0.3">
      <c r="A28" s="26">
        <v>45947</v>
      </c>
      <c r="B28" s="27" t="s">
        <v>1</v>
      </c>
      <c r="C28" s="24">
        <v>122.57</v>
      </c>
    </row>
    <row r="29" spans="1:3" x14ac:dyDescent="0.3">
      <c r="A29" s="26">
        <v>45973</v>
      </c>
      <c r="B29" s="27" t="s">
        <v>4</v>
      </c>
      <c r="C29" s="24">
        <v>-175.49</v>
      </c>
    </row>
    <row r="30" spans="1:3" x14ac:dyDescent="0.3">
      <c r="A30" s="26">
        <v>45975</v>
      </c>
      <c r="B30" s="27" t="s">
        <v>1</v>
      </c>
      <c r="C30" s="24">
        <v>361.37</v>
      </c>
    </row>
    <row r="31" spans="1:3" x14ac:dyDescent="0.3">
      <c r="A31" s="26">
        <v>45976</v>
      </c>
      <c r="B31" s="27" t="s">
        <v>4</v>
      </c>
      <c r="C31" s="24">
        <v>-175.48</v>
      </c>
    </row>
    <row r="32" spans="1:3" x14ac:dyDescent="0.3">
      <c r="A32" s="26">
        <v>46001</v>
      </c>
      <c r="B32" s="27" t="s">
        <v>4</v>
      </c>
      <c r="C32" s="24">
        <v>-361.37</v>
      </c>
    </row>
    <row r="33" spans="1:3" x14ac:dyDescent="0.3">
      <c r="A33" s="26">
        <v>46002</v>
      </c>
      <c r="B33" s="27" t="s">
        <v>1</v>
      </c>
      <c r="C33" s="24">
        <v>503.62</v>
      </c>
    </row>
    <row r="34" spans="1:3" x14ac:dyDescent="0.3">
      <c r="A34" s="26">
        <v>46031</v>
      </c>
      <c r="B34" s="27" t="s">
        <v>1</v>
      </c>
      <c r="C34" s="24">
        <v>313.64999999999998</v>
      </c>
    </row>
    <row r="35" spans="1:3" x14ac:dyDescent="0.3">
      <c r="A35" s="26">
        <v>46031</v>
      </c>
      <c r="B35" s="27" t="s">
        <v>503</v>
      </c>
      <c r="C35" s="24">
        <v>-7.2</v>
      </c>
    </row>
    <row r="36" spans="1:3" x14ac:dyDescent="0.3">
      <c r="A36" s="26">
        <v>46035</v>
      </c>
      <c r="B36" s="27" t="s">
        <v>4</v>
      </c>
      <c r="C36" s="24">
        <v>-503.97</v>
      </c>
    </row>
    <row r="86" spans="2:2" x14ac:dyDescent="0.3">
      <c r="B86" s="31"/>
    </row>
  </sheetData>
  <mergeCells count="1">
    <mergeCell ref="A3:B3"/>
  </mergeCells>
  <pageMargins left="0.7" right="0.7" top="0.75" bottom="0.75" header="0.3" footer="0.3"/>
  <pageSetup paperSize="5"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333</vt:i4>
      </vt:variant>
      <vt:variant>
        <vt:lpstr>Rangos con nombre</vt:lpstr>
      </vt:variant>
      <vt:variant>
        <vt:i4>329</vt:i4>
      </vt:variant>
    </vt:vector>
  </HeadingPairs>
  <TitlesOfParts>
    <vt:vector size="662" baseType="lpstr">
      <vt:lpstr>RESUMEN</vt:lpstr>
      <vt:lpstr>ABASTO ANTONY</vt:lpstr>
      <vt:lpstr>ABASTO DON MARCOS</vt:lpstr>
      <vt:lpstr>ABASTO GLORIMAR</vt:lpstr>
      <vt:lpstr>ABASTO JAVER</vt:lpstr>
      <vt:lpstr>ABASTO KLEIDI</vt:lpstr>
      <vt:lpstr>ABASTO LAUDA</vt:lpstr>
      <vt:lpstr>ABASTO LAS CUADRAS</vt:lpstr>
      <vt:lpstr>ABASTO LAS MORENAS</vt:lpstr>
      <vt:lpstr>ABASTO LAS PILAS</vt:lpstr>
      <vt:lpstr>ABASTO LUZ VALERO</vt:lpstr>
      <vt:lpstr>ABASTO LUZMAR</vt:lpstr>
      <vt:lpstr>ABASTO MIS ANGELES</vt:lpstr>
      <vt:lpstr>ABASTO VANESA</vt:lpstr>
      <vt:lpstr>ABASTO Y CHARCUTERIA WILMARY</vt:lpstr>
      <vt:lpstr>ABASTO YUDERLI</vt:lpstr>
      <vt:lpstr>ABASTO ZORANNY</vt:lpstr>
      <vt:lpstr>ALAS COMPAS</vt:lpstr>
      <vt:lpstr>ALVARO RINCON</vt:lpstr>
      <vt:lpstr>ALEJANDRA NIETO</vt:lpstr>
      <vt:lpstr>AMALUBE</vt:lpstr>
      <vt:lpstr>AMEZQUITA BODEGON</vt:lpstr>
      <vt:lpstr>ANDERZON POLAR</vt:lpstr>
      <vt:lpstr>ANDERZON RODRIGUEZ</vt:lpstr>
      <vt:lpstr>ANDREA URDANETA</vt:lpstr>
      <vt:lpstr>APRICOT</vt:lpstr>
      <vt:lpstr>AURA VIVAS</vt:lpstr>
      <vt:lpstr>AVENTURA INFLABLE</vt:lpstr>
      <vt:lpstr>BARBERIA SPARTA</vt:lpstr>
      <vt:lpstr>BAKAI MACHIRI</vt:lpstr>
      <vt:lpstr>BELKIS MONSALVE</vt:lpstr>
      <vt:lpstr>BOD ALTOS PARAMILLO</vt:lpstr>
      <vt:lpstr>BOD MARBELYS ROA</vt:lpstr>
      <vt:lpstr>BOD SOLMAR PINTO</vt:lpstr>
      <vt:lpstr>BOD TOICO CLEIBER</vt:lpstr>
      <vt:lpstr>BOD TOICO OSMAR</vt:lpstr>
      <vt:lpstr>BODEGA DE ORO</vt:lpstr>
      <vt:lpstr>BODEGA DE CECI</vt:lpstr>
      <vt:lpstr>BODEGA EL ARBOLITO</vt:lpstr>
      <vt:lpstr>BODEGA EL GATO</vt:lpstr>
      <vt:lpstr>BODEGA EL SOL</vt:lpstr>
      <vt:lpstr>BODEGA EXPRESS</vt:lpstr>
      <vt:lpstr>BODEGA EL GUARO</vt:lpstr>
      <vt:lpstr>BODEGA DONITA</vt:lpstr>
      <vt:lpstr>BODEGA ESCALANTE</vt:lpstr>
      <vt:lpstr>BODEGA LOS CHACAROS</vt:lpstr>
      <vt:lpstr>BODEGA MARIA</vt:lpstr>
      <vt:lpstr>BODEGA MARITZA</vt:lpstr>
      <vt:lpstr>BODEGA MILAGRO</vt:lpstr>
      <vt:lpstr>BODEGA MILAGROS</vt:lpstr>
      <vt:lpstr>BODEGA NANCYTA</vt:lpstr>
      <vt:lpstr>BODEGA NAZARENO</vt:lpstr>
      <vt:lpstr>BODEGA Y PAPELERIA REY</vt:lpstr>
      <vt:lpstr>BODEGON AGUA LINDA</vt:lpstr>
      <vt:lpstr>BODEGON ANDREA'S</vt:lpstr>
      <vt:lpstr>BODEGON DE ELIDA</vt:lpstr>
      <vt:lpstr>BODEGON DE OLGA</vt:lpstr>
      <vt:lpstr>BODEGON D KSA</vt:lpstr>
      <vt:lpstr>BODEGON D Y JD</vt:lpstr>
      <vt:lpstr>BODEGON EL COMPADRE</vt:lpstr>
      <vt:lpstr>BODEGON ENDER GUERRERO</vt:lpstr>
      <vt:lpstr>BODEGON ENZO</vt:lpstr>
      <vt:lpstr>BODEGON EXPRESS</vt:lpstr>
      <vt:lpstr>BODEGON EXPRESS LA ESMERALDA</vt:lpstr>
      <vt:lpstr>BODEGON EXPRESS MARI</vt:lpstr>
      <vt:lpstr>BODEGON EXPRESS GREGORI</vt:lpstr>
      <vt:lpstr>BODEGON ESQUINA PARAMILLO</vt:lpstr>
      <vt:lpstr>BODEGON GARCIAS</vt:lpstr>
      <vt:lpstr>BODEGON JUANCHO</vt:lpstr>
      <vt:lpstr>BODEGON KATERIN</vt:lpstr>
      <vt:lpstr>BODEGON LA ESQUINA DE LUIS</vt:lpstr>
      <vt:lpstr>BODEGON LINARES</vt:lpstr>
      <vt:lpstr>BODEGON LOS NONOS</vt:lpstr>
      <vt:lpstr>BODEGON MACHIRI</vt:lpstr>
      <vt:lpstr>BODEGON MKM</vt:lpstr>
      <vt:lpstr>BODEGON SEVILLANA</vt:lpstr>
      <vt:lpstr>BODEGON TERESITA</vt:lpstr>
      <vt:lpstr>BODEGON UNICO</vt:lpstr>
      <vt:lpstr>CAFE RACER</vt:lpstr>
      <vt:lpstr>CAMPO MARKET</vt:lpstr>
      <vt:lpstr>CARNICERIA 2009</vt:lpstr>
      <vt:lpstr>CARNICERIA KARINA</vt:lpstr>
      <vt:lpstr>CARNICERIA MARTA</vt:lpstr>
      <vt:lpstr>CAROL KARDEIGON</vt:lpstr>
      <vt:lpstr>CASA EXPRESS</vt:lpstr>
      <vt:lpstr>CCP PARAMILLO</vt:lpstr>
      <vt:lpstr>CECILIA EMPANADAS</vt:lpstr>
      <vt:lpstr>CEMUCA</vt:lpstr>
      <vt:lpstr>CHARCUTERIA LA TOICA</vt:lpstr>
      <vt:lpstr>CHACARO CREAM</vt:lpstr>
      <vt:lpstr>COLEGIO SANTISIMA TRINIDAD</vt:lpstr>
      <vt:lpstr>COLEGIO SANTO CRISTO</vt:lpstr>
      <vt:lpstr>COMERCIALIZADORA ALFONSO PEREZ</vt:lpstr>
      <vt:lpstr>COMERCIALIZADORA FLOREZ</vt:lpstr>
      <vt:lpstr>COMERCIALIZADORA JEALKA</vt:lpstr>
      <vt:lpstr>COMERCIALIZADORA MULTIMASS</vt:lpstr>
      <vt:lpstr>COMERCIALIZADORA ORZY RUZY</vt:lpstr>
      <vt:lpstr>COMERCIALIZADORA YUDI</vt:lpstr>
      <vt:lpstr>COMPINCHOS</vt:lpstr>
      <vt:lpstr>COPAS DE PACO</vt:lpstr>
      <vt:lpstr>CONSUELO MENDOZA</vt:lpstr>
      <vt:lpstr>CREACIONES YAKY</vt:lpstr>
      <vt:lpstr>DANIEL VERSIONES DURAN</vt:lpstr>
      <vt:lpstr>DARIANA ESCALANTE</vt:lpstr>
      <vt:lpstr>DAVID DIAZ</vt:lpstr>
      <vt:lpstr>DAVID MORALES</vt:lpstr>
      <vt:lpstr>MINIABASTO SANTO CRISTO</vt:lpstr>
      <vt:lpstr>DE PANA</vt:lpstr>
      <vt:lpstr>DELMIRA RAMIREZ</vt:lpstr>
      <vt:lpstr>DISTRIBUIDO DE DOS</vt:lpstr>
      <vt:lpstr>DISTRIBUIDORA LUCHENI</vt:lpstr>
      <vt:lpstr>DISTRIPOLLO LOS ANDES</vt:lpstr>
      <vt:lpstr>DON HECTOR</vt:lpstr>
      <vt:lpstr>DON LEO</vt:lpstr>
      <vt:lpstr>DONDE QUIERA FOOD HOUSE</vt:lpstr>
      <vt:lpstr>DONDE MIGUEL</vt:lpstr>
      <vt:lpstr>DONDE YENNY</vt:lpstr>
      <vt:lpstr>DORIS CAICEDO</vt:lpstr>
      <vt:lpstr>DORIS MOGOLLON</vt:lpstr>
      <vt:lpstr>EDICSON HERRERA</vt:lpstr>
      <vt:lpstr>EDUAR GARCIA</vt:lpstr>
      <vt:lpstr>EL ATAJO CAFE</vt:lpstr>
      <vt:lpstr>EL GRONE GOMEZ</vt:lpstr>
      <vt:lpstr>EL REY CACHAPA</vt:lpstr>
      <vt:lpstr>EL RINCON DEL DULCE</vt:lpstr>
      <vt:lpstr>EMPANADA ANA RAMIREZ</vt:lpstr>
      <vt:lpstr>EMPANADA BELKIS ZAMBRANO</vt:lpstr>
      <vt:lpstr>EMPANADA LIAM</vt:lpstr>
      <vt:lpstr>EMPANA LAS NONAS</vt:lpstr>
      <vt:lpstr>EMPANA SANTA TERESA</vt:lpstr>
      <vt:lpstr>EMPRENDIMIENTO EDGAR</vt:lpstr>
      <vt:lpstr>EMPRENDIMIENTO LARRY</vt:lpstr>
      <vt:lpstr>EMPRENDIMIENTO MAIBEL</vt:lpstr>
      <vt:lpstr>EMPRENDIMIENTO MANZO</vt:lpstr>
      <vt:lpstr>EMPRENDIMIENTO MARIA ROMERO</vt:lpstr>
      <vt:lpstr>EMPRENDIMIENTO MIRLEY</vt:lpstr>
      <vt:lpstr>EMPRENDIMIENTO RAKEL ROJAS</vt:lpstr>
      <vt:lpstr>EMPRENDIMIENTO YAHIBE MOLINA</vt:lpstr>
      <vt:lpstr>EMPRENDIMIENTO YOSMAR GANBOA</vt:lpstr>
      <vt:lpstr>ERIKA DIAMANTE EXPRESS</vt:lpstr>
      <vt:lpstr>EVENTO SENIAT</vt:lpstr>
      <vt:lpstr>EVENTUAL NELSON</vt:lpstr>
      <vt:lpstr>FARMA BIEN</vt:lpstr>
      <vt:lpstr>FISICO</vt:lpstr>
      <vt:lpstr>FLOR ASOGATA</vt:lpstr>
      <vt:lpstr>FLORES DEL TRIGO</vt:lpstr>
      <vt:lpstr>FLORESK &amp; CAFE</vt:lpstr>
      <vt:lpstr>FOCACIA</vt:lpstr>
      <vt:lpstr>FRESCURA DE MI TIERRA</vt:lpstr>
      <vt:lpstr>FRIGORIFICO GABISCAR</vt:lpstr>
      <vt:lpstr>FRIGORIFICO OROZCO</vt:lpstr>
      <vt:lpstr>FRUTAS Y VERDURAS DON OMAR</vt:lpstr>
      <vt:lpstr>FRUTAS Y VERDURAS PALO GORDO</vt:lpstr>
      <vt:lpstr>FRUTERIA MI PEQUENA AURIYASMIN</vt:lpstr>
      <vt:lpstr>FRUTITAS</vt:lpstr>
      <vt:lpstr>FRUTERIA LA COLINA</vt:lpstr>
      <vt:lpstr>FUSION SPORT BAR</vt:lpstr>
      <vt:lpstr>GABRIELA LANDINEZ</vt:lpstr>
      <vt:lpstr>GERZON CHACON GUERRERO</vt:lpstr>
      <vt:lpstr>GLADIS PERNIA</vt:lpstr>
      <vt:lpstr>GLORIA RAMIREZ</vt:lpstr>
      <vt:lpstr>GREYSI JAUREGUI</vt:lpstr>
      <vt:lpstr>HAMBURGUESAS DONDE YERAL</vt:lpstr>
      <vt:lpstr>HAMBURGUESAS KIKE</vt:lpstr>
      <vt:lpstr>HELADERIA CRETA</vt:lpstr>
      <vt:lpstr>HELADERIA HAPPY DAY</vt:lpstr>
      <vt:lpstr>HENRY PARRA</vt:lpstr>
      <vt:lpstr>HIPER BODEGON</vt:lpstr>
      <vt:lpstr>HIPER FRESS</vt:lpstr>
      <vt:lpstr>HOTEL LA RAMADA</vt:lpstr>
      <vt:lpstr>INVERSIONES DIMARIA</vt:lpstr>
      <vt:lpstr>INVERSIONES ELY</vt:lpstr>
      <vt:lpstr>INVERSIONES MEID</vt:lpstr>
      <vt:lpstr>INVERSIONES Y VARIEDADES YENIFE</vt:lpstr>
      <vt:lpstr>INVERSIONES VIPLAST</vt:lpstr>
      <vt:lpstr>INVERFRUVE SANTANDER</vt:lpstr>
      <vt:lpstr>JACKSON VILLAMIZAR</vt:lpstr>
      <vt:lpstr>JAVIER TERCERIADO</vt:lpstr>
      <vt:lpstr>JESUS SANTANDER</vt:lpstr>
      <vt:lpstr>JESUS PARRA</vt:lpstr>
      <vt:lpstr>JHON COLMENARES</vt:lpstr>
      <vt:lpstr>JHONDER COLMENARES</vt:lpstr>
      <vt:lpstr>JONATAN ALEXIS BARON QUEZADA</vt:lpstr>
      <vt:lpstr>JOLIVERO LUNA OSTOS</vt:lpstr>
      <vt:lpstr>JOSE CONTRERAS</vt:lpstr>
      <vt:lpstr>JUMBO DOG</vt:lpstr>
      <vt:lpstr>J Y G TOICO</vt:lpstr>
      <vt:lpstr>KACTUS BODEGON</vt:lpstr>
      <vt:lpstr>KAREN PRADO</vt:lpstr>
      <vt:lpstr>KARLA ISAZA</vt:lpstr>
      <vt:lpstr>KARINA B.GOS BODEGON</vt:lpstr>
      <vt:lpstr>KARINA MARQUEZ</vt:lpstr>
      <vt:lpstr>KEVIN MARQUEZ</vt:lpstr>
      <vt:lpstr>KIOSCO AZUL</vt:lpstr>
      <vt:lpstr>KIOSCO BLANCO</vt:lpstr>
      <vt:lpstr>KIOSCO FRAO</vt:lpstr>
      <vt:lpstr>KIOSCO FRANKLIN</vt:lpstr>
      <vt:lpstr>KIOSCO LIAN</vt:lpstr>
      <vt:lpstr>KIOSCO N 5</vt:lpstr>
      <vt:lpstr>KIOSCO ROSA VELAZCO</vt:lpstr>
      <vt:lpstr>KIOSCO QUE PASTELITOS</vt:lpstr>
      <vt:lpstr>KIOSCO VIDA VERDE</vt:lpstr>
      <vt:lpstr>KIOSCO VICTORIA</vt:lpstr>
      <vt:lpstr>KORNER</vt:lpstr>
      <vt:lpstr>LAURA NINO DAVILA</vt:lpstr>
      <vt:lpstr>LA ANDINA NARVAEZ</vt:lpstr>
      <vt:lpstr>LA CASA DEL CHOCHECO</vt:lpstr>
      <vt:lpstr>LA ESPERANZA</vt:lpstr>
      <vt:lpstr>LA TIENDITA</vt:lpstr>
      <vt:lpstr>LA VAQUERITA</vt:lpstr>
      <vt:lpstr>LEIDY GARCIA</vt:lpstr>
      <vt:lpstr>LIAM SOFI</vt:lpstr>
      <vt:lpstr>LICORERIA GRISYUDAY</vt:lpstr>
      <vt:lpstr>LICORERIA KOOP</vt:lpstr>
      <vt:lpstr>LICORERIA LA VILLA</vt:lpstr>
      <vt:lpstr>LICORERIA LA TURENA</vt:lpstr>
      <vt:lpstr>LICORERIA MIS ANGELES</vt:lpstr>
      <vt:lpstr>LICORERIA TOICO JYG</vt:lpstr>
      <vt:lpstr>LOS SARTENES DE AMITA</vt:lpstr>
      <vt:lpstr>LUBRICFILTROS</vt:lpstr>
      <vt:lpstr>LUDY CARRILLO</vt:lpstr>
      <vt:lpstr>LUNCHERIA LOLITA</vt:lpstr>
      <vt:lpstr>LLUVIA BENDICIONES</vt:lpstr>
      <vt:lpstr>LULU</vt:lpstr>
      <vt:lpstr>LUMA EXPRESS</vt:lpstr>
      <vt:lpstr>MADEROS BODEGON</vt:lpstr>
      <vt:lpstr>MAGIAS SPA</vt:lpstr>
      <vt:lpstr>MANGO'S HOT DOG</vt:lpstr>
      <vt:lpstr>MAIRA CHACON</vt:lpstr>
      <vt:lpstr>MARIA CARRERO</vt:lpstr>
      <vt:lpstr>MARIA JAIMES</vt:lpstr>
      <vt:lpstr>MARIA RICO</vt:lpstr>
      <vt:lpstr>MARICARMEN TERRAZA</vt:lpstr>
      <vt:lpstr>MARIEXTER CACHAPAS</vt:lpstr>
      <vt:lpstr>MARTA MOLINA</vt:lpstr>
      <vt:lpstr>MEGA MARKET</vt:lpstr>
      <vt:lpstr>MARLENE CARRERO</vt:lpstr>
      <vt:lpstr>MERLI CAFE</vt:lpstr>
      <vt:lpstr>MERCA MAX</vt:lpstr>
      <vt:lpstr>MI ABASTO YELITZA</vt:lpstr>
      <vt:lpstr>MI RANCHITO</vt:lpstr>
      <vt:lpstr>MINIMARKET BUENA VENTURA</vt:lpstr>
      <vt:lpstr>MINIMARKET DETODITO</vt:lpstr>
      <vt:lpstr>MINIMARKET TONY LAS CUADRAS</vt:lpstr>
      <vt:lpstr>MINI ABASTO EL SOL</vt:lpstr>
      <vt:lpstr>MIREYA MERCHAN</vt:lpstr>
      <vt:lpstr>MORCILLAS WENDY</vt:lpstr>
      <vt:lpstr>NELSON RAMIREZ</vt:lpstr>
      <vt:lpstr>NEW YORK FITBOXING</vt:lpstr>
      <vt:lpstr>NOREIMA LA MORDIDA</vt:lpstr>
      <vt:lpstr>OSITO EXPRESS</vt:lpstr>
      <vt:lpstr>ORIANA CARRILLO</vt:lpstr>
      <vt:lpstr>PADEL X4 BTB</vt:lpstr>
      <vt:lpstr>PADEL BUNKER</vt:lpstr>
      <vt:lpstr>PANADERIA 3 ESQUINAS</vt:lpstr>
      <vt:lpstr>PANADERIA CASCARITA</vt:lpstr>
      <vt:lpstr>PANADERIA EL CONDOR</vt:lpstr>
      <vt:lpstr>PANADERIA EL MANJAR</vt:lpstr>
      <vt:lpstr>PANADERIA FLORES TRIGO</vt:lpstr>
      <vt:lpstr>PANADERIA GLENDIZ</vt:lpstr>
      <vt:lpstr>PANADERIA LA CREMITA</vt:lpstr>
      <vt:lpstr>PANADERIA LA ESPIGA</vt:lpstr>
      <vt:lpstr>PANDERIA LA PURISIMA</vt:lpstr>
      <vt:lpstr>PANADERIA MUNDO SABOR</vt:lpstr>
      <vt:lpstr>PANADERIA PANINI</vt:lpstr>
      <vt:lpstr>PANADERIA SMOKED</vt:lpstr>
      <vt:lpstr>PANADERIA VENETIA</vt:lpstr>
      <vt:lpstr>PIEDRA PAPEL O CERVEZA</vt:lpstr>
      <vt:lpstr>PIZZERIA ARADO</vt:lpstr>
      <vt:lpstr>PIZZAS FRATELLO</vt:lpstr>
      <vt:lpstr>PLASTICO CONSOLACION</vt:lpstr>
      <vt:lpstr>PLASTICO YENNIFER PEREZ</vt:lpstr>
      <vt:lpstr>PRESTO MARKET</vt:lpstr>
      <vt:lpstr>POLLO EXPRESS JYB</vt:lpstr>
      <vt:lpstr>POLLO BRASAS BUSTAMANTE</vt:lpstr>
      <vt:lpstr>QUESERA DOBLE A</vt:lpstr>
      <vt:lpstr>QUINCALLA JESUS DE NAZARENO</vt:lpstr>
      <vt:lpstr>REINA ALARCON</vt:lpstr>
      <vt:lpstr>RESTAURANT ALAS BRASAS</vt:lpstr>
      <vt:lpstr>RESTAURANT AROMAS</vt:lpstr>
      <vt:lpstr>RESTAURANT DONDE GRETA</vt:lpstr>
      <vt:lpstr>RESTAURANT EL CHAVALO</vt:lpstr>
      <vt:lpstr>RESTAURANT DONDE SANTOS</vt:lpstr>
      <vt:lpstr>RESTAURANT HERMANO DUQUE</vt:lpstr>
      <vt:lpstr>RESTAURANT Y PASTELERIA LA TENT</vt:lpstr>
      <vt:lpstr>RICHARD MONSARI</vt:lpstr>
      <vt:lpstr>ROBERTO FIGUEREDO</vt:lpstr>
      <vt:lpstr>ROCIO HERRERA</vt:lpstr>
      <vt:lpstr>ROSA AURA MOLINA OLIVEROS</vt:lpstr>
      <vt:lpstr>SANDRA ORTIZ</vt:lpstr>
      <vt:lpstr>SAUL Q FRUVER</vt:lpstr>
      <vt:lpstr>SNAK'S 31</vt:lpstr>
      <vt:lpstr>SOLANDE APARICIO</vt:lpstr>
      <vt:lpstr>SONIA GRANADA</vt:lpstr>
      <vt:lpstr>SARAY MOJIKA</vt:lpstr>
      <vt:lpstr>SUMINISTRO DE LIMPIEZA PARAMI</vt:lpstr>
      <vt:lpstr>SUPERMERCADO MERCAFRUVER</vt:lpstr>
      <vt:lpstr>SUPERMERCADO MIRCAR</vt:lpstr>
      <vt:lpstr>TENGO TODO MENESES</vt:lpstr>
      <vt:lpstr>TERRAZA BAR GRILL</vt:lpstr>
      <vt:lpstr>TIBISAY MORALES</vt:lpstr>
      <vt:lpstr>TIENDA D DAYANA</vt:lpstr>
      <vt:lpstr>TIENDA LOS MIOS</vt:lpstr>
      <vt:lpstr>TIENDA SANTO CRISTO</vt:lpstr>
      <vt:lpstr>TRIUNFO BET.COM</vt:lpstr>
      <vt:lpstr>TODOCARNES PEDRO</vt:lpstr>
      <vt:lpstr>TORCOROMA</vt:lpstr>
      <vt:lpstr>VANESA DIAZ</vt:lpstr>
      <vt:lpstr>VARIEDADES ANA</vt:lpstr>
      <vt:lpstr>VARIEDADES DYAN</vt:lpstr>
      <vt:lpstr>VARIEDADES EL CHENTE</vt:lpstr>
      <vt:lpstr>VARIEDADES JHOSTEPH</vt:lpstr>
      <vt:lpstr>VARIEDADES JOSE GREGORIO HERNAN</vt:lpstr>
      <vt:lpstr>VARIEDADES GAVI</vt:lpstr>
      <vt:lpstr>VARIEDADES LA TURENA</vt:lpstr>
      <vt:lpstr>VARIEDADES LUCY</vt:lpstr>
      <vt:lpstr>VERIHUZKA ARELLANO</vt:lpstr>
      <vt:lpstr>VILLA ROSSI</vt:lpstr>
      <vt:lpstr>VIVERES BR</vt:lpstr>
      <vt:lpstr>VIVERES CASTELLANA</vt:lpstr>
      <vt:lpstr>WAPUBLICIDAD</vt:lpstr>
      <vt:lpstr>WILFREDO BAYONA</vt:lpstr>
      <vt:lpstr>YARITZA PEREZ</vt:lpstr>
      <vt:lpstr>FRUTERIA YASMIN</vt:lpstr>
      <vt:lpstr>YEAH EXPRESS</vt:lpstr>
      <vt:lpstr>YEIMO CHARCUTERIA</vt:lpstr>
      <vt:lpstr>YIMY POLAR</vt:lpstr>
      <vt:lpstr>YONATAN NINO</vt:lpstr>
      <vt:lpstr>YORLEY GELVES</vt:lpstr>
      <vt:lpstr>YURAIMA MORENO</vt:lpstr>
      <vt:lpstr>ZONA CAFE</vt:lpstr>
      <vt:lpstr>ZONA FRESS</vt:lpstr>
      <vt:lpstr>ZONA MARKET</vt:lpstr>
      <vt:lpstr>'ABASTO ANTONY'!Área_de_impresión</vt:lpstr>
      <vt:lpstr>'ABASTO DON MARCOS'!Área_de_impresión</vt:lpstr>
      <vt:lpstr>'ABASTO GLORIMAR'!Área_de_impresión</vt:lpstr>
      <vt:lpstr>'ABASTO JAVER'!Área_de_impresión</vt:lpstr>
      <vt:lpstr>'ABASTO KLEIDI'!Área_de_impresión</vt:lpstr>
      <vt:lpstr>'ABASTO LAS CUADRAS'!Área_de_impresión</vt:lpstr>
      <vt:lpstr>'ABASTO LAS MORENAS'!Área_de_impresión</vt:lpstr>
      <vt:lpstr>'ABASTO LAS PILAS'!Área_de_impresión</vt:lpstr>
      <vt:lpstr>'ABASTO LAUDA'!Área_de_impresión</vt:lpstr>
      <vt:lpstr>'ABASTO LUZ VALERO'!Área_de_impresión</vt:lpstr>
      <vt:lpstr>'ABASTO LUZMAR'!Área_de_impresión</vt:lpstr>
      <vt:lpstr>'ABASTO MIS ANGELES'!Área_de_impresión</vt:lpstr>
      <vt:lpstr>'ABASTO VANESA'!Área_de_impresión</vt:lpstr>
      <vt:lpstr>'ABASTO Y CHARCUTERIA WILMARY'!Área_de_impresión</vt:lpstr>
      <vt:lpstr>'ABASTO YUDERLI'!Área_de_impresión</vt:lpstr>
      <vt:lpstr>'ABASTO ZORANNY'!Área_de_impresión</vt:lpstr>
      <vt:lpstr>'ALAS COMPAS'!Área_de_impresión</vt:lpstr>
      <vt:lpstr>'ALEJANDRA NIETO'!Área_de_impresión</vt:lpstr>
      <vt:lpstr>'ALVARO RINCON'!Área_de_impresión</vt:lpstr>
      <vt:lpstr>AMALUBE!Área_de_impresión</vt:lpstr>
      <vt:lpstr>'AMEZQUITA BODEGON'!Área_de_impresión</vt:lpstr>
      <vt:lpstr>'ANDERZON POLAR'!Área_de_impresión</vt:lpstr>
      <vt:lpstr>'ANDERZON RODRIGUEZ'!Área_de_impresión</vt:lpstr>
      <vt:lpstr>'ANDREA URDANETA'!Área_de_impresión</vt:lpstr>
      <vt:lpstr>APRICOT!Área_de_impresión</vt:lpstr>
      <vt:lpstr>'AURA VIVAS'!Área_de_impresión</vt:lpstr>
      <vt:lpstr>'AVENTURA INFLABLE'!Área_de_impresión</vt:lpstr>
      <vt:lpstr>'BAKAI MACHIRI'!Área_de_impresión</vt:lpstr>
      <vt:lpstr>'BARBERIA SPARTA'!Área_de_impresión</vt:lpstr>
      <vt:lpstr>'BELKIS MONSALVE'!Área_de_impresión</vt:lpstr>
      <vt:lpstr>'BOD ALTOS PARAMILLO'!Área_de_impresión</vt:lpstr>
      <vt:lpstr>'BOD MARBELYS ROA'!Área_de_impresión</vt:lpstr>
      <vt:lpstr>'BOD SOLMAR PINTO'!Área_de_impresión</vt:lpstr>
      <vt:lpstr>'BOD TOICO CLEIBER'!Área_de_impresión</vt:lpstr>
      <vt:lpstr>'BOD TOICO OSMAR'!Área_de_impresión</vt:lpstr>
      <vt:lpstr>'BODEGA DE CECI'!Área_de_impresión</vt:lpstr>
      <vt:lpstr>'BODEGA DE ORO'!Área_de_impresión</vt:lpstr>
      <vt:lpstr>'BODEGA DONITA'!Área_de_impresión</vt:lpstr>
      <vt:lpstr>'BODEGA EL ARBOLITO'!Área_de_impresión</vt:lpstr>
      <vt:lpstr>'BODEGA EL GATO'!Área_de_impresión</vt:lpstr>
      <vt:lpstr>'BODEGA EL GUARO'!Área_de_impresión</vt:lpstr>
      <vt:lpstr>'BODEGA EL SOL'!Área_de_impresión</vt:lpstr>
      <vt:lpstr>'BODEGA ESCALANTE'!Área_de_impresión</vt:lpstr>
      <vt:lpstr>'BODEGA EXPRESS'!Área_de_impresión</vt:lpstr>
      <vt:lpstr>'BODEGA LOS CHACAROS'!Área_de_impresión</vt:lpstr>
      <vt:lpstr>'BODEGA MARIA'!Área_de_impresión</vt:lpstr>
      <vt:lpstr>'BODEGA MARITZA'!Área_de_impresión</vt:lpstr>
      <vt:lpstr>'BODEGA MILAGRO'!Área_de_impresión</vt:lpstr>
      <vt:lpstr>'BODEGA MILAGROS'!Área_de_impresión</vt:lpstr>
      <vt:lpstr>'BODEGA NANCYTA'!Área_de_impresión</vt:lpstr>
      <vt:lpstr>'BODEGA NAZARENO'!Área_de_impresión</vt:lpstr>
      <vt:lpstr>'BODEGA Y PAPELERIA REY'!Área_de_impresión</vt:lpstr>
      <vt:lpstr>'BODEGON AGUA LINDA'!Área_de_impresión</vt:lpstr>
      <vt:lpstr>'BODEGON ANDREA''S'!Área_de_impresión</vt:lpstr>
      <vt:lpstr>'BODEGON D KSA'!Área_de_impresión</vt:lpstr>
      <vt:lpstr>'BODEGON D Y JD'!Área_de_impresión</vt:lpstr>
      <vt:lpstr>'BODEGON DE ELIDA'!Área_de_impresión</vt:lpstr>
      <vt:lpstr>'BODEGON DE OLGA'!Área_de_impresión</vt:lpstr>
      <vt:lpstr>'BODEGON EL COMPADRE'!Área_de_impresión</vt:lpstr>
      <vt:lpstr>'BODEGON ENDER GUERRERO'!Área_de_impresión</vt:lpstr>
      <vt:lpstr>'BODEGON ENZO'!Área_de_impresión</vt:lpstr>
      <vt:lpstr>'BODEGON ESQUINA PARAMILLO'!Área_de_impresión</vt:lpstr>
      <vt:lpstr>'BODEGON EXPRESS'!Área_de_impresión</vt:lpstr>
      <vt:lpstr>'BODEGON EXPRESS GREGORI'!Área_de_impresión</vt:lpstr>
      <vt:lpstr>'BODEGON EXPRESS LA ESMERALDA'!Área_de_impresión</vt:lpstr>
      <vt:lpstr>'BODEGON EXPRESS MARI'!Área_de_impresión</vt:lpstr>
      <vt:lpstr>'BODEGON GARCIAS'!Área_de_impresión</vt:lpstr>
      <vt:lpstr>'BODEGON JUANCHO'!Área_de_impresión</vt:lpstr>
      <vt:lpstr>'BODEGON KATERIN'!Área_de_impresión</vt:lpstr>
      <vt:lpstr>'BODEGON LA ESQUINA DE LUIS'!Área_de_impresión</vt:lpstr>
      <vt:lpstr>'BODEGON LINARES'!Área_de_impresión</vt:lpstr>
      <vt:lpstr>'BODEGON LOS NONOS'!Área_de_impresión</vt:lpstr>
      <vt:lpstr>'BODEGON MACHIRI'!Área_de_impresión</vt:lpstr>
      <vt:lpstr>'BODEGON MKM'!Área_de_impresión</vt:lpstr>
      <vt:lpstr>'BODEGON SEVILLANA'!Área_de_impresión</vt:lpstr>
      <vt:lpstr>'BODEGON TERESITA'!Área_de_impresión</vt:lpstr>
      <vt:lpstr>'BODEGON UNICO'!Área_de_impresión</vt:lpstr>
      <vt:lpstr>'CAFE RACER'!Área_de_impresión</vt:lpstr>
      <vt:lpstr>'CAMPO MARKET'!Área_de_impresión</vt:lpstr>
      <vt:lpstr>'CARNICERIA 2009'!Área_de_impresión</vt:lpstr>
      <vt:lpstr>'CARNICERIA KARINA'!Área_de_impresión</vt:lpstr>
      <vt:lpstr>'CARNICERIA MARTA'!Área_de_impresión</vt:lpstr>
      <vt:lpstr>'CAROL KARDEIGON'!Área_de_impresión</vt:lpstr>
      <vt:lpstr>'CASA EXPRESS'!Área_de_impresión</vt:lpstr>
      <vt:lpstr>'CCP PARAMILLO'!Área_de_impresión</vt:lpstr>
      <vt:lpstr>'CECILIA EMPANADAS'!Área_de_impresión</vt:lpstr>
      <vt:lpstr>CEMUCA!Área_de_impresión</vt:lpstr>
      <vt:lpstr>'CHARCUTERIA LA TOICA'!Área_de_impresión</vt:lpstr>
      <vt:lpstr>'COLEGIO SANTISIMA TRINIDAD'!Área_de_impresión</vt:lpstr>
      <vt:lpstr>'COLEGIO SANTO CRISTO'!Área_de_impresión</vt:lpstr>
      <vt:lpstr>'COMERCIALIZADORA ALFONSO PEREZ'!Área_de_impresión</vt:lpstr>
      <vt:lpstr>'COMERCIALIZADORA FLOREZ'!Área_de_impresión</vt:lpstr>
      <vt:lpstr>'COMERCIALIZADORA JEALKA'!Área_de_impresión</vt:lpstr>
      <vt:lpstr>'COMERCIALIZADORA MULTIMASS'!Área_de_impresión</vt:lpstr>
      <vt:lpstr>'COMERCIALIZADORA ORZY RUZY'!Área_de_impresión</vt:lpstr>
      <vt:lpstr>'COMERCIALIZADORA YUDI'!Área_de_impresión</vt:lpstr>
      <vt:lpstr>COMPINCHOS!Área_de_impresión</vt:lpstr>
      <vt:lpstr>'CONSUELO MENDOZA'!Área_de_impresión</vt:lpstr>
      <vt:lpstr>'COPAS DE PACO'!Área_de_impresión</vt:lpstr>
      <vt:lpstr>'CREACIONES YAKY'!Área_de_impresión</vt:lpstr>
      <vt:lpstr>'DANIEL VERSIONES DURAN'!Área_de_impresión</vt:lpstr>
      <vt:lpstr>'DARIANA ESCALANTE'!Área_de_impresión</vt:lpstr>
      <vt:lpstr>'DAVID DIAZ'!Área_de_impresión</vt:lpstr>
      <vt:lpstr>'DAVID MORALES'!Área_de_impresión</vt:lpstr>
      <vt:lpstr>'DE PANA'!Área_de_impresión</vt:lpstr>
      <vt:lpstr>'DELMIRA RAMIREZ'!Área_de_impresión</vt:lpstr>
      <vt:lpstr>'DISTRIBUIDO DE DOS'!Área_de_impresión</vt:lpstr>
      <vt:lpstr>'DISTRIBUIDORA LUCHENI'!Área_de_impresión</vt:lpstr>
      <vt:lpstr>'DISTRIPOLLO LOS ANDES'!Área_de_impresión</vt:lpstr>
      <vt:lpstr>'DON HECTOR'!Área_de_impresión</vt:lpstr>
      <vt:lpstr>'DON LEO'!Área_de_impresión</vt:lpstr>
      <vt:lpstr>'DONDE MIGUEL'!Área_de_impresión</vt:lpstr>
      <vt:lpstr>'DONDE QUIERA FOOD HOUSE'!Área_de_impresión</vt:lpstr>
      <vt:lpstr>'DONDE YENNY'!Área_de_impresión</vt:lpstr>
      <vt:lpstr>'DORIS CAICEDO'!Área_de_impresión</vt:lpstr>
      <vt:lpstr>'DORIS MOGOLLON'!Área_de_impresión</vt:lpstr>
      <vt:lpstr>'EDICSON HERRERA'!Área_de_impresión</vt:lpstr>
      <vt:lpstr>'EDUAR GARCIA'!Área_de_impresión</vt:lpstr>
      <vt:lpstr>'EL ATAJO CAFE'!Área_de_impresión</vt:lpstr>
      <vt:lpstr>'EL GRONE GOMEZ'!Área_de_impresión</vt:lpstr>
      <vt:lpstr>'EL REY CACHAPA'!Área_de_impresión</vt:lpstr>
      <vt:lpstr>'EL RINCON DEL DULCE'!Área_de_impresión</vt:lpstr>
      <vt:lpstr>'EMPANA LAS NONAS'!Área_de_impresión</vt:lpstr>
      <vt:lpstr>'EMPANA SANTA TERESA'!Área_de_impresión</vt:lpstr>
      <vt:lpstr>'EMPANADA LIAM'!Área_de_impresión</vt:lpstr>
      <vt:lpstr>'EMPRENDIMIENTO EDGAR'!Área_de_impresión</vt:lpstr>
      <vt:lpstr>'EMPRENDIMIENTO LARRY'!Área_de_impresión</vt:lpstr>
      <vt:lpstr>'EMPRENDIMIENTO MAIBEL'!Área_de_impresión</vt:lpstr>
      <vt:lpstr>'EMPRENDIMIENTO MANZO'!Área_de_impresión</vt:lpstr>
      <vt:lpstr>'EMPRENDIMIENTO MARIA ROMERO'!Área_de_impresión</vt:lpstr>
      <vt:lpstr>'EMPRENDIMIENTO MIRLEY'!Área_de_impresión</vt:lpstr>
      <vt:lpstr>'EMPRENDIMIENTO RAKEL ROJAS'!Área_de_impresión</vt:lpstr>
      <vt:lpstr>'EMPRENDIMIENTO YAHIBE MOLINA'!Área_de_impresión</vt:lpstr>
      <vt:lpstr>'EMPRENDIMIENTO YOSMAR GANBOA'!Área_de_impresión</vt:lpstr>
      <vt:lpstr>'ERIKA DIAMANTE EXPRESS'!Área_de_impresión</vt:lpstr>
      <vt:lpstr>'EVENTO SENIAT'!Área_de_impresión</vt:lpstr>
      <vt:lpstr>'EVENTUAL NELSON'!Área_de_impresión</vt:lpstr>
      <vt:lpstr>'FARMA BIEN'!Área_de_impresión</vt:lpstr>
      <vt:lpstr>FISICO!Área_de_impresión</vt:lpstr>
      <vt:lpstr>'FLOR ASOGATA'!Área_de_impresión</vt:lpstr>
      <vt:lpstr>'FLORES DEL TRIGO'!Área_de_impresión</vt:lpstr>
      <vt:lpstr>'FLORESK &amp; CAFE'!Área_de_impresión</vt:lpstr>
      <vt:lpstr>FOCACIA!Área_de_impresión</vt:lpstr>
      <vt:lpstr>'FRESCURA DE MI TIERRA'!Área_de_impresión</vt:lpstr>
      <vt:lpstr>'FRIGORIFICO GABISCAR'!Área_de_impresión</vt:lpstr>
      <vt:lpstr>'FRIGORIFICO OROZCO'!Área_de_impresión</vt:lpstr>
      <vt:lpstr>'FRUTAS Y VERDURAS DON OMAR'!Área_de_impresión</vt:lpstr>
      <vt:lpstr>'FRUTAS Y VERDURAS PALO GORDO'!Área_de_impresión</vt:lpstr>
      <vt:lpstr>'FRUTERIA LA COLINA'!Área_de_impresión</vt:lpstr>
      <vt:lpstr>'FRUTERIA MI PEQUENA AURIYASMIN'!Área_de_impresión</vt:lpstr>
      <vt:lpstr>'FRUTERIA YASMIN'!Área_de_impresión</vt:lpstr>
      <vt:lpstr>FRUTITAS!Área_de_impresión</vt:lpstr>
      <vt:lpstr>'FUSION SPORT BAR'!Área_de_impresión</vt:lpstr>
      <vt:lpstr>'GABRIELA LANDINEZ'!Área_de_impresión</vt:lpstr>
      <vt:lpstr>'GERZON CHACON GUERRERO'!Área_de_impresión</vt:lpstr>
      <vt:lpstr>'GLADIS PERNIA'!Área_de_impresión</vt:lpstr>
      <vt:lpstr>'GLORIA RAMIREZ'!Área_de_impresión</vt:lpstr>
      <vt:lpstr>'GREYSI JAUREGUI'!Área_de_impresión</vt:lpstr>
      <vt:lpstr>'HAMBURGUESAS DONDE YERAL'!Área_de_impresión</vt:lpstr>
      <vt:lpstr>'HAMBURGUESAS KIKE'!Área_de_impresión</vt:lpstr>
      <vt:lpstr>'HELADERIA CRETA'!Área_de_impresión</vt:lpstr>
      <vt:lpstr>'HELADERIA HAPPY DAY'!Área_de_impresión</vt:lpstr>
      <vt:lpstr>'HENRY PARRA'!Área_de_impresión</vt:lpstr>
      <vt:lpstr>'HIPER BODEGON'!Área_de_impresión</vt:lpstr>
      <vt:lpstr>'HIPER FRESS'!Área_de_impresión</vt:lpstr>
      <vt:lpstr>'HOTEL LA RAMADA'!Área_de_impresión</vt:lpstr>
      <vt:lpstr>'INVERFRUVE SANTANDER'!Área_de_impresión</vt:lpstr>
      <vt:lpstr>'INVERSIONES DIMARIA'!Área_de_impresión</vt:lpstr>
      <vt:lpstr>'INVERSIONES ELY'!Área_de_impresión</vt:lpstr>
      <vt:lpstr>'INVERSIONES MEID'!Área_de_impresión</vt:lpstr>
      <vt:lpstr>'INVERSIONES VIPLAST'!Área_de_impresión</vt:lpstr>
      <vt:lpstr>'INVERSIONES Y VARIEDADES YENIFE'!Área_de_impresión</vt:lpstr>
      <vt:lpstr>'J Y G TOICO'!Área_de_impresión</vt:lpstr>
      <vt:lpstr>'JACKSON VILLAMIZAR'!Área_de_impresión</vt:lpstr>
      <vt:lpstr>'JAVIER TERCERIADO'!Área_de_impresión</vt:lpstr>
      <vt:lpstr>'JESUS PARRA'!Área_de_impresión</vt:lpstr>
      <vt:lpstr>'JESUS SANTANDER'!Área_de_impresión</vt:lpstr>
      <vt:lpstr>'JHON COLMENARES'!Área_de_impresión</vt:lpstr>
      <vt:lpstr>'JHONDER COLMENARES'!Área_de_impresión</vt:lpstr>
      <vt:lpstr>'JOLIVERO LUNA OSTOS'!Área_de_impresión</vt:lpstr>
      <vt:lpstr>'JONATAN ALEXIS BARON QUEZADA'!Área_de_impresión</vt:lpstr>
      <vt:lpstr>'JOSE CONTRERAS'!Área_de_impresión</vt:lpstr>
      <vt:lpstr>'JUMBO DOG'!Área_de_impresión</vt:lpstr>
      <vt:lpstr>'KACTUS BODEGON'!Área_de_impresión</vt:lpstr>
      <vt:lpstr>'KAREN PRADO'!Área_de_impresión</vt:lpstr>
      <vt:lpstr>'KARINA B.GOS BODEGON'!Área_de_impresión</vt:lpstr>
      <vt:lpstr>'KARINA MARQUEZ'!Área_de_impresión</vt:lpstr>
      <vt:lpstr>'KARLA ISAZA'!Área_de_impresión</vt:lpstr>
      <vt:lpstr>'KEVIN MARQUEZ'!Área_de_impresión</vt:lpstr>
      <vt:lpstr>'KIOSCO AZUL'!Área_de_impresión</vt:lpstr>
      <vt:lpstr>'KIOSCO BLANCO'!Área_de_impresión</vt:lpstr>
      <vt:lpstr>'KIOSCO FRANKLIN'!Área_de_impresión</vt:lpstr>
      <vt:lpstr>'KIOSCO FRAO'!Área_de_impresión</vt:lpstr>
      <vt:lpstr>'KIOSCO LIAN'!Área_de_impresión</vt:lpstr>
      <vt:lpstr>'KIOSCO N 5'!Área_de_impresión</vt:lpstr>
      <vt:lpstr>'KIOSCO QUE PASTELITOS'!Área_de_impresión</vt:lpstr>
      <vt:lpstr>'KIOSCO ROSA VELAZCO'!Área_de_impresión</vt:lpstr>
      <vt:lpstr>'KIOSCO VICTORIA'!Área_de_impresión</vt:lpstr>
      <vt:lpstr>'KIOSCO VIDA VERDE'!Área_de_impresión</vt:lpstr>
      <vt:lpstr>KORNER!Área_de_impresión</vt:lpstr>
      <vt:lpstr>'LA ANDINA NARVAEZ'!Área_de_impresión</vt:lpstr>
      <vt:lpstr>'LA CASA DEL CHOCHECO'!Área_de_impresión</vt:lpstr>
      <vt:lpstr>'LA ESPERANZA'!Área_de_impresión</vt:lpstr>
      <vt:lpstr>'LA TIENDITA'!Área_de_impresión</vt:lpstr>
      <vt:lpstr>'LA VAQUERITA'!Área_de_impresión</vt:lpstr>
      <vt:lpstr>'LAURA NINO DAVILA'!Área_de_impresión</vt:lpstr>
      <vt:lpstr>'LEIDY GARCIA'!Área_de_impresión</vt:lpstr>
      <vt:lpstr>'LIAM SOFI'!Área_de_impresión</vt:lpstr>
      <vt:lpstr>'LICORERIA GRISYUDAY'!Área_de_impresión</vt:lpstr>
      <vt:lpstr>'LICORERIA KOOP'!Área_de_impresión</vt:lpstr>
      <vt:lpstr>'LICORERIA LA TURENA'!Área_de_impresión</vt:lpstr>
      <vt:lpstr>'LICORERIA LA VILLA'!Área_de_impresión</vt:lpstr>
      <vt:lpstr>'LICORERIA MIS ANGELES'!Área_de_impresión</vt:lpstr>
      <vt:lpstr>'LICORERIA TOICO JYG'!Área_de_impresión</vt:lpstr>
      <vt:lpstr>'LLUVIA BENDICIONES'!Área_de_impresión</vt:lpstr>
      <vt:lpstr>'LOS SARTENES DE AMITA'!Área_de_impresión</vt:lpstr>
      <vt:lpstr>LUBRICFILTROS!Área_de_impresión</vt:lpstr>
      <vt:lpstr>'LUDY CARRILLO'!Área_de_impresión</vt:lpstr>
      <vt:lpstr>LULU!Área_de_impresión</vt:lpstr>
      <vt:lpstr>'LUMA EXPRESS'!Área_de_impresión</vt:lpstr>
      <vt:lpstr>'LUNCHERIA LOLITA'!Área_de_impresión</vt:lpstr>
      <vt:lpstr>'MADEROS BODEGON'!Área_de_impresión</vt:lpstr>
      <vt:lpstr>'MAGIAS SPA'!Área_de_impresión</vt:lpstr>
      <vt:lpstr>'MAIRA CHACON'!Área_de_impresión</vt:lpstr>
      <vt:lpstr>'MANGO''S HOT DOG'!Área_de_impresión</vt:lpstr>
      <vt:lpstr>'MARIA CARRERO'!Área_de_impresión</vt:lpstr>
      <vt:lpstr>'MARIA JAIMES'!Área_de_impresión</vt:lpstr>
      <vt:lpstr>'MARIA RICO'!Área_de_impresión</vt:lpstr>
      <vt:lpstr>'MARICARMEN TERRAZA'!Área_de_impresión</vt:lpstr>
      <vt:lpstr>'MARIEXTER CACHAPAS'!Área_de_impresión</vt:lpstr>
      <vt:lpstr>'MARLENE CARRERO'!Área_de_impresión</vt:lpstr>
      <vt:lpstr>'MARTA MOLINA'!Área_de_impresión</vt:lpstr>
      <vt:lpstr>'MEGA MARKET'!Área_de_impresión</vt:lpstr>
      <vt:lpstr>'MERCA MAX'!Área_de_impresión</vt:lpstr>
      <vt:lpstr>'MERLI CAFE'!Área_de_impresión</vt:lpstr>
      <vt:lpstr>'MI ABASTO YELITZA'!Área_de_impresión</vt:lpstr>
      <vt:lpstr>'MI RANCHITO'!Área_de_impresión</vt:lpstr>
      <vt:lpstr>'MINI ABASTO EL SOL'!Área_de_impresión</vt:lpstr>
      <vt:lpstr>'MINIABASTO SANTO CRISTO'!Área_de_impresión</vt:lpstr>
      <vt:lpstr>'MINIMARKET BUENA VENTURA'!Área_de_impresión</vt:lpstr>
      <vt:lpstr>'MINIMARKET DETODITO'!Área_de_impresión</vt:lpstr>
      <vt:lpstr>'MINIMARKET TONY LAS CUADRAS'!Área_de_impresión</vt:lpstr>
      <vt:lpstr>'MIREYA MERCHAN'!Área_de_impresión</vt:lpstr>
      <vt:lpstr>'MORCILLAS WENDY'!Área_de_impresión</vt:lpstr>
      <vt:lpstr>'NELSON RAMIREZ'!Área_de_impresión</vt:lpstr>
      <vt:lpstr>'NEW YORK FITBOXING'!Área_de_impresión</vt:lpstr>
      <vt:lpstr>'NOREIMA LA MORDIDA'!Área_de_impresión</vt:lpstr>
      <vt:lpstr>'ORIANA CARRILLO'!Área_de_impresión</vt:lpstr>
      <vt:lpstr>'OSITO EXPRESS'!Área_de_impresión</vt:lpstr>
      <vt:lpstr>'PADEL BUNKER'!Área_de_impresión</vt:lpstr>
      <vt:lpstr>'PADEL X4 BTB'!Área_de_impresión</vt:lpstr>
      <vt:lpstr>'PANADERIA 3 ESQUINAS'!Área_de_impresión</vt:lpstr>
      <vt:lpstr>'PANADERIA CASCARITA'!Área_de_impresión</vt:lpstr>
      <vt:lpstr>'PANADERIA EL CONDOR'!Área_de_impresión</vt:lpstr>
      <vt:lpstr>'PANADERIA EL MANJAR'!Área_de_impresión</vt:lpstr>
      <vt:lpstr>'PANADERIA FLORES TRIGO'!Área_de_impresión</vt:lpstr>
      <vt:lpstr>'PANADERIA GLENDIZ'!Área_de_impresión</vt:lpstr>
      <vt:lpstr>'PANADERIA LA CREMITA'!Área_de_impresión</vt:lpstr>
      <vt:lpstr>'PANADERIA LA ESPIGA'!Área_de_impresión</vt:lpstr>
      <vt:lpstr>'PANADERIA MUNDO SABOR'!Área_de_impresión</vt:lpstr>
      <vt:lpstr>'PANADERIA PANINI'!Área_de_impresión</vt:lpstr>
      <vt:lpstr>'PANADERIA SMOKED'!Área_de_impresión</vt:lpstr>
      <vt:lpstr>'PANADERIA VENETIA'!Área_de_impresión</vt:lpstr>
      <vt:lpstr>'PANDERIA LA PURISIMA'!Área_de_impresión</vt:lpstr>
      <vt:lpstr>'PIEDRA PAPEL O CERVEZA'!Área_de_impresión</vt:lpstr>
      <vt:lpstr>'PIZZAS FRATELLO'!Área_de_impresión</vt:lpstr>
      <vt:lpstr>'PIZZERIA ARADO'!Área_de_impresión</vt:lpstr>
      <vt:lpstr>'PLASTICO CONSOLACION'!Área_de_impresión</vt:lpstr>
      <vt:lpstr>'PLASTICO YENNIFER PEREZ'!Área_de_impresión</vt:lpstr>
      <vt:lpstr>'POLLO BRASAS BUSTAMANTE'!Área_de_impresión</vt:lpstr>
      <vt:lpstr>'POLLO EXPRESS JYB'!Área_de_impresión</vt:lpstr>
      <vt:lpstr>'PRESTO MARKET'!Área_de_impresión</vt:lpstr>
      <vt:lpstr>'QUESERA DOBLE A'!Área_de_impresión</vt:lpstr>
      <vt:lpstr>'QUINCALLA JESUS DE NAZARENO'!Área_de_impresión</vt:lpstr>
      <vt:lpstr>'REINA ALARCON'!Área_de_impresión</vt:lpstr>
      <vt:lpstr>'RESTAURANT ALAS BRASAS'!Área_de_impresión</vt:lpstr>
      <vt:lpstr>'RESTAURANT AROMAS'!Área_de_impresión</vt:lpstr>
      <vt:lpstr>'RESTAURANT DONDE GRETA'!Área_de_impresión</vt:lpstr>
      <vt:lpstr>'RESTAURANT DONDE SANTOS'!Área_de_impresión</vt:lpstr>
      <vt:lpstr>'RESTAURANT EL CHAVALO'!Área_de_impresión</vt:lpstr>
      <vt:lpstr>'RESTAURANT HERMANO DUQUE'!Área_de_impresión</vt:lpstr>
      <vt:lpstr>'RESTAURANT Y PASTELERIA LA TENT'!Área_de_impresión</vt:lpstr>
      <vt:lpstr>RESUMEN!Área_de_impresión</vt:lpstr>
      <vt:lpstr>'RICHARD MONSARI'!Área_de_impresión</vt:lpstr>
      <vt:lpstr>'ROBERTO FIGUEREDO'!Área_de_impresión</vt:lpstr>
      <vt:lpstr>'ROCIO HERRERA'!Área_de_impresión</vt:lpstr>
      <vt:lpstr>'ROSA AURA MOLINA OLIVEROS'!Área_de_impresión</vt:lpstr>
      <vt:lpstr>'SANDRA ORTIZ'!Área_de_impresión</vt:lpstr>
      <vt:lpstr>'SARAY MOJIKA'!Área_de_impresión</vt:lpstr>
      <vt:lpstr>'SAUL Q FRUVER'!Área_de_impresión</vt:lpstr>
      <vt:lpstr>'SNAK''S 31'!Área_de_impresión</vt:lpstr>
      <vt:lpstr>'SOLANDE APARICIO'!Área_de_impresión</vt:lpstr>
      <vt:lpstr>'SONIA GRANADA'!Área_de_impresión</vt:lpstr>
      <vt:lpstr>'SUMINISTRO DE LIMPIEZA PARAMI'!Área_de_impresión</vt:lpstr>
      <vt:lpstr>'SUPERMERCADO MERCAFRUVER'!Área_de_impresión</vt:lpstr>
      <vt:lpstr>'SUPERMERCADO MIRCAR'!Área_de_impresión</vt:lpstr>
      <vt:lpstr>'TENGO TODO MENESES'!Área_de_impresión</vt:lpstr>
      <vt:lpstr>'TERRAZA BAR GRILL'!Área_de_impresión</vt:lpstr>
      <vt:lpstr>'TIBISAY MORALES'!Área_de_impresión</vt:lpstr>
      <vt:lpstr>'TIENDA D DAYANA'!Área_de_impresión</vt:lpstr>
      <vt:lpstr>'TIENDA LOS MIOS'!Área_de_impresión</vt:lpstr>
      <vt:lpstr>'TIENDA SANTO CRISTO'!Área_de_impresión</vt:lpstr>
      <vt:lpstr>'TODOCARNES PEDRO'!Área_de_impresión</vt:lpstr>
      <vt:lpstr>TORCOROMA!Área_de_impresión</vt:lpstr>
      <vt:lpstr>'TRIUNFO BET.COM'!Área_de_impresión</vt:lpstr>
      <vt:lpstr>'VANESA DIAZ'!Área_de_impresión</vt:lpstr>
      <vt:lpstr>'VARIEDADES ANA'!Área_de_impresión</vt:lpstr>
      <vt:lpstr>'VARIEDADES DYAN'!Área_de_impresión</vt:lpstr>
      <vt:lpstr>'VARIEDADES EL CHENTE'!Área_de_impresión</vt:lpstr>
      <vt:lpstr>'VARIEDADES JHOSTEPH'!Área_de_impresión</vt:lpstr>
      <vt:lpstr>'VARIEDADES JOSE GREGORIO HERNAN'!Área_de_impresión</vt:lpstr>
      <vt:lpstr>'VARIEDADES LA TURENA'!Área_de_impresión</vt:lpstr>
      <vt:lpstr>'VARIEDADES LUCY'!Área_de_impresión</vt:lpstr>
      <vt:lpstr>'VERIHUZKA ARELLANO'!Área_de_impresión</vt:lpstr>
      <vt:lpstr>'VILLA ROSSI'!Área_de_impresión</vt:lpstr>
      <vt:lpstr>'VIVERES BR'!Área_de_impresión</vt:lpstr>
      <vt:lpstr>'VIVERES CASTELLANA'!Área_de_impresión</vt:lpstr>
      <vt:lpstr>WAPUBLICIDAD!Área_de_impresión</vt:lpstr>
      <vt:lpstr>'WILFREDO BAYONA'!Área_de_impresión</vt:lpstr>
      <vt:lpstr>'YARITZA PEREZ'!Área_de_impresión</vt:lpstr>
      <vt:lpstr>'YEAH EXPRESS'!Área_de_impresión</vt:lpstr>
      <vt:lpstr>'YEIMO CHARCUTERIA'!Área_de_impresión</vt:lpstr>
      <vt:lpstr>'YIMY POLAR'!Área_de_impresión</vt:lpstr>
      <vt:lpstr>'YONATAN NINO'!Área_de_impresión</vt:lpstr>
      <vt:lpstr>'YORLEY GELVES'!Área_de_impresión</vt:lpstr>
      <vt:lpstr>'YURAIMA MORENO'!Área_de_impresión</vt:lpstr>
      <vt:lpstr>'ZONA CAFE'!Área_de_impresión</vt:lpstr>
      <vt:lpstr>'ZONA FRESS'!Área_de_impresión</vt:lpstr>
      <vt:lpstr>'ZONA MARKET'!Área_de_impresión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Yessika Zambrano</dc:creator>
  <cp:lastModifiedBy>Yessika Zambrano</cp:lastModifiedBy>
  <cp:lastPrinted>2026-02-04T01:10:51Z</cp:lastPrinted>
  <dcterms:created xsi:type="dcterms:W3CDTF">2025-01-03T11:50:35Z</dcterms:created>
  <dcterms:modified xsi:type="dcterms:W3CDTF">2026-02-04T14:20:11Z</dcterms:modified>
</cp:coreProperties>
</file>