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wpeng-my.sharepoint.com/personal/yetunde_adesalu_engineering_digital_dwp_gov_uk/Documents/BA Resources/Data Analysis/Black Disruptors/"/>
    </mc:Choice>
  </mc:AlternateContent>
  <xr:revisionPtr revIDLastSave="278" documentId="11_E60897F41BE170836B02CE998F75CCDC64E183C8" xr6:coauthVersionLast="47" xr6:coauthVersionMax="47" xr10:uidLastSave="{CA8EFC8B-E12B-477C-9DB3-55DC0021E08A}"/>
  <bookViews>
    <workbookView xWindow="44880" yWindow="9315" windowWidth="29040" windowHeight="15840" activeTab="1" xr2:uid="{00000000-000D-0000-FFFF-FFFF00000000}"/>
  </bookViews>
  <sheets>
    <sheet name="Summary Analysis" sheetId="3" r:id="rId1"/>
    <sheet name="Referendum" sheetId="1" r:id="rId2"/>
    <sheet name="Census" sheetId="2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X228" i="2"/>
  <c r="X73" i="2"/>
  <c r="X14" i="2"/>
  <c r="X15" i="2"/>
  <c r="X23" i="2"/>
  <c r="X37" i="2"/>
  <c r="X43" i="2"/>
  <c r="X52" i="2"/>
  <c r="X85" i="2"/>
  <c r="X98" i="2"/>
  <c r="X117" i="2"/>
  <c r="X137" i="2"/>
  <c r="X140" i="2"/>
  <c r="X143" i="2"/>
  <c r="X145" i="2"/>
  <c r="X148" i="2"/>
  <c r="X153" i="2"/>
  <c r="X158" i="2"/>
  <c r="X161" i="2"/>
  <c r="X169" i="2"/>
  <c r="X170" i="2"/>
  <c r="X174" i="2"/>
  <c r="X177" i="2"/>
  <c r="X182" i="2"/>
  <c r="X196" i="2"/>
  <c r="X211" i="2"/>
  <c r="X248" i="2"/>
  <c r="X255" i="2"/>
  <c r="X301" i="2"/>
  <c r="X318" i="2"/>
  <c r="X338" i="2"/>
  <c r="X346" i="2"/>
  <c r="X347" i="2"/>
  <c r="X365" i="2"/>
  <c r="X150" i="2"/>
  <c r="X200" i="2"/>
  <c r="X249" i="2"/>
  <c r="X311" i="2"/>
  <c r="X87" i="2"/>
  <c r="X141" i="2"/>
  <c r="X348" i="2"/>
  <c r="X26" i="2"/>
  <c r="X27" i="2"/>
  <c r="X173" i="2"/>
  <c r="X110" i="2"/>
  <c r="X217" i="2"/>
  <c r="X221" i="2"/>
  <c r="X382" i="2"/>
  <c r="X91" i="2"/>
  <c r="X180" i="2"/>
  <c r="X266" i="2"/>
  <c r="X231" i="2"/>
  <c r="X154" i="2"/>
  <c r="X327" i="2"/>
  <c r="X312" i="2"/>
  <c r="X21" i="2"/>
  <c r="X41" i="2"/>
  <c r="X223" i="2"/>
  <c r="X286" i="2"/>
  <c r="X241" i="2"/>
  <c r="X335" i="2"/>
  <c r="X32" i="2"/>
  <c r="X242" i="2"/>
  <c r="X321" i="2"/>
  <c r="X240" i="2"/>
  <c r="X186" i="2"/>
  <c r="X300" i="2"/>
  <c r="X333" i="2"/>
  <c r="X192" i="2"/>
  <c r="X33" i="2"/>
  <c r="X356" i="2"/>
  <c r="X247" i="2"/>
  <c r="X280" i="2"/>
  <c r="X370" i="2"/>
  <c r="X373" i="2"/>
  <c r="X202" i="2"/>
  <c r="X40" i="2"/>
  <c r="X243" i="2"/>
  <c r="X299" i="2"/>
  <c r="X167" i="2"/>
  <c r="X81" i="2"/>
  <c r="X229" i="2"/>
  <c r="X65" i="2"/>
  <c r="X66" i="2"/>
  <c r="X279" i="2"/>
  <c r="X79" i="2"/>
  <c r="X168" i="2"/>
  <c r="X368" i="2"/>
  <c r="X22" i="2"/>
  <c r="X59" i="2"/>
  <c r="X12" i="2"/>
  <c r="X69" i="2"/>
  <c r="X283" i="2"/>
  <c r="X379" i="2"/>
  <c r="X51" i="2"/>
  <c r="X100" i="2"/>
  <c r="X124" i="2"/>
  <c r="X162" i="2"/>
  <c r="X284" i="2"/>
  <c r="X5" i="2"/>
  <c r="X17" i="2"/>
  <c r="X56" i="2"/>
  <c r="X77" i="2"/>
  <c r="X114" i="2"/>
  <c r="X290" i="2"/>
  <c r="X6" i="2"/>
  <c r="X29" i="2"/>
  <c r="X67" i="2"/>
  <c r="X92" i="2"/>
  <c r="X120" i="2"/>
  <c r="X156" i="2"/>
  <c r="X216" i="2"/>
  <c r="X285" i="2"/>
  <c r="X101" i="2"/>
  <c r="X121" i="2"/>
  <c r="X197" i="2"/>
  <c r="X214" i="2"/>
  <c r="X287" i="2"/>
  <c r="X326" i="2"/>
  <c r="X337" i="2"/>
  <c r="X357" i="2"/>
  <c r="X71" i="2"/>
  <c r="X102" i="2"/>
  <c r="X215" i="2"/>
  <c r="X246" i="2"/>
  <c r="X358" i="2"/>
  <c r="X366" i="2"/>
  <c r="X112" i="2"/>
  <c r="X151" i="2"/>
  <c r="X181" i="2"/>
  <c r="X260" i="2"/>
  <c r="X353" i="2"/>
  <c r="X18" i="2"/>
  <c r="X35" i="2"/>
  <c r="X38" i="2"/>
  <c r="X58" i="2"/>
  <c r="X62" i="2"/>
  <c r="X75" i="2"/>
  <c r="X118" i="2"/>
  <c r="X146" i="2"/>
  <c r="X188" i="2"/>
  <c r="X258" i="2"/>
  <c r="X328" i="2"/>
  <c r="X341" i="2"/>
  <c r="X63" i="2"/>
  <c r="X80" i="2"/>
  <c r="X128" i="2"/>
  <c r="X133" i="2"/>
  <c r="X314" i="2"/>
  <c r="X330" i="2"/>
  <c r="X19" i="2"/>
  <c r="X104" i="2"/>
  <c r="X113" i="2"/>
  <c r="X123" i="2"/>
  <c r="X134" i="2"/>
  <c r="X149" i="2"/>
  <c r="X152" i="2"/>
  <c r="X207" i="2"/>
  <c r="X265" i="2"/>
  <c r="X329" i="2"/>
  <c r="X369" i="2"/>
  <c r="X45" i="2"/>
  <c r="X86" i="2"/>
  <c r="X105" i="2"/>
  <c r="X155" i="2"/>
  <c r="X218" i="2"/>
  <c r="X303" i="2"/>
  <c r="X308" i="2"/>
  <c r="X332" i="2"/>
  <c r="X350" i="2"/>
  <c r="X355" i="2"/>
  <c r="X11" i="2"/>
  <c r="X54" i="2"/>
  <c r="X88" i="2"/>
  <c r="X94" i="2"/>
  <c r="X135" i="2"/>
  <c r="X187" i="2"/>
  <c r="X275" i="2"/>
  <c r="X277" i="2"/>
  <c r="X319" i="2"/>
  <c r="X331" i="2"/>
  <c r="X334" i="2"/>
  <c r="X340" i="2"/>
  <c r="X47" i="2"/>
  <c r="X70" i="2"/>
  <c r="X129" i="2"/>
  <c r="X163" i="2"/>
  <c r="X178" i="2"/>
  <c r="X238" i="2"/>
  <c r="X245" i="2"/>
  <c r="X254" i="2"/>
  <c r="X259" i="2"/>
  <c r="X295" i="2"/>
  <c r="X360" i="2"/>
  <c r="X380" i="2"/>
  <c r="X25" i="2"/>
  <c r="X61" i="2"/>
  <c r="X144" i="2"/>
  <c r="X159" i="2"/>
  <c r="X193" i="2"/>
  <c r="X226" i="2"/>
  <c r="X233" i="2"/>
  <c r="X31" i="2"/>
  <c r="X106" i="2"/>
  <c r="X184" i="2"/>
  <c r="X219" i="2"/>
  <c r="X288" i="2"/>
  <c r="X289" i="2"/>
  <c r="X361" i="2"/>
  <c r="X36" i="2"/>
  <c r="X42" i="2"/>
  <c r="X136" i="2"/>
  <c r="X172" i="2"/>
  <c r="X222" i="2"/>
  <c r="X230" i="2"/>
  <c r="X292" i="2"/>
  <c r="X78" i="2"/>
  <c r="X89" i="2"/>
  <c r="X108" i="2"/>
  <c r="X171" i="2"/>
  <c r="X227" i="2"/>
  <c r="X293" i="2"/>
  <c r="X354" i="2"/>
  <c r="X83" i="2"/>
  <c r="X142" i="2"/>
  <c r="X147" i="2"/>
  <c r="X256" i="2"/>
  <c r="X267" i="2"/>
  <c r="X270" i="2"/>
  <c r="X274" i="2"/>
  <c r="X10" i="2"/>
  <c r="X20" i="2"/>
  <c r="X46" i="2"/>
  <c r="X131" i="2"/>
  <c r="X191" i="2"/>
  <c r="X208" i="2"/>
  <c r="X264" i="2"/>
  <c r="X64" i="2"/>
  <c r="X236" i="2"/>
  <c r="X294" i="2"/>
  <c r="X343" i="2"/>
  <c r="X363" i="2"/>
  <c r="X194" i="2"/>
  <c r="X272" i="2"/>
  <c r="X296" i="2"/>
  <c r="X325" i="2"/>
  <c r="X364" i="2"/>
  <c r="X53" i="2"/>
  <c r="X111" i="2"/>
  <c r="X183" i="2"/>
  <c r="X210" i="2"/>
  <c r="X297" i="2"/>
  <c r="X306" i="2"/>
  <c r="X307" i="2"/>
  <c r="X323" i="2"/>
  <c r="X13" i="2"/>
  <c r="X127" i="2"/>
  <c r="X165" i="2"/>
  <c r="X198" i="2"/>
  <c r="X304" i="2"/>
  <c r="X315" i="2"/>
  <c r="X351" i="2"/>
  <c r="X116" i="2"/>
  <c r="X119" i="2"/>
  <c r="X138" i="2"/>
  <c r="X203" i="2"/>
  <c r="X251" i="2"/>
  <c r="X263" i="2"/>
  <c r="X302" i="2"/>
  <c r="X317" i="2"/>
  <c r="X324" i="2"/>
  <c r="X352" i="2"/>
  <c r="X372" i="2"/>
  <c r="X225" i="2"/>
  <c r="X232" i="2"/>
  <c r="X262" i="2"/>
  <c r="X313" i="2"/>
  <c r="X349" i="2"/>
  <c r="X4" i="2"/>
  <c r="X9" i="2"/>
  <c r="X68" i="2"/>
  <c r="X84" i="2"/>
  <c r="X160" i="2"/>
  <c r="X199" i="2"/>
  <c r="X376" i="2"/>
  <c r="X44" i="2"/>
  <c r="X189" i="2"/>
  <c r="X250" i="2"/>
  <c r="X375" i="2"/>
  <c r="X378" i="2"/>
  <c r="X381" i="2"/>
  <c r="X30" i="2"/>
  <c r="X48" i="2"/>
  <c r="X190" i="2"/>
  <c r="X234" i="2"/>
  <c r="X257" i="2"/>
  <c r="X268" i="2"/>
  <c r="X310" i="2"/>
  <c r="X322" i="2"/>
  <c r="X339" i="2"/>
  <c r="X367" i="2"/>
  <c r="X176" i="2"/>
  <c r="X185" i="2"/>
  <c r="X305" i="2"/>
  <c r="X273" i="2"/>
  <c r="X371" i="2"/>
  <c r="X16" i="2"/>
  <c r="X93" i="2"/>
  <c r="X261" i="2"/>
  <c r="X276" i="2"/>
  <c r="X130" i="2"/>
  <c r="X209" i="2"/>
  <c r="X224" i="2"/>
  <c r="X298" i="2"/>
  <c r="X316" i="2"/>
  <c r="X24" i="2"/>
  <c r="X82" i="2"/>
  <c r="X95" i="2"/>
  <c r="X269" i="2"/>
  <c r="X281" i="2"/>
  <c r="X345" i="2"/>
  <c r="X374" i="2"/>
  <c r="X34" i="2"/>
  <c r="X50" i="2"/>
  <c r="X175" i="2"/>
  <c r="X179" i="2"/>
  <c r="X344" i="2"/>
  <c r="X166" i="2"/>
  <c r="X139" i="2"/>
  <c r="X76" i="2"/>
  <c r="X90" i="2"/>
  <c r="X126" i="2"/>
  <c r="X377" i="2"/>
  <c r="X60" i="2"/>
  <c r="X237" i="2"/>
  <c r="X57" i="2"/>
  <c r="X320" i="2"/>
  <c r="X206" i="2"/>
  <c r="X39" i="2"/>
  <c r="X342" i="2"/>
  <c r="X55" i="2"/>
  <c r="X253" i="2"/>
  <c r="X49" i="2"/>
  <c r="X28" i="2"/>
  <c r="X336" i="2"/>
  <c r="X204" i="2"/>
  <c r="X212" i="2"/>
  <c r="X244" i="2"/>
  <c r="X195" i="2"/>
  <c r="X74" i="2"/>
  <c r="X96" i="2"/>
  <c r="X99" i="2"/>
  <c r="X107" i="2"/>
  <c r="X109" i="2"/>
  <c r="X115" i="2"/>
  <c r="X122" i="2"/>
  <c r="X125" i="2"/>
  <c r="X157" i="2"/>
  <c r="X164" i="2"/>
  <c r="X201" i="2"/>
  <c r="X205" i="2"/>
  <c r="X213" i="2"/>
  <c r="X235" i="2"/>
  <c r="X239" i="2"/>
  <c r="X271" i="2"/>
  <c r="X278" i="2"/>
  <c r="X282" i="2"/>
  <c r="X291" i="2"/>
  <c r="X309" i="2"/>
  <c r="X2" i="2"/>
  <c r="X3" i="2"/>
  <c r="X8" i="2"/>
  <c r="X72" i="2"/>
  <c r="X252" i="2"/>
  <c r="X359" i="2"/>
  <c r="X362" i="2"/>
  <c r="X7" i="2"/>
  <c r="X97" i="2"/>
  <c r="X220" i="2"/>
  <c r="X103" i="2"/>
  <c r="X132" i="2"/>
  <c r="Z228" i="2"/>
  <c r="Z73" i="2"/>
  <c r="Z14" i="2"/>
  <c r="Z15" i="2"/>
  <c r="Z23" i="2"/>
  <c r="Z37" i="2"/>
  <c r="Z43" i="2"/>
  <c r="Z52" i="2"/>
  <c r="Z85" i="2"/>
  <c r="Z98" i="2"/>
  <c r="Z117" i="2"/>
  <c r="Z137" i="2"/>
  <c r="Z140" i="2"/>
  <c r="Z143" i="2"/>
  <c r="AC143" i="2" s="1"/>
  <c r="Z145" i="2"/>
  <c r="Z148" i="2"/>
  <c r="Z153" i="2"/>
  <c r="Z158" i="2"/>
  <c r="Z161" i="2"/>
  <c r="Z169" i="2"/>
  <c r="Z170" i="2"/>
  <c r="Z174" i="2"/>
  <c r="AC174" i="2" s="1"/>
  <c r="Z177" i="2"/>
  <c r="Z182" i="2"/>
  <c r="Z196" i="2"/>
  <c r="Z211" i="2"/>
  <c r="Z248" i="2"/>
  <c r="Z255" i="2"/>
  <c r="Z301" i="2"/>
  <c r="Z318" i="2"/>
  <c r="AC318" i="2" s="1"/>
  <c r="Z338" i="2"/>
  <c r="Z346" i="2"/>
  <c r="Z347" i="2"/>
  <c r="Z365" i="2"/>
  <c r="Z150" i="2"/>
  <c r="Z200" i="2"/>
  <c r="Z249" i="2"/>
  <c r="Z311" i="2"/>
  <c r="AC311" i="2" s="1"/>
  <c r="Z87" i="2"/>
  <c r="Z141" i="2"/>
  <c r="Z348" i="2"/>
  <c r="Z26" i="2"/>
  <c r="Z27" i="2"/>
  <c r="Z173" i="2"/>
  <c r="Z110" i="2"/>
  <c r="Z217" i="2"/>
  <c r="AC217" i="2" s="1"/>
  <c r="Z221" i="2"/>
  <c r="Z382" i="2"/>
  <c r="Z91" i="2"/>
  <c r="Z180" i="2"/>
  <c r="Z266" i="2"/>
  <c r="Z231" i="2"/>
  <c r="Z154" i="2"/>
  <c r="Z327" i="2"/>
  <c r="AC327" i="2" s="1"/>
  <c r="Z312" i="2"/>
  <c r="Z21" i="2"/>
  <c r="Z41" i="2"/>
  <c r="Z223" i="2"/>
  <c r="Z286" i="2"/>
  <c r="Z241" i="2"/>
  <c r="Z335" i="2"/>
  <c r="Z32" i="2"/>
  <c r="AC32" i="2" s="1"/>
  <c r="Z242" i="2"/>
  <c r="Z321" i="2"/>
  <c r="Z240" i="2"/>
  <c r="Z186" i="2"/>
  <c r="Z300" i="2"/>
  <c r="Z333" i="2"/>
  <c r="Z192" i="2"/>
  <c r="Z33" i="2"/>
  <c r="AC33" i="2" s="1"/>
  <c r="Z356" i="2"/>
  <c r="Z247" i="2"/>
  <c r="Z280" i="2"/>
  <c r="Z370" i="2"/>
  <c r="Z373" i="2"/>
  <c r="Z202" i="2"/>
  <c r="Z40" i="2"/>
  <c r="Z243" i="2"/>
  <c r="AC243" i="2" s="1"/>
  <c r="Z299" i="2"/>
  <c r="Z167" i="2"/>
  <c r="Z81" i="2"/>
  <c r="Z229" i="2"/>
  <c r="Z65" i="2"/>
  <c r="Z66" i="2"/>
  <c r="Z279" i="2"/>
  <c r="Z79" i="2"/>
  <c r="AC79" i="2" s="1"/>
  <c r="Z168" i="2"/>
  <c r="Z368" i="2"/>
  <c r="Z22" i="2"/>
  <c r="Z59" i="2"/>
  <c r="Z12" i="2"/>
  <c r="Z69" i="2"/>
  <c r="Z283" i="2"/>
  <c r="Z379" i="2"/>
  <c r="AC379" i="2" s="1"/>
  <c r="Z51" i="2"/>
  <c r="Z100" i="2"/>
  <c r="Z124" i="2"/>
  <c r="Z162" i="2"/>
  <c r="Z284" i="2"/>
  <c r="Z5" i="2"/>
  <c r="Z17" i="2"/>
  <c r="Z56" i="2"/>
  <c r="AC56" i="2" s="1"/>
  <c r="Z77" i="2"/>
  <c r="Z114" i="2"/>
  <c r="Z290" i="2"/>
  <c r="Z6" i="2"/>
  <c r="Z29" i="2"/>
  <c r="Z67" i="2"/>
  <c r="Z92" i="2"/>
  <c r="Z120" i="2"/>
  <c r="AC120" i="2" s="1"/>
  <c r="Z156" i="2"/>
  <c r="Z216" i="2"/>
  <c r="Z285" i="2"/>
  <c r="Z101" i="2"/>
  <c r="Z121" i="2"/>
  <c r="Z197" i="2"/>
  <c r="Z214" i="2"/>
  <c r="Z287" i="2"/>
  <c r="AC287" i="2" s="1"/>
  <c r="Z326" i="2"/>
  <c r="Z337" i="2"/>
  <c r="Z357" i="2"/>
  <c r="Z71" i="2"/>
  <c r="Z102" i="2"/>
  <c r="Z215" i="2"/>
  <c r="Z246" i="2"/>
  <c r="Z358" i="2"/>
  <c r="AC358" i="2" s="1"/>
  <c r="Z366" i="2"/>
  <c r="Z112" i="2"/>
  <c r="Z151" i="2"/>
  <c r="Z181" i="2"/>
  <c r="Z260" i="2"/>
  <c r="Z353" i="2"/>
  <c r="Z18" i="2"/>
  <c r="Z35" i="2"/>
  <c r="AC35" i="2" s="1"/>
  <c r="Z38" i="2"/>
  <c r="Z58" i="2"/>
  <c r="Z62" i="2"/>
  <c r="Z75" i="2"/>
  <c r="Z118" i="2"/>
  <c r="Z146" i="2"/>
  <c r="Z188" i="2"/>
  <c r="Z258" i="2"/>
  <c r="AC258" i="2" s="1"/>
  <c r="Z328" i="2"/>
  <c r="Z341" i="2"/>
  <c r="Z63" i="2"/>
  <c r="Z80" i="2"/>
  <c r="Z128" i="2"/>
  <c r="Z133" i="2"/>
  <c r="Z314" i="2"/>
  <c r="Z330" i="2"/>
  <c r="AC330" i="2" s="1"/>
  <c r="Z19" i="2"/>
  <c r="Z104" i="2"/>
  <c r="Z113" i="2"/>
  <c r="Z123" i="2"/>
  <c r="Z134" i="2"/>
  <c r="Z149" i="2"/>
  <c r="Z152" i="2"/>
  <c r="Z207" i="2"/>
  <c r="AC207" i="2" s="1"/>
  <c r="Z265" i="2"/>
  <c r="Z329" i="2"/>
  <c r="Z369" i="2"/>
  <c r="Z45" i="2"/>
  <c r="Z86" i="2"/>
  <c r="Z105" i="2"/>
  <c r="Z155" i="2"/>
  <c r="Z218" i="2"/>
  <c r="AC218" i="2" s="1"/>
  <c r="Z303" i="2"/>
  <c r="Z308" i="2"/>
  <c r="Z332" i="2"/>
  <c r="Z350" i="2"/>
  <c r="Z355" i="2"/>
  <c r="Z11" i="2"/>
  <c r="Z54" i="2"/>
  <c r="Z88" i="2"/>
  <c r="AC88" i="2" s="1"/>
  <c r="Z94" i="2"/>
  <c r="Z135" i="2"/>
  <c r="Z187" i="2"/>
  <c r="Z275" i="2"/>
  <c r="Z277" i="2"/>
  <c r="Z319" i="2"/>
  <c r="Z331" i="2"/>
  <c r="Z334" i="2"/>
  <c r="AC334" i="2" s="1"/>
  <c r="Z340" i="2"/>
  <c r="Z47" i="2"/>
  <c r="Z70" i="2"/>
  <c r="Z129" i="2"/>
  <c r="Z163" i="2"/>
  <c r="Z178" i="2"/>
  <c r="Z238" i="2"/>
  <c r="Z245" i="2"/>
  <c r="AC245" i="2" s="1"/>
  <c r="Z254" i="2"/>
  <c r="Z259" i="2"/>
  <c r="Z295" i="2"/>
  <c r="Z360" i="2"/>
  <c r="Z380" i="2"/>
  <c r="Z25" i="2"/>
  <c r="Z61" i="2"/>
  <c r="Z144" i="2"/>
  <c r="AC144" i="2" s="1"/>
  <c r="Z159" i="2"/>
  <c r="Z193" i="2"/>
  <c r="Z226" i="2"/>
  <c r="Z233" i="2"/>
  <c r="Z31" i="2"/>
  <c r="Z106" i="2"/>
  <c r="Z184" i="2"/>
  <c r="Z219" i="2"/>
  <c r="AC219" i="2" s="1"/>
  <c r="Z288" i="2"/>
  <c r="Z289" i="2"/>
  <c r="Z361" i="2"/>
  <c r="Z36" i="2"/>
  <c r="Z42" i="2"/>
  <c r="Z136" i="2"/>
  <c r="Z172" i="2"/>
  <c r="Z222" i="2"/>
  <c r="AC222" i="2" s="1"/>
  <c r="Z230" i="2"/>
  <c r="Z292" i="2"/>
  <c r="Z78" i="2"/>
  <c r="Z89" i="2"/>
  <c r="Z108" i="2"/>
  <c r="Z171" i="2"/>
  <c r="Z227" i="2"/>
  <c r="Z293" i="2"/>
  <c r="AC293" i="2" s="1"/>
  <c r="Z354" i="2"/>
  <c r="Z83" i="2"/>
  <c r="Z142" i="2"/>
  <c r="Z147" i="2"/>
  <c r="Z256" i="2"/>
  <c r="Z267" i="2"/>
  <c r="Z270" i="2"/>
  <c r="Z274" i="2"/>
  <c r="AC274" i="2" s="1"/>
  <c r="Z10" i="2"/>
  <c r="Z20" i="2"/>
  <c r="Z46" i="2"/>
  <c r="Z131" i="2"/>
  <c r="Z191" i="2"/>
  <c r="Z208" i="2"/>
  <c r="Z264" i="2"/>
  <c r="Z64" i="2"/>
  <c r="AC64" i="2" s="1"/>
  <c r="Z236" i="2"/>
  <c r="Z294" i="2"/>
  <c r="Z343" i="2"/>
  <c r="Z363" i="2"/>
  <c r="Z194" i="2"/>
  <c r="Z272" i="2"/>
  <c r="Z296" i="2"/>
  <c r="Z325" i="2"/>
  <c r="AC325" i="2" s="1"/>
  <c r="Z364" i="2"/>
  <c r="Z53" i="2"/>
  <c r="Z111" i="2"/>
  <c r="Z183" i="2"/>
  <c r="Z210" i="2"/>
  <c r="Z297" i="2"/>
  <c r="Z306" i="2"/>
  <c r="Z307" i="2"/>
  <c r="AC307" i="2" s="1"/>
  <c r="Z323" i="2"/>
  <c r="Z13" i="2"/>
  <c r="Z127" i="2"/>
  <c r="Z165" i="2"/>
  <c r="Z198" i="2"/>
  <c r="Z304" i="2"/>
  <c r="Z315" i="2"/>
  <c r="Z351" i="2"/>
  <c r="AC351" i="2" s="1"/>
  <c r="Z116" i="2"/>
  <c r="Z119" i="2"/>
  <c r="Z138" i="2"/>
  <c r="Z203" i="2"/>
  <c r="Z251" i="2"/>
  <c r="Z263" i="2"/>
  <c r="Z302" i="2"/>
  <c r="Z317" i="2"/>
  <c r="AC317" i="2" s="1"/>
  <c r="Z324" i="2"/>
  <c r="Z352" i="2"/>
  <c r="Z372" i="2"/>
  <c r="Z225" i="2"/>
  <c r="Z232" i="2"/>
  <c r="Z262" i="2"/>
  <c r="Z313" i="2"/>
  <c r="Z349" i="2"/>
  <c r="AC349" i="2" s="1"/>
  <c r="Z4" i="2"/>
  <c r="Z9" i="2"/>
  <c r="Z68" i="2"/>
  <c r="Z84" i="2"/>
  <c r="Z160" i="2"/>
  <c r="Z199" i="2"/>
  <c r="Z376" i="2"/>
  <c r="Z44" i="2"/>
  <c r="AC44" i="2" s="1"/>
  <c r="Z189" i="2"/>
  <c r="Z250" i="2"/>
  <c r="Z375" i="2"/>
  <c r="Z378" i="2"/>
  <c r="Z381" i="2"/>
  <c r="Z30" i="2"/>
  <c r="Z48" i="2"/>
  <c r="Z190" i="2"/>
  <c r="AC190" i="2" s="1"/>
  <c r="Z234" i="2"/>
  <c r="Z257" i="2"/>
  <c r="Z268" i="2"/>
  <c r="Z310" i="2"/>
  <c r="Z322" i="2"/>
  <c r="Z339" i="2"/>
  <c r="Z367" i="2"/>
  <c r="Z176" i="2"/>
  <c r="AC176" i="2" s="1"/>
  <c r="Z185" i="2"/>
  <c r="Z305" i="2"/>
  <c r="Z273" i="2"/>
  <c r="Z371" i="2"/>
  <c r="Z16" i="2"/>
  <c r="Z93" i="2"/>
  <c r="Z261" i="2"/>
  <c r="Z276" i="2"/>
  <c r="AC276" i="2" s="1"/>
  <c r="Z130" i="2"/>
  <c r="Z209" i="2"/>
  <c r="Z224" i="2"/>
  <c r="Z298" i="2"/>
  <c r="Z316" i="2"/>
  <c r="Z24" i="2"/>
  <c r="Z82" i="2"/>
  <c r="Z95" i="2"/>
  <c r="AC95" i="2" s="1"/>
  <c r="Z269" i="2"/>
  <c r="Z281" i="2"/>
  <c r="Z345" i="2"/>
  <c r="Z374" i="2"/>
  <c r="Z34" i="2"/>
  <c r="Z50" i="2"/>
  <c r="Z175" i="2"/>
  <c r="Z179" i="2"/>
  <c r="AC179" i="2" s="1"/>
  <c r="Z344" i="2"/>
  <c r="Z166" i="2"/>
  <c r="Z139" i="2"/>
  <c r="Z76" i="2"/>
  <c r="Z90" i="2"/>
  <c r="Z126" i="2"/>
  <c r="Z377" i="2"/>
  <c r="Z60" i="2"/>
  <c r="AC60" i="2" s="1"/>
  <c r="Z237" i="2"/>
  <c r="Z57" i="2"/>
  <c r="Z320" i="2"/>
  <c r="Z206" i="2"/>
  <c r="Z39" i="2"/>
  <c r="Z342" i="2"/>
  <c r="Z55" i="2"/>
  <c r="Z253" i="2"/>
  <c r="AC253" i="2" s="1"/>
  <c r="Z49" i="2"/>
  <c r="Z28" i="2"/>
  <c r="Z336" i="2"/>
  <c r="Z204" i="2"/>
  <c r="Z212" i="2"/>
  <c r="Z244" i="2"/>
  <c r="Z195" i="2"/>
  <c r="Z74" i="2"/>
  <c r="AC74" i="2" s="1"/>
  <c r="Z96" i="2"/>
  <c r="Z99" i="2"/>
  <c r="Z107" i="2"/>
  <c r="Z109" i="2"/>
  <c r="Z115" i="2"/>
  <c r="Z122" i="2"/>
  <c r="Z125" i="2"/>
  <c r="Z157" i="2"/>
  <c r="AC157" i="2" s="1"/>
  <c r="Z164" i="2"/>
  <c r="Z201" i="2"/>
  <c r="Z205" i="2"/>
  <c r="Z213" i="2"/>
  <c r="Z235" i="2"/>
  <c r="Z239" i="2"/>
  <c r="Z271" i="2"/>
  <c r="Z278" i="2"/>
  <c r="AC278" i="2" s="1"/>
  <c r="Z282" i="2"/>
  <c r="Z291" i="2"/>
  <c r="Z309" i="2"/>
  <c r="Z2" i="2"/>
  <c r="Z3" i="2"/>
  <c r="Z8" i="2"/>
  <c r="Z72" i="2"/>
  <c r="Z252" i="2"/>
  <c r="AC252" i="2" s="1"/>
  <c r="Z359" i="2"/>
  <c r="Z362" i="2"/>
  <c r="Z7" i="2"/>
  <c r="Z97" i="2"/>
  <c r="Z220" i="2"/>
  <c r="Z103" i="2"/>
  <c r="Z132" i="2"/>
  <c r="AC37" i="2" l="1"/>
  <c r="AC43" i="2"/>
  <c r="AC145" i="2"/>
  <c r="AC177" i="2"/>
  <c r="AC338" i="2"/>
  <c r="AC87" i="2"/>
  <c r="AC221" i="2"/>
  <c r="AC312" i="2"/>
  <c r="AC242" i="2"/>
  <c r="AC356" i="2"/>
  <c r="AC299" i="2"/>
  <c r="AC168" i="2"/>
  <c r="AC51" i="2"/>
  <c r="AC77" i="2"/>
  <c r="AC156" i="2"/>
  <c r="AC326" i="2"/>
  <c r="AC366" i="2"/>
  <c r="AC38" i="2"/>
  <c r="AC328" i="2"/>
  <c r="AC19" i="2"/>
  <c r="AC265" i="2"/>
  <c r="AC303" i="2"/>
  <c r="AC94" i="2"/>
  <c r="AC340" i="2"/>
  <c r="AC254" i="2"/>
  <c r="AC159" i="2"/>
  <c r="AC288" i="2"/>
  <c r="AC230" i="2"/>
  <c r="AC354" i="2"/>
  <c r="AC10" i="2"/>
  <c r="AC236" i="2"/>
  <c r="AC364" i="2"/>
  <c r="AC323" i="2"/>
  <c r="AC116" i="2"/>
  <c r="AC324" i="2"/>
  <c r="AC4" i="2"/>
  <c r="AC189" i="2"/>
  <c r="AC234" i="2"/>
  <c r="AC185" i="2"/>
  <c r="AC130" i="2"/>
  <c r="AC269" i="2"/>
  <c r="AC344" i="2"/>
  <c r="AC237" i="2"/>
  <c r="AC49" i="2"/>
  <c r="AC96" i="2"/>
  <c r="AC164" i="2"/>
  <c r="AC282" i="2"/>
  <c r="AC359" i="2"/>
  <c r="AC52" i="2"/>
  <c r="AC148" i="2"/>
  <c r="AC182" i="2"/>
  <c r="AC346" i="2"/>
  <c r="AC141" i="2"/>
  <c r="AC382" i="2"/>
  <c r="AC21" i="2"/>
  <c r="AC321" i="2"/>
  <c r="AC247" i="2"/>
  <c r="AC167" i="2"/>
  <c r="AC368" i="2"/>
  <c r="AC100" i="2"/>
  <c r="AC114" i="2"/>
  <c r="AC216" i="2"/>
  <c r="AC337" i="2"/>
  <c r="AC112" i="2"/>
  <c r="AC58" i="2"/>
  <c r="AC341" i="2"/>
  <c r="AC104" i="2"/>
  <c r="AC329" i="2"/>
  <c r="AC308" i="2"/>
  <c r="AC135" i="2"/>
  <c r="AC47" i="2"/>
  <c r="AC259" i="2"/>
  <c r="AC193" i="2"/>
  <c r="AC289" i="2"/>
  <c r="AC292" i="2"/>
  <c r="AC83" i="2"/>
  <c r="AC20" i="2"/>
  <c r="AC294" i="2"/>
  <c r="AC53" i="2"/>
  <c r="AC13" i="2"/>
  <c r="AC119" i="2"/>
  <c r="AC352" i="2"/>
  <c r="AC9" i="2"/>
  <c r="AC250" i="2"/>
  <c r="AC257" i="2"/>
  <c r="AC305" i="2"/>
  <c r="AC209" i="2"/>
  <c r="AC281" i="2"/>
  <c r="AC166" i="2"/>
  <c r="AC57" i="2"/>
  <c r="AC28" i="2"/>
  <c r="AC99" i="2"/>
  <c r="AC201" i="2"/>
  <c r="AC291" i="2"/>
  <c r="AC362" i="2"/>
  <c r="AC85" i="2"/>
  <c r="AC153" i="2"/>
  <c r="AC196" i="2"/>
  <c r="AC347" i="2"/>
  <c r="AC348" i="2"/>
  <c r="AC91" i="2"/>
  <c r="AC41" i="2"/>
  <c r="AC240" i="2"/>
  <c r="AC280" i="2"/>
  <c r="AC81" i="2"/>
  <c r="AC22" i="2"/>
  <c r="AC124" i="2"/>
  <c r="AC290" i="2"/>
  <c r="AC285" i="2"/>
  <c r="AC357" i="2"/>
  <c r="AC151" i="2"/>
  <c r="AC62" i="2"/>
  <c r="AC63" i="2"/>
  <c r="AC113" i="2"/>
  <c r="AC369" i="2"/>
  <c r="AC332" i="2"/>
  <c r="AC187" i="2"/>
  <c r="AC70" i="2"/>
  <c r="AC295" i="2"/>
  <c r="AC226" i="2"/>
  <c r="AC361" i="2"/>
  <c r="AC78" i="2"/>
  <c r="AC142" i="2"/>
  <c r="AC46" i="2"/>
  <c r="AC343" i="2"/>
  <c r="AC111" i="2"/>
  <c r="AC127" i="2"/>
  <c r="AC138" i="2"/>
  <c r="AC372" i="2"/>
  <c r="AC68" i="2"/>
  <c r="AC375" i="2"/>
  <c r="AC268" i="2"/>
  <c r="AC273" i="2"/>
  <c r="AC224" i="2"/>
  <c r="AC345" i="2"/>
  <c r="AC139" i="2"/>
  <c r="AC320" i="2"/>
  <c r="AC336" i="2"/>
  <c r="AC107" i="2"/>
  <c r="AC205" i="2"/>
  <c r="AC309" i="2"/>
  <c r="AC7" i="2"/>
  <c r="AC73" i="2"/>
  <c r="AC98" i="2"/>
  <c r="AC158" i="2"/>
  <c r="AC211" i="2"/>
  <c r="AC365" i="2"/>
  <c r="AC26" i="2"/>
  <c r="AC180" i="2"/>
  <c r="AC223" i="2"/>
  <c r="AC186" i="2"/>
  <c r="AC370" i="2"/>
  <c r="AC229" i="2"/>
  <c r="AC59" i="2"/>
  <c r="AC162" i="2"/>
  <c r="AC6" i="2"/>
  <c r="AC101" i="2"/>
  <c r="AC71" i="2"/>
  <c r="AC181" i="2"/>
  <c r="AC75" i="2"/>
  <c r="AC80" i="2"/>
  <c r="AC123" i="2"/>
  <c r="AC45" i="2"/>
  <c r="AC350" i="2"/>
  <c r="AC275" i="2"/>
  <c r="AC129" i="2"/>
  <c r="AC360" i="2"/>
  <c r="AC233" i="2"/>
  <c r="AC36" i="2"/>
  <c r="AC89" i="2"/>
  <c r="AC147" i="2"/>
  <c r="AC131" i="2"/>
  <c r="AC363" i="2"/>
  <c r="AC183" i="2"/>
  <c r="AC165" i="2"/>
  <c r="AC203" i="2"/>
  <c r="AC225" i="2"/>
  <c r="AC84" i="2"/>
  <c r="AC378" i="2"/>
  <c r="AC310" i="2"/>
  <c r="AC371" i="2"/>
  <c r="AC298" i="2"/>
  <c r="AC374" i="2"/>
  <c r="AC76" i="2"/>
  <c r="AC206" i="2"/>
  <c r="AC204" i="2"/>
  <c r="AC109" i="2"/>
  <c r="AC213" i="2"/>
  <c r="AC2" i="2"/>
  <c r="AC97" i="2"/>
  <c r="AC14" i="2"/>
  <c r="AC117" i="2"/>
  <c r="AC161" i="2"/>
  <c r="AC248" i="2"/>
  <c r="AC150" i="2"/>
  <c r="AC27" i="2"/>
  <c r="AC266" i="2"/>
  <c r="AC286" i="2"/>
  <c r="AC300" i="2"/>
  <c r="AC373" i="2"/>
  <c r="AC65" i="2"/>
  <c r="AC12" i="2"/>
  <c r="AC284" i="2"/>
  <c r="AC29" i="2"/>
  <c r="AC121" i="2"/>
  <c r="AC102" i="2"/>
  <c r="AC260" i="2"/>
  <c r="AC118" i="2"/>
  <c r="AC128" i="2"/>
  <c r="AC134" i="2"/>
  <c r="AC86" i="2"/>
  <c r="AC355" i="2"/>
  <c r="AC277" i="2"/>
  <c r="AC163" i="2"/>
  <c r="AC380" i="2"/>
  <c r="AC31" i="2"/>
  <c r="AC42" i="2"/>
  <c r="AC108" i="2"/>
  <c r="AC256" i="2"/>
  <c r="AC191" i="2"/>
  <c r="AC194" i="2"/>
  <c r="AC210" i="2"/>
  <c r="AC198" i="2"/>
  <c r="AC251" i="2"/>
  <c r="AC232" i="2"/>
  <c r="AC160" i="2"/>
  <c r="AC381" i="2"/>
  <c r="AC322" i="2"/>
  <c r="AC16" i="2"/>
  <c r="AC316" i="2"/>
  <c r="AC34" i="2"/>
  <c r="AC90" i="2"/>
  <c r="AC39" i="2"/>
  <c r="AC212" i="2"/>
  <c r="AC115" i="2"/>
  <c r="AC235" i="2"/>
  <c r="AC3" i="2"/>
  <c r="AC220" i="2"/>
  <c r="AC15" i="2"/>
  <c r="AC137" i="2"/>
  <c r="AC169" i="2"/>
  <c r="AC255" i="2"/>
  <c r="AC200" i="2"/>
  <c r="AC173" i="2"/>
  <c r="AC231" i="2"/>
  <c r="AC241" i="2"/>
  <c r="AC333" i="2"/>
  <c r="AC202" i="2"/>
  <c r="AC66" i="2"/>
  <c r="AC69" i="2"/>
  <c r="AC5" i="2"/>
  <c r="AC67" i="2"/>
  <c r="AC197" i="2"/>
  <c r="AC215" i="2"/>
  <c r="AC353" i="2"/>
  <c r="AC146" i="2"/>
  <c r="AC133" i="2"/>
  <c r="AC149" i="2"/>
  <c r="AC105" i="2"/>
  <c r="AC11" i="2"/>
  <c r="AC319" i="2"/>
  <c r="AC178" i="2"/>
  <c r="AC25" i="2"/>
  <c r="AC106" i="2"/>
  <c r="AC136" i="2"/>
  <c r="AC171" i="2"/>
  <c r="AC267" i="2"/>
  <c r="AC208" i="2"/>
  <c r="AC272" i="2"/>
  <c r="AC297" i="2"/>
  <c r="AC304" i="2"/>
  <c r="AC263" i="2"/>
  <c r="AC262" i="2"/>
  <c r="AC199" i="2"/>
  <c r="AC30" i="2"/>
  <c r="AC339" i="2"/>
  <c r="AC93" i="2"/>
  <c r="AC24" i="2"/>
  <c r="AC50" i="2"/>
  <c r="AC126" i="2"/>
  <c r="AC342" i="2"/>
  <c r="AC244" i="2"/>
  <c r="AC122" i="2"/>
  <c r="AC239" i="2"/>
  <c r="AC8" i="2"/>
  <c r="AC103" i="2"/>
  <c r="AC23" i="2"/>
  <c r="AC140" i="2"/>
  <c r="AC170" i="2"/>
  <c r="AC301" i="2"/>
  <c r="AC249" i="2"/>
  <c r="AC110" i="2"/>
  <c r="AC154" i="2"/>
  <c r="AC335" i="2"/>
  <c r="AC192" i="2"/>
  <c r="AC40" i="2"/>
  <c r="AC279" i="2"/>
  <c r="AC283" i="2"/>
  <c r="AC17" i="2"/>
  <c r="AC92" i="2"/>
  <c r="AC214" i="2"/>
  <c r="AC246" i="2"/>
  <c r="AC18" i="2"/>
  <c r="AC188" i="2"/>
  <c r="AC314" i="2"/>
  <c r="AC152" i="2"/>
  <c r="AC155" i="2"/>
  <c r="AC54" i="2"/>
  <c r="AC331" i="2"/>
  <c r="AC238" i="2"/>
  <c r="AC61" i="2"/>
  <c r="AC184" i="2"/>
  <c r="AC172" i="2"/>
  <c r="AC227" i="2"/>
  <c r="AC270" i="2"/>
  <c r="AC264" i="2"/>
  <c r="AC296" i="2"/>
  <c r="AC306" i="2"/>
  <c r="AC315" i="2"/>
  <c r="AC302" i="2"/>
  <c r="AC313" i="2"/>
  <c r="AC376" i="2"/>
  <c r="AC48" i="2"/>
  <c r="AC367" i="2"/>
  <c r="AC261" i="2"/>
  <c r="AC82" i="2"/>
  <c r="AC175" i="2"/>
  <c r="AC377" i="2"/>
  <c r="AC55" i="2"/>
  <c r="AC195" i="2"/>
  <c r="AC125" i="2"/>
  <c r="AC271" i="2"/>
  <c r="AC72" i="2"/>
  <c r="AC132" i="2"/>
  <c r="AC228" i="2"/>
  <c r="Y228" i="2"/>
  <c r="AB228" i="2" s="1"/>
  <c r="Y73" i="2"/>
  <c r="AB73" i="2" s="1"/>
  <c r="Y14" i="2"/>
  <c r="AB14" i="2" s="1"/>
  <c r="Y15" i="2"/>
  <c r="AB15" i="2" s="1"/>
  <c r="Y23" i="2"/>
  <c r="AB23" i="2" s="1"/>
  <c r="Y37" i="2"/>
  <c r="AB37" i="2" s="1"/>
  <c r="Y43" i="2"/>
  <c r="AB43" i="2" s="1"/>
  <c r="Y52" i="2"/>
  <c r="AB52" i="2" s="1"/>
  <c r="Y85" i="2"/>
  <c r="AB85" i="2" s="1"/>
  <c r="Y98" i="2"/>
  <c r="AB98" i="2" s="1"/>
  <c r="Y117" i="2"/>
  <c r="AB117" i="2" s="1"/>
  <c r="Y137" i="2"/>
  <c r="AB137" i="2" s="1"/>
  <c r="Y140" i="2"/>
  <c r="AB140" i="2" s="1"/>
  <c r="Y143" i="2"/>
  <c r="AB143" i="2" s="1"/>
  <c r="Y145" i="2"/>
  <c r="AB145" i="2" s="1"/>
  <c r="Y148" i="2"/>
  <c r="AB148" i="2" s="1"/>
  <c r="Y153" i="2"/>
  <c r="AB153" i="2" s="1"/>
  <c r="Y158" i="2"/>
  <c r="AB158" i="2" s="1"/>
  <c r="Y161" i="2"/>
  <c r="AB161" i="2" s="1"/>
  <c r="Y169" i="2"/>
  <c r="AB169" i="2" s="1"/>
  <c r="Y170" i="2"/>
  <c r="AB170" i="2" s="1"/>
  <c r="Y174" i="2"/>
  <c r="AB174" i="2" s="1"/>
  <c r="Y177" i="2"/>
  <c r="AB177" i="2" s="1"/>
  <c r="Y182" i="2"/>
  <c r="AB182" i="2" s="1"/>
  <c r="Y196" i="2"/>
  <c r="AB196" i="2" s="1"/>
  <c r="Y211" i="2"/>
  <c r="AB211" i="2" s="1"/>
  <c r="Y248" i="2"/>
  <c r="AB248" i="2" s="1"/>
  <c r="Y255" i="2"/>
  <c r="AB255" i="2" s="1"/>
  <c r="Y301" i="2"/>
  <c r="AB301" i="2" s="1"/>
  <c r="Y318" i="2"/>
  <c r="AB318" i="2" s="1"/>
  <c r="Y338" i="2"/>
  <c r="AB338" i="2" s="1"/>
  <c r="Y346" i="2"/>
  <c r="AB346" i="2" s="1"/>
  <c r="Y347" i="2"/>
  <c r="AB347" i="2" s="1"/>
  <c r="Y365" i="2"/>
  <c r="AB365" i="2" s="1"/>
  <c r="Y150" i="2"/>
  <c r="AB150" i="2" s="1"/>
  <c r="Y200" i="2"/>
  <c r="AB200" i="2" s="1"/>
  <c r="Y249" i="2"/>
  <c r="AB249" i="2" s="1"/>
  <c r="Y311" i="2"/>
  <c r="AA311" i="2" s="1"/>
  <c r="Y87" i="2"/>
  <c r="AB87" i="2" s="1"/>
  <c r="Y141" i="2"/>
  <c r="AB141" i="2" s="1"/>
  <c r="Y348" i="2"/>
  <c r="AB348" i="2" s="1"/>
  <c r="Y26" i="2"/>
  <c r="AB26" i="2" s="1"/>
  <c r="Y27" i="2"/>
  <c r="AB27" i="2" s="1"/>
  <c r="Y173" i="2"/>
  <c r="AB173" i="2" s="1"/>
  <c r="Y110" i="2"/>
  <c r="AB110" i="2" s="1"/>
  <c r="Y217" i="2"/>
  <c r="AB217" i="2" s="1"/>
  <c r="Y221" i="2"/>
  <c r="AB221" i="2" s="1"/>
  <c r="Y382" i="2"/>
  <c r="AB382" i="2" s="1"/>
  <c r="Y91" i="2"/>
  <c r="AB91" i="2" s="1"/>
  <c r="Y180" i="2"/>
  <c r="AB180" i="2" s="1"/>
  <c r="Y266" i="2"/>
  <c r="AB266" i="2" s="1"/>
  <c r="Y231" i="2"/>
  <c r="AB231" i="2" s="1"/>
  <c r="Y154" i="2"/>
  <c r="AB154" i="2" s="1"/>
  <c r="Y327" i="2"/>
  <c r="AB327" i="2" s="1"/>
  <c r="Y312" i="2"/>
  <c r="AB312" i="2" s="1"/>
  <c r="Y21" i="2"/>
  <c r="AB21" i="2" s="1"/>
  <c r="Y41" i="2"/>
  <c r="AB41" i="2" s="1"/>
  <c r="Y223" i="2"/>
  <c r="AB223" i="2" s="1"/>
  <c r="Y286" i="2"/>
  <c r="AB286" i="2" s="1"/>
  <c r="Y241" i="2"/>
  <c r="AB241" i="2" s="1"/>
  <c r="Y335" i="2"/>
  <c r="AB335" i="2" s="1"/>
  <c r="Y32" i="2"/>
  <c r="AB32" i="2" s="1"/>
  <c r="Y242" i="2"/>
  <c r="AB242" i="2" s="1"/>
  <c r="Y321" i="2"/>
  <c r="AB321" i="2" s="1"/>
  <c r="Y240" i="2"/>
  <c r="AB240" i="2" s="1"/>
  <c r="Y186" i="2"/>
  <c r="AB186" i="2" s="1"/>
  <c r="Y300" i="2"/>
  <c r="AB300" i="2" s="1"/>
  <c r="Y333" i="2"/>
  <c r="AB333" i="2" s="1"/>
  <c r="Y192" i="2"/>
  <c r="AB192" i="2" s="1"/>
  <c r="Y33" i="2"/>
  <c r="AB33" i="2" s="1"/>
  <c r="Y356" i="2"/>
  <c r="AB356" i="2" s="1"/>
  <c r="Y247" i="2"/>
  <c r="AB247" i="2" s="1"/>
  <c r="Y280" i="2"/>
  <c r="AB280" i="2" s="1"/>
  <c r="Y370" i="2"/>
  <c r="AB370" i="2" s="1"/>
  <c r="Y373" i="2"/>
  <c r="AB373" i="2" s="1"/>
  <c r="Y202" i="2"/>
  <c r="AB202" i="2" s="1"/>
  <c r="Y40" i="2"/>
  <c r="AB40" i="2" s="1"/>
  <c r="Y243" i="2"/>
  <c r="AB243" i="2" s="1"/>
  <c r="Y299" i="2"/>
  <c r="AB299" i="2" s="1"/>
  <c r="Y167" i="2"/>
  <c r="AB167" i="2" s="1"/>
  <c r="Y81" i="2"/>
  <c r="AB81" i="2" s="1"/>
  <c r="Y229" i="2"/>
  <c r="AB229" i="2" s="1"/>
  <c r="Y65" i="2"/>
  <c r="AB65" i="2" s="1"/>
  <c r="Y66" i="2"/>
  <c r="AB66" i="2" s="1"/>
  <c r="Y279" i="2"/>
  <c r="AB279" i="2" s="1"/>
  <c r="Y79" i="2"/>
  <c r="AB79" i="2" s="1"/>
  <c r="Y168" i="2"/>
  <c r="AB168" i="2" s="1"/>
  <c r="Y368" i="2"/>
  <c r="AB368" i="2" s="1"/>
  <c r="Y22" i="2"/>
  <c r="AB22" i="2" s="1"/>
  <c r="Y59" i="2"/>
  <c r="AB59" i="2" s="1"/>
  <c r="Y12" i="2"/>
  <c r="AB12" i="2" s="1"/>
  <c r="Y69" i="2"/>
  <c r="AB69" i="2" s="1"/>
  <c r="Y283" i="2"/>
  <c r="AB283" i="2" s="1"/>
  <c r="Y379" i="2"/>
  <c r="AB379" i="2" s="1"/>
  <c r="Y51" i="2"/>
  <c r="AB51" i="2" s="1"/>
  <c r="Y100" i="2"/>
  <c r="AB100" i="2" s="1"/>
  <c r="Y124" i="2"/>
  <c r="AB124" i="2" s="1"/>
  <c r="Y162" i="2"/>
  <c r="AB162" i="2" s="1"/>
  <c r="Y284" i="2"/>
  <c r="AB284" i="2" s="1"/>
  <c r="Y5" i="2"/>
  <c r="AB5" i="2" s="1"/>
  <c r="Y17" i="2"/>
  <c r="AB17" i="2" s="1"/>
  <c r="Y56" i="2"/>
  <c r="AA56" i="2" s="1"/>
  <c r="Y77" i="2"/>
  <c r="AB77" i="2" s="1"/>
  <c r="Y114" i="2"/>
  <c r="AB114" i="2" s="1"/>
  <c r="Y290" i="2"/>
  <c r="AB290" i="2" s="1"/>
  <c r="Y6" i="2"/>
  <c r="AB6" i="2" s="1"/>
  <c r="Y29" i="2"/>
  <c r="AB29" i="2" s="1"/>
  <c r="Y67" i="2"/>
  <c r="AB67" i="2" s="1"/>
  <c r="Y92" i="2"/>
  <c r="AB92" i="2" s="1"/>
  <c r="Y120" i="2"/>
  <c r="AB120" i="2" s="1"/>
  <c r="Y156" i="2"/>
  <c r="AB156" i="2" s="1"/>
  <c r="Y216" i="2"/>
  <c r="AB216" i="2" s="1"/>
  <c r="Y285" i="2"/>
  <c r="AB285" i="2" s="1"/>
  <c r="Y101" i="2"/>
  <c r="AB101" i="2" s="1"/>
  <c r="Y121" i="2"/>
  <c r="AB121" i="2" s="1"/>
  <c r="Y197" i="2"/>
  <c r="AB197" i="2" s="1"/>
  <c r="Y214" i="2"/>
  <c r="AB214" i="2" s="1"/>
  <c r="Y287" i="2"/>
  <c r="AB287" i="2" s="1"/>
  <c r="Y326" i="2"/>
  <c r="AB326" i="2" s="1"/>
  <c r="Y337" i="2"/>
  <c r="AB337" i="2" s="1"/>
  <c r="Y357" i="2"/>
  <c r="AB357" i="2" s="1"/>
  <c r="Y71" i="2"/>
  <c r="AB71" i="2" s="1"/>
  <c r="Y102" i="2"/>
  <c r="AB102" i="2" s="1"/>
  <c r="Y215" i="2"/>
  <c r="AB215" i="2" s="1"/>
  <c r="Y246" i="2"/>
  <c r="AB246" i="2" s="1"/>
  <c r="Y358" i="2"/>
  <c r="AB358" i="2" s="1"/>
  <c r="Y366" i="2"/>
  <c r="AB366" i="2" s="1"/>
  <c r="Y112" i="2"/>
  <c r="AB112" i="2" s="1"/>
  <c r="Y151" i="2"/>
  <c r="AB151" i="2" s="1"/>
  <c r="Y181" i="2"/>
  <c r="AB181" i="2" s="1"/>
  <c r="Y260" i="2"/>
  <c r="AB260" i="2" s="1"/>
  <c r="Y353" i="2"/>
  <c r="AB353" i="2" s="1"/>
  <c r="Y18" i="2"/>
  <c r="AB18" i="2" s="1"/>
  <c r="Y35" i="2"/>
  <c r="AB35" i="2" s="1"/>
  <c r="Y38" i="2"/>
  <c r="AB38" i="2" s="1"/>
  <c r="Y58" i="2"/>
  <c r="AB58" i="2" s="1"/>
  <c r="Y62" i="2"/>
  <c r="AB62" i="2" s="1"/>
  <c r="Y75" i="2"/>
  <c r="AB75" i="2" s="1"/>
  <c r="Y118" i="2"/>
  <c r="AB118" i="2" s="1"/>
  <c r="Y146" i="2"/>
  <c r="AB146" i="2" s="1"/>
  <c r="Y188" i="2"/>
  <c r="AB188" i="2" s="1"/>
  <c r="Y258" i="2"/>
  <c r="AB258" i="2" s="1"/>
  <c r="Y328" i="2"/>
  <c r="AB328" i="2" s="1"/>
  <c r="Y341" i="2"/>
  <c r="AB341" i="2" s="1"/>
  <c r="Y63" i="2"/>
  <c r="AB63" i="2" s="1"/>
  <c r="Y80" i="2"/>
  <c r="AB80" i="2" s="1"/>
  <c r="Y128" i="2"/>
  <c r="AB128" i="2" s="1"/>
  <c r="Y133" i="2"/>
  <c r="AB133" i="2" s="1"/>
  <c r="Y314" i="2"/>
  <c r="AB314" i="2" s="1"/>
  <c r="Y330" i="2"/>
  <c r="AB330" i="2" s="1"/>
  <c r="Y19" i="2"/>
  <c r="AB19" i="2" s="1"/>
  <c r="Y104" i="2"/>
  <c r="AB104" i="2" s="1"/>
  <c r="Y113" i="2"/>
  <c r="AB113" i="2" s="1"/>
  <c r="Y123" i="2"/>
  <c r="AB123" i="2" s="1"/>
  <c r="Y134" i="2"/>
  <c r="AB134" i="2" s="1"/>
  <c r="Y149" i="2"/>
  <c r="AB149" i="2" s="1"/>
  <c r="Y152" i="2"/>
  <c r="AB152" i="2" s="1"/>
  <c r="Y207" i="2"/>
  <c r="AB207" i="2" s="1"/>
  <c r="Y265" i="2"/>
  <c r="AB265" i="2" s="1"/>
  <c r="Y329" i="2"/>
  <c r="AB329" i="2" s="1"/>
  <c r="Y369" i="2"/>
  <c r="AB369" i="2" s="1"/>
  <c r="Y45" i="2"/>
  <c r="AB45" i="2" s="1"/>
  <c r="Y86" i="2"/>
  <c r="AB86" i="2" s="1"/>
  <c r="Y105" i="2"/>
  <c r="AB105" i="2" s="1"/>
  <c r="Y155" i="2"/>
  <c r="AB155" i="2" s="1"/>
  <c r="Y218" i="2"/>
  <c r="AA218" i="2" s="1"/>
  <c r="Y303" i="2"/>
  <c r="AB303" i="2" s="1"/>
  <c r="Y308" i="2"/>
  <c r="AB308" i="2" s="1"/>
  <c r="Y332" i="2"/>
  <c r="AB332" i="2" s="1"/>
  <c r="Y350" i="2"/>
  <c r="AB350" i="2" s="1"/>
  <c r="Y355" i="2"/>
  <c r="AB355" i="2" s="1"/>
  <c r="Y11" i="2"/>
  <c r="AB11" i="2" s="1"/>
  <c r="Y54" i="2"/>
  <c r="AB54" i="2" s="1"/>
  <c r="Y88" i="2"/>
  <c r="AB88" i="2" s="1"/>
  <c r="Y94" i="2"/>
  <c r="AB94" i="2" s="1"/>
  <c r="Y135" i="2"/>
  <c r="AB135" i="2" s="1"/>
  <c r="Y187" i="2"/>
  <c r="AB187" i="2" s="1"/>
  <c r="Y275" i="2"/>
  <c r="AB275" i="2" s="1"/>
  <c r="Y277" i="2"/>
  <c r="AB277" i="2" s="1"/>
  <c r="Y319" i="2"/>
  <c r="AB319" i="2" s="1"/>
  <c r="Y331" i="2"/>
  <c r="AB331" i="2" s="1"/>
  <c r="Y334" i="2"/>
  <c r="AB334" i="2" s="1"/>
  <c r="Y340" i="2"/>
  <c r="AB340" i="2" s="1"/>
  <c r="Y47" i="2"/>
  <c r="AB47" i="2" s="1"/>
  <c r="Y70" i="2"/>
  <c r="AB70" i="2" s="1"/>
  <c r="Y129" i="2"/>
  <c r="AB129" i="2" s="1"/>
  <c r="Y163" i="2"/>
  <c r="AB163" i="2" s="1"/>
  <c r="Y178" i="2"/>
  <c r="AB178" i="2" s="1"/>
  <c r="Y238" i="2"/>
  <c r="AB238" i="2" s="1"/>
  <c r="Y245" i="2"/>
  <c r="AB245" i="2" s="1"/>
  <c r="Y254" i="2"/>
  <c r="AB254" i="2" s="1"/>
  <c r="Y259" i="2"/>
  <c r="AB259" i="2" s="1"/>
  <c r="Y295" i="2"/>
  <c r="AB295" i="2" s="1"/>
  <c r="Y360" i="2"/>
  <c r="AB360" i="2" s="1"/>
  <c r="Y380" i="2"/>
  <c r="AB380" i="2" s="1"/>
  <c r="Y25" i="2"/>
  <c r="AB25" i="2" s="1"/>
  <c r="Y61" i="2"/>
  <c r="AB61" i="2" s="1"/>
  <c r="Y144" i="2"/>
  <c r="AB144" i="2" s="1"/>
  <c r="Y159" i="2"/>
  <c r="AB159" i="2" s="1"/>
  <c r="Y193" i="2"/>
  <c r="AB193" i="2" s="1"/>
  <c r="Y226" i="2"/>
  <c r="AB226" i="2" s="1"/>
  <c r="Y233" i="2"/>
  <c r="AB233" i="2" s="1"/>
  <c r="Y31" i="2"/>
  <c r="AB31" i="2" s="1"/>
  <c r="Y106" i="2"/>
  <c r="AB106" i="2" s="1"/>
  <c r="Y184" i="2"/>
  <c r="AB184" i="2" s="1"/>
  <c r="Y219" i="2"/>
  <c r="AB219" i="2" s="1"/>
  <c r="Y288" i="2"/>
  <c r="AB288" i="2" s="1"/>
  <c r="Y289" i="2"/>
  <c r="AB289" i="2" s="1"/>
  <c r="Y361" i="2"/>
  <c r="AB361" i="2" s="1"/>
  <c r="Y36" i="2"/>
  <c r="AB36" i="2" s="1"/>
  <c r="Y42" i="2"/>
  <c r="AB42" i="2" s="1"/>
  <c r="Y136" i="2"/>
  <c r="AB136" i="2" s="1"/>
  <c r="Y172" i="2"/>
  <c r="AB172" i="2" s="1"/>
  <c r="Y222" i="2"/>
  <c r="AB222" i="2" s="1"/>
  <c r="Y230" i="2"/>
  <c r="AB230" i="2" s="1"/>
  <c r="Y292" i="2"/>
  <c r="AB292" i="2" s="1"/>
  <c r="Y78" i="2"/>
  <c r="AB78" i="2" s="1"/>
  <c r="Y89" i="2"/>
  <c r="AB89" i="2" s="1"/>
  <c r="Y108" i="2"/>
  <c r="AB108" i="2" s="1"/>
  <c r="Y171" i="2"/>
  <c r="AB171" i="2" s="1"/>
  <c r="Y227" i="2"/>
  <c r="AB227" i="2" s="1"/>
  <c r="Y293" i="2"/>
  <c r="AB293" i="2" s="1"/>
  <c r="Y354" i="2"/>
  <c r="AB354" i="2" s="1"/>
  <c r="Y83" i="2"/>
  <c r="AB83" i="2" s="1"/>
  <c r="Y142" i="2"/>
  <c r="AB142" i="2" s="1"/>
  <c r="Y147" i="2"/>
  <c r="AB147" i="2" s="1"/>
  <c r="Y256" i="2"/>
  <c r="AB256" i="2" s="1"/>
  <c r="Y267" i="2"/>
  <c r="AB267" i="2" s="1"/>
  <c r="Y270" i="2"/>
  <c r="AB270" i="2" s="1"/>
  <c r="Y274" i="2"/>
  <c r="AB274" i="2" s="1"/>
  <c r="Y10" i="2"/>
  <c r="AB10" i="2" s="1"/>
  <c r="Y20" i="2"/>
  <c r="AB20" i="2" s="1"/>
  <c r="Y46" i="2"/>
  <c r="AB46" i="2" s="1"/>
  <c r="Y131" i="2"/>
  <c r="AB131" i="2" s="1"/>
  <c r="Y191" i="2"/>
  <c r="AB191" i="2" s="1"/>
  <c r="Y208" i="2"/>
  <c r="AB208" i="2" s="1"/>
  <c r="Y264" i="2"/>
  <c r="AB264" i="2" s="1"/>
  <c r="Y64" i="2"/>
  <c r="AB64" i="2" s="1"/>
  <c r="Y236" i="2"/>
  <c r="AB236" i="2" s="1"/>
  <c r="Y294" i="2"/>
  <c r="AB294" i="2" s="1"/>
  <c r="Y343" i="2"/>
  <c r="AB343" i="2" s="1"/>
  <c r="Y363" i="2"/>
  <c r="AB363" i="2" s="1"/>
  <c r="Y194" i="2"/>
  <c r="AB194" i="2" s="1"/>
  <c r="Y272" i="2"/>
  <c r="AB272" i="2" s="1"/>
  <c r="Y296" i="2"/>
  <c r="AB296" i="2" s="1"/>
  <c r="Y325" i="2"/>
  <c r="AB325" i="2" s="1"/>
  <c r="Y364" i="2"/>
  <c r="AB364" i="2" s="1"/>
  <c r="Y53" i="2"/>
  <c r="AB53" i="2" s="1"/>
  <c r="Y111" i="2"/>
  <c r="AB111" i="2" s="1"/>
  <c r="Y183" i="2"/>
  <c r="AB183" i="2" s="1"/>
  <c r="Y210" i="2"/>
  <c r="AB210" i="2" s="1"/>
  <c r="Y297" i="2"/>
  <c r="AB297" i="2" s="1"/>
  <c r="Y306" i="2"/>
  <c r="AB306" i="2" s="1"/>
  <c r="Y307" i="2"/>
  <c r="AB307" i="2" s="1"/>
  <c r="Y323" i="2"/>
  <c r="AB323" i="2" s="1"/>
  <c r="Y13" i="2"/>
  <c r="AB13" i="2" s="1"/>
  <c r="Y127" i="2"/>
  <c r="AB127" i="2" s="1"/>
  <c r="Y165" i="2"/>
  <c r="AB165" i="2" s="1"/>
  <c r="Y198" i="2"/>
  <c r="AB198" i="2" s="1"/>
  <c r="Y304" i="2"/>
  <c r="AB304" i="2" s="1"/>
  <c r="Y315" i="2"/>
  <c r="AB315" i="2" s="1"/>
  <c r="Y351" i="2"/>
  <c r="AB351" i="2" s="1"/>
  <c r="Y116" i="2"/>
  <c r="AB116" i="2" s="1"/>
  <c r="Y119" i="2"/>
  <c r="AB119" i="2" s="1"/>
  <c r="Y138" i="2"/>
  <c r="AB138" i="2" s="1"/>
  <c r="Y203" i="2"/>
  <c r="AB203" i="2" s="1"/>
  <c r="Y251" i="2"/>
  <c r="AB251" i="2" s="1"/>
  <c r="Y263" i="2"/>
  <c r="AB263" i="2" s="1"/>
  <c r="Y302" i="2"/>
  <c r="AB302" i="2" s="1"/>
  <c r="Y317" i="2"/>
  <c r="AB317" i="2" s="1"/>
  <c r="Y324" i="2"/>
  <c r="AB324" i="2" s="1"/>
  <c r="Y352" i="2"/>
  <c r="AB352" i="2" s="1"/>
  <c r="Y372" i="2"/>
  <c r="AB372" i="2" s="1"/>
  <c r="Y225" i="2"/>
  <c r="AB225" i="2" s="1"/>
  <c r="Y232" i="2"/>
  <c r="AB232" i="2" s="1"/>
  <c r="Y262" i="2"/>
  <c r="AB262" i="2" s="1"/>
  <c r="Y313" i="2"/>
  <c r="AB313" i="2" s="1"/>
  <c r="Y349" i="2"/>
  <c r="AB349" i="2" s="1"/>
  <c r="Y4" i="2"/>
  <c r="AB4" i="2" s="1"/>
  <c r="Y9" i="2"/>
  <c r="AB9" i="2" s="1"/>
  <c r="Y68" i="2"/>
  <c r="AB68" i="2" s="1"/>
  <c r="Y84" i="2"/>
  <c r="AB84" i="2" s="1"/>
  <c r="Y160" i="2"/>
  <c r="AB160" i="2" s="1"/>
  <c r="Y199" i="2"/>
  <c r="AB199" i="2" s="1"/>
  <c r="Y376" i="2"/>
  <c r="AB376" i="2" s="1"/>
  <c r="Y44" i="2"/>
  <c r="AB44" i="2" s="1"/>
  <c r="Y189" i="2"/>
  <c r="AB189" i="2" s="1"/>
  <c r="Y250" i="2"/>
  <c r="AB250" i="2" s="1"/>
  <c r="Y375" i="2"/>
  <c r="AB375" i="2" s="1"/>
  <c r="Y378" i="2"/>
  <c r="AB378" i="2" s="1"/>
  <c r="Y381" i="2"/>
  <c r="AB381" i="2" s="1"/>
  <c r="Y30" i="2"/>
  <c r="AB30" i="2" s="1"/>
  <c r="Y48" i="2"/>
  <c r="AB48" i="2" s="1"/>
  <c r="Y190" i="2"/>
  <c r="AB190" i="2" s="1"/>
  <c r="Y234" i="2"/>
  <c r="AB234" i="2" s="1"/>
  <c r="Y257" i="2"/>
  <c r="AB257" i="2" s="1"/>
  <c r="Y268" i="2"/>
  <c r="AB268" i="2" s="1"/>
  <c r="Y310" i="2"/>
  <c r="AB310" i="2" s="1"/>
  <c r="Y322" i="2"/>
  <c r="AB322" i="2" s="1"/>
  <c r="Y339" i="2"/>
  <c r="AB339" i="2" s="1"/>
  <c r="Y367" i="2"/>
  <c r="AB367" i="2" s="1"/>
  <c r="Y176" i="2"/>
  <c r="AB176" i="2" s="1"/>
  <c r="Y185" i="2"/>
  <c r="AB185" i="2" s="1"/>
  <c r="Y305" i="2"/>
  <c r="AB305" i="2" s="1"/>
  <c r="Y273" i="2"/>
  <c r="AB273" i="2" s="1"/>
  <c r="Y371" i="2"/>
  <c r="AB371" i="2" s="1"/>
  <c r="Y16" i="2"/>
  <c r="AB16" i="2" s="1"/>
  <c r="Y93" i="2"/>
  <c r="AB93" i="2" s="1"/>
  <c r="Y261" i="2"/>
  <c r="AB261" i="2" s="1"/>
  <c r="Y276" i="2"/>
  <c r="AB276" i="2" s="1"/>
  <c r="Y130" i="2"/>
  <c r="AB130" i="2" s="1"/>
  <c r="Y209" i="2"/>
  <c r="AB209" i="2" s="1"/>
  <c r="Y224" i="2"/>
  <c r="AB224" i="2" s="1"/>
  <c r="Y298" i="2"/>
  <c r="AB298" i="2" s="1"/>
  <c r="Y316" i="2"/>
  <c r="AB316" i="2" s="1"/>
  <c r="Y24" i="2"/>
  <c r="AB24" i="2" s="1"/>
  <c r="Y82" i="2"/>
  <c r="AB82" i="2" s="1"/>
  <c r="Y95" i="2"/>
  <c r="AB95" i="2" s="1"/>
  <c r="Y269" i="2"/>
  <c r="AB269" i="2" s="1"/>
  <c r="Y281" i="2"/>
  <c r="AB281" i="2" s="1"/>
  <c r="Y345" i="2"/>
  <c r="AB345" i="2" s="1"/>
  <c r="Y374" i="2"/>
  <c r="AB374" i="2" s="1"/>
  <c r="Y34" i="2"/>
  <c r="AB34" i="2" s="1"/>
  <c r="Y50" i="2"/>
  <c r="AB50" i="2" s="1"/>
  <c r="Y175" i="2"/>
  <c r="AB175" i="2" s="1"/>
  <c r="Y179" i="2"/>
  <c r="AB179" i="2" s="1"/>
  <c r="Y344" i="2"/>
  <c r="AB344" i="2" s="1"/>
  <c r="Y166" i="2"/>
  <c r="AB166" i="2" s="1"/>
  <c r="Y139" i="2"/>
  <c r="AB139" i="2" s="1"/>
  <c r="Y76" i="2"/>
  <c r="AB76" i="2" s="1"/>
  <c r="Y90" i="2"/>
  <c r="AB90" i="2" s="1"/>
  <c r="Y126" i="2"/>
  <c r="AB126" i="2" s="1"/>
  <c r="Y377" i="2"/>
  <c r="AB377" i="2" s="1"/>
  <c r="Y60" i="2"/>
  <c r="AB60" i="2" s="1"/>
  <c r="Y237" i="2"/>
  <c r="AB237" i="2" s="1"/>
  <c r="Y57" i="2"/>
  <c r="AB57" i="2" s="1"/>
  <c r="Y320" i="2"/>
  <c r="AB320" i="2" s="1"/>
  <c r="Y206" i="2"/>
  <c r="AB206" i="2" s="1"/>
  <c r="Y39" i="2"/>
  <c r="AB39" i="2" s="1"/>
  <c r="Y342" i="2"/>
  <c r="AB342" i="2" s="1"/>
  <c r="Y55" i="2"/>
  <c r="AB55" i="2" s="1"/>
  <c r="Y253" i="2"/>
  <c r="AB253" i="2" s="1"/>
  <c r="Y49" i="2"/>
  <c r="AB49" i="2" s="1"/>
  <c r="Y28" i="2"/>
  <c r="AB28" i="2" s="1"/>
  <c r="Y336" i="2"/>
  <c r="AB336" i="2" s="1"/>
  <c r="Y204" i="2"/>
  <c r="AB204" i="2" s="1"/>
  <c r="Y212" i="2"/>
  <c r="AB212" i="2" s="1"/>
  <c r="Y244" i="2"/>
  <c r="AB244" i="2" s="1"/>
  <c r="Y195" i="2"/>
  <c r="AB195" i="2" s="1"/>
  <c r="Y74" i="2"/>
  <c r="AB74" i="2" s="1"/>
  <c r="Y96" i="2"/>
  <c r="AB96" i="2" s="1"/>
  <c r="Y99" i="2"/>
  <c r="AB99" i="2" s="1"/>
  <c r="Y107" i="2"/>
  <c r="AB107" i="2" s="1"/>
  <c r="Y109" i="2"/>
  <c r="AB109" i="2" s="1"/>
  <c r="Y115" i="2"/>
  <c r="AB115" i="2" s="1"/>
  <c r="Y122" i="2"/>
  <c r="AB122" i="2" s="1"/>
  <c r="Y125" i="2"/>
  <c r="AB125" i="2" s="1"/>
  <c r="Y157" i="2"/>
  <c r="AB157" i="2" s="1"/>
  <c r="Y164" i="2"/>
  <c r="AB164" i="2" s="1"/>
  <c r="Y201" i="2"/>
  <c r="AB201" i="2" s="1"/>
  <c r="Y205" i="2"/>
  <c r="AB205" i="2" s="1"/>
  <c r="Y213" i="2"/>
  <c r="AB213" i="2" s="1"/>
  <c r="Y235" i="2"/>
  <c r="AB235" i="2" s="1"/>
  <c r="Y239" i="2"/>
  <c r="AB239" i="2" s="1"/>
  <c r="Y271" i="2"/>
  <c r="AB271" i="2" s="1"/>
  <c r="Y278" i="2"/>
  <c r="AB278" i="2" s="1"/>
  <c r="Y282" i="2"/>
  <c r="AB282" i="2" s="1"/>
  <c r="Y291" i="2"/>
  <c r="AB291" i="2" s="1"/>
  <c r="Y309" i="2"/>
  <c r="AB309" i="2" s="1"/>
  <c r="Y2" i="2"/>
  <c r="AB2" i="2" s="1"/>
  <c r="Y3" i="2"/>
  <c r="AB3" i="2" s="1"/>
  <c r="Y8" i="2"/>
  <c r="AB8" i="2" s="1"/>
  <c r="Y72" i="2"/>
  <c r="AB72" i="2" s="1"/>
  <c r="Y252" i="2"/>
  <c r="AB252" i="2" s="1"/>
  <c r="Y359" i="2"/>
  <c r="AB359" i="2" s="1"/>
  <c r="Y362" i="2"/>
  <c r="AB362" i="2" s="1"/>
  <c r="Y7" i="2"/>
  <c r="AB7" i="2" s="1"/>
  <c r="Y97" i="2"/>
  <c r="AB97" i="2" s="1"/>
  <c r="Y220" i="2"/>
  <c r="AB220" i="2" s="1"/>
  <c r="Y103" i="2"/>
  <c r="AB103" i="2" s="1"/>
  <c r="Y132" i="2"/>
  <c r="AB132" i="2" s="1"/>
  <c r="U29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2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2" i="1"/>
  <c r="R384" i="1"/>
  <c r="Q384" i="1"/>
  <c r="P384" i="1"/>
  <c r="O384" i="1"/>
  <c r="N384" i="1"/>
  <c r="M384" i="1"/>
  <c r="L384" i="1"/>
  <c r="K384" i="1"/>
  <c r="J384" i="1"/>
  <c r="H384" i="1"/>
  <c r="G384" i="1"/>
  <c r="F384" i="1"/>
  <c r="S391" i="1" l="1"/>
  <c r="V377" i="1"/>
  <c r="V369" i="1"/>
  <c r="V361" i="1"/>
  <c r="V353" i="1"/>
  <c r="V345" i="1"/>
  <c r="V337" i="1"/>
  <c r="V329" i="1"/>
  <c r="V321" i="1"/>
  <c r="V313" i="1"/>
  <c r="V305" i="1"/>
  <c r="V297" i="1"/>
  <c r="V289" i="1"/>
  <c r="V281" i="1"/>
  <c r="V273" i="1"/>
  <c r="V265" i="1"/>
  <c r="V257" i="1"/>
  <c r="V249" i="1"/>
  <c r="V241" i="1"/>
  <c r="T391" i="1"/>
  <c r="AB311" i="2"/>
  <c r="AA325" i="2"/>
  <c r="AA87" i="2"/>
  <c r="AA77" i="2"/>
  <c r="AA303" i="2"/>
  <c r="AA10" i="2"/>
  <c r="AA234" i="2"/>
  <c r="AA164" i="2"/>
  <c r="AA176" i="2"/>
  <c r="AA368" i="2"/>
  <c r="AA104" i="2"/>
  <c r="AA292" i="2"/>
  <c r="AA9" i="2"/>
  <c r="AA28" i="2"/>
  <c r="AA157" i="2"/>
  <c r="AA91" i="2"/>
  <c r="AA285" i="2"/>
  <c r="AA187" i="2"/>
  <c r="AA343" i="2"/>
  <c r="AA273" i="2"/>
  <c r="AA309" i="2"/>
  <c r="AA207" i="2"/>
  <c r="AA98" i="2"/>
  <c r="AA370" i="2"/>
  <c r="AA75" i="2"/>
  <c r="AA233" i="2"/>
  <c r="AA203" i="2"/>
  <c r="AA76" i="2"/>
  <c r="AA174" i="2"/>
  <c r="AA117" i="2"/>
  <c r="AA373" i="2"/>
  <c r="AA118" i="2"/>
  <c r="AA31" i="2"/>
  <c r="AA251" i="2"/>
  <c r="AA90" i="2"/>
  <c r="AA66" i="2"/>
  <c r="AA133" i="2"/>
  <c r="AA136" i="2"/>
  <c r="AA262" i="2"/>
  <c r="AA342" i="2"/>
  <c r="AA279" i="2"/>
  <c r="AA314" i="2"/>
  <c r="AA172" i="2"/>
  <c r="AA313" i="2"/>
  <c r="AA55" i="2"/>
  <c r="AA15" i="2"/>
  <c r="AA170" i="2"/>
  <c r="AB56" i="2"/>
  <c r="AA334" i="2"/>
  <c r="AA221" i="2"/>
  <c r="AA156" i="2"/>
  <c r="AA94" i="2"/>
  <c r="AA236" i="2"/>
  <c r="AA185" i="2"/>
  <c r="AA282" i="2"/>
  <c r="AA64" i="2"/>
  <c r="AA100" i="2"/>
  <c r="AA329" i="2"/>
  <c r="AA83" i="2"/>
  <c r="AA250" i="2"/>
  <c r="AA99" i="2"/>
  <c r="AA190" i="2"/>
  <c r="AA41" i="2"/>
  <c r="AA357" i="2"/>
  <c r="AA70" i="2"/>
  <c r="AA111" i="2"/>
  <c r="AA224" i="2"/>
  <c r="AA7" i="2"/>
  <c r="AA379" i="2"/>
  <c r="AA158" i="2"/>
  <c r="AA229" i="2"/>
  <c r="AA80" i="2"/>
  <c r="AA36" i="2"/>
  <c r="AA225" i="2"/>
  <c r="AA206" i="2"/>
  <c r="AA37" i="2"/>
  <c r="AA161" i="2"/>
  <c r="AA65" i="2"/>
  <c r="AA128" i="2"/>
  <c r="AA42" i="2"/>
  <c r="AA232" i="2"/>
  <c r="AA39" i="2"/>
  <c r="AA69" i="2"/>
  <c r="AA149" i="2"/>
  <c r="AA171" i="2"/>
  <c r="AA199" i="2"/>
  <c r="AA244" i="2"/>
  <c r="AA179" i="2"/>
  <c r="AA283" i="2"/>
  <c r="AA152" i="2"/>
  <c r="AA227" i="2"/>
  <c r="AA376" i="2"/>
  <c r="AA195" i="2"/>
  <c r="AA95" i="2"/>
  <c r="AA137" i="2"/>
  <c r="AA301" i="2"/>
  <c r="AB218" i="2"/>
  <c r="AA287" i="2"/>
  <c r="AA312" i="2"/>
  <c r="AA326" i="2"/>
  <c r="AA340" i="2"/>
  <c r="AA364" i="2"/>
  <c r="AA130" i="2"/>
  <c r="AA359" i="2"/>
  <c r="AA88" i="2"/>
  <c r="AA114" i="2"/>
  <c r="AA308" i="2"/>
  <c r="AA20" i="2"/>
  <c r="AA257" i="2"/>
  <c r="AA201" i="2"/>
  <c r="AA274" i="2"/>
  <c r="AA240" i="2"/>
  <c r="AA151" i="2"/>
  <c r="AA295" i="2"/>
  <c r="AA127" i="2"/>
  <c r="AA345" i="2"/>
  <c r="AA228" i="2"/>
  <c r="AA211" i="2"/>
  <c r="AA59" i="2"/>
  <c r="AA123" i="2"/>
  <c r="AA89" i="2"/>
  <c r="AA84" i="2"/>
  <c r="AA204" i="2"/>
  <c r="AA253" i="2"/>
  <c r="AA248" i="2"/>
  <c r="AA12" i="2"/>
  <c r="AA134" i="2"/>
  <c r="AA108" i="2"/>
  <c r="AA160" i="2"/>
  <c r="AA212" i="2"/>
  <c r="AA60" i="2"/>
  <c r="AA5" i="2"/>
  <c r="AA105" i="2"/>
  <c r="AA267" i="2"/>
  <c r="AA30" i="2"/>
  <c r="AA122" i="2"/>
  <c r="AA351" i="2"/>
  <c r="AA17" i="2"/>
  <c r="AA155" i="2"/>
  <c r="AA270" i="2"/>
  <c r="AA48" i="2"/>
  <c r="AA125" i="2"/>
  <c r="AA307" i="2"/>
  <c r="AA169" i="2"/>
  <c r="AA249" i="2"/>
  <c r="AA327" i="2"/>
  <c r="AA242" i="2"/>
  <c r="AA366" i="2"/>
  <c r="AA254" i="2"/>
  <c r="AA323" i="2"/>
  <c r="AA269" i="2"/>
  <c r="AA120" i="2"/>
  <c r="AA382" i="2"/>
  <c r="AA216" i="2"/>
  <c r="AA135" i="2"/>
  <c r="AA294" i="2"/>
  <c r="AA305" i="2"/>
  <c r="AA291" i="2"/>
  <c r="AA85" i="2"/>
  <c r="AA280" i="2"/>
  <c r="AA62" i="2"/>
  <c r="AA226" i="2"/>
  <c r="AA138" i="2"/>
  <c r="AA139" i="2"/>
  <c r="AA365" i="2"/>
  <c r="AA162" i="2"/>
  <c r="AA45" i="2"/>
  <c r="AA147" i="2"/>
  <c r="AA378" i="2"/>
  <c r="AA109" i="2"/>
  <c r="AA349" i="2"/>
  <c r="AA150" i="2"/>
  <c r="AA284" i="2"/>
  <c r="AA86" i="2"/>
  <c r="AA256" i="2"/>
  <c r="AA381" i="2"/>
  <c r="AA115" i="2"/>
  <c r="AA317" i="2"/>
  <c r="AA67" i="2"/>
  <c r="AA11" i="2"/>
  <c r="AA208" i="2"/>
  <c r="AA339" i="2"/>
  <c r="AA239" i="2"/>
  <c r="AA144" i="2"/>
  <c r="AA110" i="2"/>
  <c r="AA92" i="2"/>
  <c r="AA54" i="2"/>
  <c r="AA264" i="2"/>
  <c r="AA367" i="2"/>
  <c r="AA271" i="2"/>
  <c r="AA245" i="2"/>
  <c r="AA255" i="2"/>
  <c r="AA182" i="2"/>
  <c r="AA318" i="2"/>
  <c r="AA43" i="2"/>
  <c r="AA356" i="2"/>
  <c r="AA38" i="2"/>
  <c r="AA159" i="2"/>
  <c r="AA116" i="2"/>
  <c r="AA344" i="2"/>
  <c r="AA217" i="2"/>
  <c r="AA21" i="2"/>
  <c r="AA337" i="2"/>
  <c r="AA47" i="2"/>
  <c r="AA53" i="2"/>
  <c r="AA209" i="2"/>
  <c r="AA362" i="2"/>
  <c r="AA153" i="2"/>
  <c r="AA81" i="2"/>
  <c r="AA63" i="2"/>
  <c r="AA361" i="2"/>
  <c r="AA372" i="2"/>
  <c r="AA320" i="2"/>
  <c r="AA26" i="2"/>
  <c r="AA6" i="2"/>
  <c r="AA350" i="2"/>
  <c r="AA131" i="2"/>
  <c r="AA310" i="2"/>
  <c r="AA213" i="2"/>
  <c r="AA222" i="2"/>
  <c r="AA27" i="2"/>
  <c r="AA29" i="2"/>
  <c r="AA355" i="2"/>
  <c r="AA191" i="2"/>
  <c r="AA322" i="2"/>
  <c r="AA235" i="2"/>
  <c r="AA219" i="2"/>
  <c r="AA231" i="2"/>
  <c r="AA197" i="2"/>
  <c r="AA319" i="2"/>
  <c r="AA272" i="2"/>
  <c r="AA93" i="2"/>
  <c r="AA8" i="2"/>
  <c r="AA35" i="2"/>
  <c r="AA154" i="2"/>
  <c r="AA214" i="2"/>
  <c r="AA331" i="2"/>
  <c r="AA296" i="2"/>
  <c r="AA261" i="2"/>
  <c r="AA72" i="2"/>
  <c r="AA358" i="2"/>
  <c r="AA200" i="2"/>
  <c r="AA141" i="2"/>
  <c r="AA143" i="2"/>
  <c r="AA145" i="2"/>
  <c r="AA299" i="2"/>
  <c r="AA328" i="2"/>
  <c r="AA288" i="2"/>
  <c r="AA324" i="2"/>
  <c r="AA237" i="2"/>
  <c r="AA321" i="2"/>
  <c r="AA112" i="2"/>
  <c r="AA259" i="2"/>
  <c r="AA13" i="2"/>
  <c r="AA281" i="2"/>
  <c r="AA196" i="2"/>
  <c r="AA22" i="2"/>
  <c r="AA113" i="2"/>
  <c r="AA78" i="2"/>
  <c r="AA68" i="2"/>
  <c r="AA336" i="2"/>
  <c r="AA74" i="2"/>
  <c r="AA180" i="2"/>
  <c r="AA101" i="2"/>
  <c r="AA275" i="2"/>
  <c r="AA363" i="2"/>
  <c r="AA371" i="2"/>
  <c r="AA2" i="2"/>
  <c r="AA330" i="2"/>
  <c r="AA266" i="2"/>
  <c r="AA121" i="2"/>
  <c r="AA277" i="2"/>
  <c r="AA194" i="2"/>
  <c r="AA16" i="2"/>
  <c r="AA3" i="2"/>
  <c r="AA258" i="2"/>
  <c r="AA241" i="2"/>
  <c r="AA215" i="2"/>
  <c r="AA178" i="2"/>
  <c r="AA297" i="2"/>
  <c r="AA24" i="2"/>
  <c r="AA103" i="2"/>
  <c r="AA33" i="2"/>
  <c r="AA335" i="2"/>
  <c r="AA246" i="2"/>
  <c r="AA238" i="2"/>
  <c r="AA306" i="2"/>
  <c r="AA82" i="2"/>
  <c r="AA132" i="2"/>
  <c r="AA32" i="2"/>
  <c r="AA173" i="2"/>
  <c r="AA52" i="2"/>
  <c r="AA252" i="2"/>
  <c r="AA177" i="2"/>
  <c r="AA168" i="2"/>
  <c r="AA19" i="2"/>
  <c r="AA230" i="2"/>
  <c r="AA4" i="2"/>
  <c r="AA49" i="2"/>
  <c r="AA247" i="2"/>
  <c r="AA58" i="2"/>
  <c r="AA193" i="2"/>
  <c r="AA119" i="2"/>
  <c r="AA166" i="2"/>
  <c r="AA347" i="2"/>
  <c r="AA124" i="2"/>
  <c r="AA369" i="2"/>
  <c r="AA142" i="2"/>
  <c r="AA375" i="2"/>
  <c r="AA107" i="2"/>
  <c r="AA44" i="2"/>
  <c r="AA223" i="2"/>
  <c r="AA71" i="2"/>
  <c r="AA129" i="2"/>
  <c r="AA183" i="2"/>
  <c r="AA298" i="2"/>
  <c r="AA97" i="2"/>
  <c r="AA79" i="2"/>
  <c r="AA286" i="2"/>
  <c r="AA102" i="2"/>
  <c r="AA163" i="2"/>
  <c r="AA210" i="2"/>
  <c r="AA316" i="2"/>
  <c r="AA220" i="2"/>
  <c r="AA243" i="2"/>
  <c r="AA333" i="2"/>
  <c r="AA353" i="2"/>
  <c r="AA25" i="2"/>
  <c r="AA304" i="2"/>
  <c r="AA50" i="2"/>
  <c r="AA192" i="2"/>
  <c r="AA18" i="2"/>
  <c r="AA61" i="2"/>
  <c r="AA315" i="2"/>
  <c r="AA175" i="2"/>
  <c r="AA23" i="2"/>
  <c r="AA148" i="2"/>
  <c r="AA276" i="2"/>
  <c r="AA338" i="2"/>
  <c r="AA51" i="2"/>
  <c r="AA265" i="2"/>
  <c r="AA354" i="2"/>
  <c r="AA189" i="2"/>
  <c r="AA96" i="2"/>
  <c r="AA278" i="2"/>
  <c r="AA167" i="2"/>
  <c r="AA341" i="2"/>
  <c r="AA289" i="2"/>
  <c r="AA352" i="2"/>
  <c r="AA57" i="2"/>
  <c r="AA348" i="2"/>
  <c r="AA290" i="2"/>
  <c r="AA332" i="2"/>
  <c r="AA46" i="2"/>
  <c r="AA268" i="2"/>
  <c r="AA205" i="2"/>
  <c r="AA293" i="2"/>
  <c r="AA73" i="2"/>
  <c r="AA186" i="2"/>
  <c r="AA181" i="2"/>
  <c r="AA360" i="2"/>
  <c r="AA165" i="2"/>
  <c r="AA374" i="2"/>
  <c r="AA14" i="2"/>
  <c r="AA300" i="2"/>
  <c r="AA260" i="2"/>
  <c r="AA380" i="2"/>
  <c r="AA198" i="2"/>
  <c r="AA34" i="2"/>
  <c r="AA202" i="2"/>
  <c r="AA146" i="2"/>
  <c r="AA106" i="2"/>
  <c r="AA263" i="2"/>
  <c r="AA126" i="2"/>
  <c r="AA40" i="2"/>
  <c r="AA188" i="2"/>
  <c r="AA184" i="2"/>
  <c r="AA302" i="2"/>
  <c r="AA377" i="2"/>
  <c r="AA140" i="2"/>
  <c r="AA346" i="2"/>
  <c r="V378" i="1"/>
  <c r="V370" i="1"/>
  <c r="V362" i="1"/>
  <c r="V354" i="1"/>
  <c r="V346" i="1"/>
  <c r="V338" i="1"/>
  <c r="V330" i="1"/>
  <c r="V322" i="1"/>
  <c r="V314" i="1"/>
  <c r="V306" i="1"/>
  <c r="V298" i="1"/>
  <c r="V290" i="1"/>
  <c r="V282" i="1"/>
  <c r="V274" i="1"/>
  <c r="V266" i="1"/>
  <c r="V258" i="1"/>
  <c r="V250" i="1"/>
  <c r="V242" i="1"/>
  <c r="V234" i="1"/>
  <c r="V226" i="1"/>
  <c r="V218" i="1"/>
  <c r="V210" i="1"/>
  <c r="V202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V26" i="1"/>
  <c r="V18" i="1"/>
  <c r="V10" i="1"/>
  <c r="V233" i="1"/>
  <c r="V225" i="1"/>
  <c r="V217" i="1"/>
  <c r="V209" i="1"/>
  <c r="V201" i="1"/>
  <c r="V193" i="1"/>
  <c r="V185" i="1"/>
  <c r="V177" i="1"/>
  <c r="V169" i="1"/>
  <c r="V161" i="1"/>
  <c r="V153" i="1"/>
  <c r="V145" i="1"/>
  <c r="V137" i="1"/>
  <c r="V129" i="1"/>
  <c r="V121" i="1"/>
  <c r="V113" i="1"/>
  <c r="V105" i="1"/>
  <c r="V97" i="1"/>
  <c r="V89" i="1"/>
  <c r="V81" i="1"/>
  <c r="V73" i="1"/>
  <c r="V65" i="1"/>
  <c r="V57" i="1"/>
  <c r="V49" i="1"/>
  <c r="V41" i="1"/>
  <c r="V33" i="1"/>
  <c r="V25" i="1"/>
  <c r="V17" i="1"/>
  <c r="V9" i="1"/>
  <c r="V2" i="1"/>
  <c r="V328" i="1"/>
  <c r="I384" i="1"/>
  <c r="V380" i="1"/>
  <c r="V372" i="1"/>
  <c r="V364" i="1"/>
  <c r="V356" i="1"/>
  <c r="V348" i="1"/>
  <c r="V340" i="1"/>
  <c r="V332" i="1"/>
  <c r="V324" i="1"/>
  <c r="V316" i="1"/>
  <c r="V308" i="1"/>
  <c r="V300" i="1"/>
  <c r="V292" i="1"/>
  <c r="V284" i="1"/>
  <c r="V276" i="1"/>
  <c r="V268" i="1"/>
  <c r="V260" i="1"/>
  <c r="V252" i="1"/>
  <c r="V244" i="1"/>
  <c r="V236" i="1"/>
  <c r="V228" i="1"/>
  <c r="V220" i="1"/>
  <c r="V212" i="1"/>
  <c r="V204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28" i="1"/>
  <c r="V20" i="1"/>
  <c r="V12" i="1"/>
  <c r="V4" i="1"/>
  <c r="U384" i="1"/>
  <c r="V352" i="1"/>
  <c r="V336" i="1"/>
  <c r="V320" i="1"/>
  <c r="V312" i="1"/>
  <c r="V304" i="1"/>
  <c r="V296" i="1"/>
  <c r="V288" i="1"/>
  <c r="V280" i="1"/>
  <c r="V272" i="1"/>
  <c r="V264" i="1"/>
  <c r="V256" i="1"/>
  <c r="V248" i="1"/>
  <c r="V240" i="1"/>
  <c r="V232" i="1"/>
  <c r="V224" i="1"/>
  <c r="V216" i="1"/>
  <c r="V208" i="1"/>
  <c r="V200" i="1"/>
  <c r="V192" i="1"/>
  <c r="V184" i="1"/>
  <c r="V176" i="1"/>
  <c r="V168" i="1"/>
  <c r="V160" i="1"/>
  <c r="V152" i="1"/>
  <c r="V144" i="1"/>
  <c r="V136" i="1"/>
  <c r="V128" i="1"/>
  <c r="V120" i="1"/>
  <c r="V112" i="1"/>
  <c r="V104" i="1"/>
  <c r="V96" i="1"/>
  <c r="V88" i="1"/>
  <c r="V80" i="1"/>
  <c r="V72" i="1"/>
  <c r="V64" i="1"/>
  <c r="V56" i="1"/>
  <c r="V48" i="1"/>
  <c r="V40" i="1"/>
  <c r="V32" i="1"/>
  <c r="V24" i="1"/>
  <c r="V16" i="1"/>
  <c r="V376" i="1"/>
  <c r="V368" i="1"/>
  <c r="V360" i="1"/>
  <c r="V344" i="1"/>
  <c r="V383" i="1"/>
  <c r="V375" i="1"/>
  <c r="V359" i="1"/>
  <c r="V367" i="1"/>
  <c r="V3" i="1"/>
  <c r="V11" i="1"/>
  <c r="V19" i="1"/>
  <c r="V27" i="1"/>
  <c r="V35" i="1"/>
  <c r="V43" i="1"/>
  <c r="V51" i="1"/>
  <c r="V59" i="1"/>
  <c r="V67" i="1"/>
  <c r="V75" i="1"/>
  <c r="V83" i="1"/>
  <c r="V8" i="1"/>
  <c r="V351" i="1"/>
  <c r="V343" i="1"/>
  <c r="V335" i="1"/>
  <c r="V319" i="1"/>
  <c r="V303" i="1"/>
  <c r="V287" i="1"/>
  <c r="V271" i="1"/>
  <c r="V255" i="1"/>
  <c r="V247" i="1"/>
  <c r="V231" i="1"/>
  <c r="V223" i="1"/>
  <c r="V215" i="1"/>
  <c r="V207" i="1"/>
  <c r="V199" i="1"/>
  <c r="V191" i="1"/>
  <c r="V175" i="1"/>
  <c r="V167" i="1"/>
  <c r="V159" i="1"/>
  <c r="V151" i="1"/>
  <c r="V143" i="1"/>
  <c r="V135" i="1"/>
  <c r="V127" i="1"/>
  <c r="V119" i="1"/>
  <c r="V111" i="1"/>
  <c r="V103" i="1"/>
  <c r="V95" i="1"/>
  <c r="V87" i="1"/>
  <c r="V79" i="1"/>
  <c r="V71" i="1"/>
  <c r="V63" i="1"/>
  <c r="V55" i="1"/>
  <c r="V47" i="1"/>
  <c r="V39" i="1"/>
  <c r="V31" i="1"/>
  <c r="V23" i="1"/>
  <c r="V15" i="1"/>
  <c r="V7" i="1"/>
  <c r="V327" i="1"/>
  <c r="V311" i="1"/>
  <c r="V295" i="1"/>
  <c r="V279" i="1"/>
  <c r="V263" i="1"/>
  <c r="V239" i="1"/>
  <c r="V183" i="1"/>
  <c r="S384" i="1"/>
  <c r="V382" i="1"/>
  <c r="V374" i="1"/>
  <c r="V366" i="1"/>
  <c r="V358" i="1"/>
  <c r="V350" i="1"/>
  <c r="V342" i="1"/>
  <c r="V334" i="1"/>
  <c r="V326" i="1"/>
  <c r="V318" i="1"/>
  <c r="V310" i="1"/>
  <c r="V302" i="1"/>
  <c r="V294" i="1"/>
  <c r="V286" i="1"/>
  <c r="V278" i="1"/>
  <c r="V270" i="1"/>
  <c r="V262" i="1"/>
  <c r="V254" i="1"/>
  <c r="V246" i="1"/>
  <c r="V238" i="1"/>
  <c r="V230" i="1"/>
  <c r="V222" i="1"/>
  <c r="V214" i="1"/>
  <c r="V206" i="1"/>
  <c r="V198" i="1"/>
  <c r="V190" i="1"/>
  <c r="V182" i="1"/>
  <c r="V174" i="1"/>
  <c r="V166" i="1"/>
  <c r="V158" i="1"/>
  <c r="V150" i="1"/>
  <c r="V142" i="1"/>
  <c r="V134" i="1"/>
  <c r="V126" i="1"/>
  <c r="V118" i="1"/>
  <c r="V110" i="1"/>
  <c r="V102" i="1"/>
  <c r="V94" i="1"/>
  <c r="V86" i="1"/>
  <c r="V78" i="1"/>
  <c r="V70" i="1"/>
  <c r="V62" i="1"/>
  <c r="V54" i="1"/>
  <c r="V46" i="1"/>
  <c r="V38" i="1"/>
  <c r="V30" i="1"/>
  <c r="V22" i="1"/>
  <c r="V14" i="1"/>
  <c r="V6" i="1"/>
  <c r="V91" i="1"/>
  <c r="V99" i="1"/>
  <c r="V107" i="1"/>
  <c r="V115" i="1"/>
  <c r="V123" i="1"/>
  <c r="V131" i="1"/>
  <c r="V139" i="1"/>
  <c r="V147" i="1"/>
  <c r="V155" i="1"/>
  <c r="V163" i="1"/>
  <c r="V171" i="1"/>
  <c r="V179" i="1"/>
  <c r="V187" i="1"/>
  <c r="V195" i="1"/>
  <c r="V203" i="1"/>
  <c r="V211" i="1"/>
  <c r="V219" i="1"/>
  <c r="V227" i="1"/>
  <c r="V235" i="1"/>
  <c r="V243" i="1"/>
  <c r="V251" i="1"/>
  <c r="V259" i="1"/>
  <c r="V267" i="1"/>
  <c r="V275" i="1"/>
  <c r="V283" i="1"/>
  <c r="V291" i="1"/>
  <c r="V299" i="1"/>
  <c r="V307" i="1"/>
  <c r="V315" i="1"/>
  <c r="V323" i="1"/>
  <c r="V331" i="1"/>
  <c r="V339" i="1"/>
  <c r="V347" i="1"/>
  <c r="V355" i="1"/>
  <c r="V363" i="1"/>
  <c r="V371" i="1"/>
  <c r="V379" i="1"/>
  <c r="V381" i="1"/>
  <c r="V373" i="1"/>
  <c r="V365" i="1"/>
  <c r="V357" i="1"/>
  <c r="V349" i="1"/>
  <c r="V341" i="1"/>
  <c r="V333" i="1"/>
  <c r="V325" i="1"/>
  <c r="V317" i="1"/>
  <c r="V309" i="1"/>
  <c r="V301" i="1"/>
  <c r="V293" i="1"/>
  <c r="V285" i="1"/>
  <c r="V277" i="1"/>
  <c r="V269" i="1"/>
  <c r="V261" i="1"/>
  <c r="V253" i="1"/>
  <c r="V245" i="1"/>
  <c r="V237" i="1"/>
  <c r="V229" i="1"/>
  <c r="V221" i="1"/>
  <c r="V213" i="1"/>
  <c r="V205" i="1"/>
  <c r="V197" i="1"/>
  <c r="V189" i="1"/>
  <c r="V181" i="1"/>
  <c r="V173" i="1"/>
  <c r="V165" i="1"/>
  <c r="V157" i="1"/>
  <c r="V149" i="1"/>
  <c r="V141" i="1"/>
  <c r="V133" i="1"/>
  <c r="V125" i="1"/>
  <c r="V117" i="1"/>
  <c r="V109" i="1"/>
  <c r="V101" i="1"/>
  <c r="V93" i="1"/>
  <c r="V85" i="1"/>
  <c r="V77" i="1"/>
  <c r="V69" i="1"/>
  <c r="V61" i="1"/>
  <c r="V53" i="1"/>
  <c r="V45" i="1"/>
  <c r="V37" i="1"/>
  <c r="V29" i="1"/>
  <c r="V21" i="1"/>
  <c r="V13" i="1"/>
  <c r="V5" i="1"/>
  <c r="T384" i="1"/>
  <c r="V389" i="1" l="1"/>
  <c r="V388" i="1"/>
  <c r="C20" i="3"/>
  <c r="C21" i="3"/>
</calcChain>
</file>

<file path=xl/sharedStrings.xml><?xml version="1.0" encoding="utf-8"?>
<sst xmlns="http://schemas.openxmlformats.org/spreadsheetml/2006/main" count="2772" uniqueCount="863">
  <si>
    <t>ID</t>
  </si>
  <si>
    <t>Region Code</t>
  </si>
  <si>
    <t>Region</t>
  </si>
  <si>
    <t>Area Code</t>
  </si>
  <si>
    <t>Area</t>
  </si>
  <si>
    <t xml:space="preserve"> Electorate </t>
  </si>
  <si>
    <t xml:space="preserve"> Expected Ballots </t>
  </si>
  <si>
    <t xml:space="preserve"> Verified Ballot Papers </t>
  </si>
  <si>
    <t>Percent Turnout</t>
  </si>
  <si>
    <t xml:space="preserve"> Votes Cast </t>
  </si>
  <si>
    <t xml:space="preserve"> Valid Votes </t>
  </si>
  <si>
    <t xml:space="preserve"> Remain </t>
  </si>
  <si>
    <t xml:space="preserve"> Leave </t>
  </si>
  <si>
    <t xml:space="preserve"> Rejected Ballots </t>
  </si>
  <si>
    <t xml:space="preserve"> No Official Mark </t>
  </si>
  <si>
    <t xml:space="preserve"> Multiple Marks </t>
  </si>
  <si>
    <t xml:space="preserve"> Writing or Mark </t>
  </si>
  <si>
    <t xml:space="preserve"> Unmarked or Void </t>
  </si>
  <si>
    <t>Percent Remain</t>
  </si>
  <si>
    <t>Percent Leave</t>
  </si>
  <si>
    <t>Percent Rejected</t>
  </si>
  <si>
    <t>E12000001</t>
  </si>
  <si>
    <t>North East</t>
  </si>
  <si>
    <t>E08000037</t>
  </si>
  <si>
    <t>Gateshead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</si>
  <si>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</si>
  <si>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</si>
  <si>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</si>
  <si>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</si>
  <si>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</si>
  <si>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</si>
  <si>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</si>
  <si>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</si>
  <si>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E06000001</t>
  </si>
  <si>
    <t>Hartlepool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</si>
  <si>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</si>
  <si>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</si>
  <si>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</si>
  <si>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</si>
  <si>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</si>
  <si>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</si>
  <si>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</si>
  <si>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</si>
  <si>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E06000047</t>
  </si>
  <si>
    <t>County Durham</t>
  </si>
  <si>
    <t>E06000057</t>
  </si>
  <si>
    <t>Northumberland</t>
  </si>
  <si>
    <t>E12000002</t>
  </si>
  <si>
    <t>North West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</si>
  <si>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</si>
  <si>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</si>
  <si>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</si>
  <si>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</si>
  <si>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</si>
  <si>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</si>
  <si>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</si>
  <si>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</si>
  <si>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</si>
  <si>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</si>
  <si>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</si>
  <si>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</si>
  <si>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</si>
  <si>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</si>
  <si>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</si>
  <si>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</si>
  <si>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</si>
  <si>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</si>
  <si>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</si>
  <si>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</si>
  <si>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</si>
  <si>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</si>
  <si>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</si>
  <si>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</si>
  <si>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</si>
  <si>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</si>
  <si>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</si>
  <si>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</si>
  <si>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</si>
  <si>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</si>
  <si>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E06000049</t>
  </si>
  <si>
    <t>Cheshire East</t>
  </si>
  <si>
    <t>E06000006</t>
  </si>
  <si>
    <t>Halton</t>
  </si>
  <si>
    <t>E06000007</t>
  </si>
  <si>
    <t>Warrington</t>
  </si>
  <si>
    <t>E06000050</t>
  </si>
  <si>
    <t>Cheshire West and Chester</t>
  </si>
  <si>
    <t>E06000008</t>
  </si>
  <si>
    <t>Blackburn with Darwen</t>
  </si>
  <si>
    <t>E06000009</t>
  </si>
  <si>
    <t>Blackpool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</si>
  <si>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</si>
  <si>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</si>
  <si>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</si>
  <si>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</si>
  <si>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</si>
  <si>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</si>
  <si>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</si>
  <si>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</si>
  <si>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</si>
  <si>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</si>
  <si>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</si>
  <si>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</si>
  <si>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</si>
  <si>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</si>
  <si>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</si>
  <si>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</si>
  <si>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</si>
  <si>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</si>
  <si>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</si>
  <si>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</si>
  <si>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</si>
  <si>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</si>
  <si>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</si>
  <si>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</si>
  <si>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</si>
  <si>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</si>
  <si>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</si>
  <si>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</si>
  <si>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</si>
  <si>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</si>
  <si>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</si>
  <si>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</si>
  <si>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</si>
  <si>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</si>
  <si>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</si>
  <si>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</si>
  <si>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E12000003</t>
  </si>
  <si>
    <t>Yorkshire and The Humber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</si>
  <si>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</si>
  <si>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</si>
  <si>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</si>
  <si>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</si>
  <si>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</si>
  <si>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</si>
  <si>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</si>
  <si>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</si>
  <si>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</si>
  <si>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</si>
  <si>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</si>
  <si>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</si>
  <si>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</si>
  <si>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</si>
  <si>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</si>
  <si>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</si>
  <si>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</si>
  <si>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</si>
  <si>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</si>
  <si>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</si>
  <si>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</si>
  <si>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</si>
  <si>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</si>
  <si>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</si>
  <si>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</si>
  <si>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</si>
  <si>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</si>
  <si>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</si>
  <si>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</si>
  <si>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</si>
  <si>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</si>
  <si>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</si>
  <si>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</si>
  <si>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</si>
  <si>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</si>
  <si>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</si>
  <si>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</si>
  <si>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</si>
  <si>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</si>
  <si>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</si>
  <si>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</si>
  <si>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</si>
  <si>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E12000004</t>
  </si>
  <si>
    <t>East Midlands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</si>
  <si>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</si>
  <si>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</si>
  <si>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</si>
  <si>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</si>
  <si>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</si>
  <si>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</si>
  <si>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</si>
  <si>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</si>
  <si>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</si>
  <si>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</si>
  <si>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</si>
  <si>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</si>
  <si>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</si>
  <si>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</si>
  <si>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</si>
  <si>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</si>
  <si>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</si>
  <si>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</si>
  <si>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</si>
  <si>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</si>
  <si>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</si>
  <si>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</si>
  <si>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</si>
  <si>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</si>
  <si>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</si>
  <si>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</si>
  <si>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</si>
  <si>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</si>
  <si>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</si>
  <si>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</si>
  <si>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</si>
  <si>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</si>
  <si>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</si>
  <si>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</si>
  <si>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</si>
  <si>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</si>
  <si>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</si>
  <si>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</si>
  <si>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</si>
  <si>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</si>
  <si>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</si>
  <si>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</si>
  <si>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</si>
  <si>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</si>
  <si>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</si>
  <si>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</si>
  <si>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</si>
  <si>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</si>
  <si>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</si>
  <si>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</si>
  <si>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</si>
  <si>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</si>
  <si>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</si>
  <si>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</si>
  <si>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</si>
  <si>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</si>
  <si>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</si>
  <si>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</si>
  <si>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</si>
  <si>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</si>
  <si>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</si>
  <si>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</si>
  <si>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</si>
  <si>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</si>
  <si>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</si>
  <si>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</si>
  <si>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</si>
  <si>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</si>
  <si>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</si>
  <si>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</si>
  <si>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</si>
  <si>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</si>
  <si>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</si>
  <si>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</si>
  <si>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</si>
  <si>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</si>
  <si>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</si>
  <si>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</si>
  <si>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</si>
  <si>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</si>
  <si>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E12000005</t>
  </si>
  <si>
    <t>West Midlands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</si>
  <si>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</si>
  <si>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</si>
  <si>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</si>
  <si>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</si>
  <si>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</si>
  <si>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</si>
  <si>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</si>
  <si>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</si>
  <si>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</si>
  <si>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</si>
  <si>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</si>
  <si>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</si>
  <si>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</si>
  <si>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</si>
  <si>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E06000019</t>
  </si>
  <si>
    <t>Herefordshire, County of</t>
  </si>
  <si>
    <t>E06000020</t>
  </si>
  <si>
    <t>Telford and Wrekin</t>
  </si>
  <si>
    <t>E06000051</t>
  </si>
  <si>
    <t>Shropshire</t>
  </si>
  <si>
    <t>E06000021</t>
  </si>
  <si>
    <t>Stoke-on-Trent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</si>
  <si>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</si>
  <si>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</si>
  <si>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</si>
  <si>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</si>
  <si>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</si>
  <si>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</si>
  <si>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</si>
  <si>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</si>
  <si>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</si>
  <si>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</si>
  <si>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</si>
  <si>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</si>
  <si>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</si>
  <si>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</si>
  <si>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</si>
  <si>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</si>
  <si>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</si>
  <si>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</si>
  <si>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</si>
  <si>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</si>
  <si>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</si>
  <si>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</si>
  <si>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</si>
  <si>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</si>
  <si>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</si>
  <si>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</si>
  <si>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</si>
  <si>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</si>
  <si>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</si>
  <si>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</si>
  <si>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</si>
  <si>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</si>
  <si>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</si>
  <si>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</si>
  <si>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</si>
  <si>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</si>
  <si>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</si>
  <si>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</si>
  <si>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E12000006</t>
  </si>
  <si>
    <t>East</t>
  </si>
  <si>
    <t>E06000031</t>
  </si>
  <si>
    <t>Peterborough</t>
  </si>
  <si>
    <t>E06000032</t>
  </si>
  <si>
    <t>Luton</t>
  </si>
  <si>
    <t>E06000055</t>
  </si>
  <si>
    <t>Bedford</t>
  </si>
  <si>
    <t>E06000056</t>
  </si>
  <si>
    <t>Central Bedfordshire</t>
  </si>
  <si>
    <t>E06000033</t>
  </si>
  <si>
    <t>Southend-on-Sea</t>
  </si>
  <si>
    <t>E06000034</t>
  </si>
  <si>
    <t>Thurrock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</si>
  <si>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</si>
  <si>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</si>
  <si>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</si>
  <si>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</si>
  <si>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</si>
  <si>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</si>
  <si>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</si>
  <si>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</si>
  <si>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</si>
  <si>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</si>
  <si>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</si>
  <si>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</si>
  <si>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</si>
  <si>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</si>
  <si>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</si>
  <si>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</si>
  <si>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</si>
  <si>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</si>
  <si>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</si>
  <si>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</si>
  <si>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</si>
  <si>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</si>
  <si>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</si>
  <si>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</si>
  <si>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</si>
  <si>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</si>
  <si>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</si>
  <si>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</si>
  <si>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</si>
  <si>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</si>
  <si>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</si>
  <si>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</si>
  <si>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</si>
  <si>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</si>
  <si>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E07000095</t>
  </si>
  <si>
    <t>Broxbourne</t>
  </si>
  <si>
    <t>E07000096</t>
  </si>
  <si>
    <t>Dacorum</t>
  </si>
  <si>
    <t>E07000242</t>
  </si>
  <si>
    <t>East Hertfordshire</t>
  </si>
  <si>
    <t>E07000098</t>
  </si>
  <si>
    <t>Hertsmere</t>
  </si>
  <si>
    <t>E07000099</t>
  </si>
  <si>
    <t>North Hertfordshire</t>
  </si>
  <si>
    <t>E07000240</t>
  </si>
  <si>
    <t>St Albans</t>
  </si>
  <si>
    <t>E07000243</t>
  </si>
  <si>
    <t>Stevenage</t>
  </si>
  <si>
    <t>E07000102</t>
  </si>
  <si>
    <t>Three Rivers</t>
  </si>
  <si>
    <t>E07000103</t>
  </si>
  <si>
    <t>Watford</t>
  </si>
  <si>
    <t>E07000241</t>
  </si>
  <si>
    <t>Welwyn Hatfield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</si>
  <si>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</si>
  <si>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</si>
  <si>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</si>
  <si>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</si>
  <si>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</si>
  <si>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</si>
  <si>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</si>
  <si>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</si>
  <si>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</si>
  <si>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</si>
  <si>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</si>
  <si>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</si>
  <si>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</si>
  <si>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</si>
  <si>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E07000200</t>
  </si>
  <si>
    <t>Babergh</t>
  </si>
  <si>
    <t>E07000201</t>
  </si>
  <si>
    <t>Forest Heath</t>
  </si>
  <si>
    <t>E07000202</t>
  </si>
  <si>
    <t>Ipswich</t>
  </si>
  <si>
    <t>E07000203</t>
  </si>
  <si>
    <t>Mid Suffolk</t>
  </si>
  <si>
    <t>E07000204</t>
  </si>
  <si>
    <t>St Edmundsbury</t>
  </si>
  <si>
    <t>E07000205</t>
  </si>
  <si>
    <t>Suffolk Coastal</t>
  </si>
  <si>
    <t>E07000206</t>
  </si>
  <si>
    <t>Waveney</t>
  </si>
  <si>
    <t>E12000007</t>
  </si>
  <si>
    <t>London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</si>
  <si>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</si>
  <si>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</si>
  <si>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</si>
  <si>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</si>
  <si>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</si>
  <si>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</si>
  <si>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</si>
  <si>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</si>
  <si>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</si>
  <si>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</si>
  <si>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</si>
  <si>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</si>
  <si>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</si>
  <si>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</si>
  <si>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</si>
  <si>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</si>
  <si>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</si>
  <si>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</si>
  <si>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</si>
  <si>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</si>
  <si>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</si>
  <si>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</si>
  <si>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</si>
  <si>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</si>
  <si>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</si>
  <si>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</si>
  <si>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</si>
  <si>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</si>
  <si>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</si>
  <si>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</si>
  <si>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</si>
  <si>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</si>
  <si>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</si>
  <si>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</si>
  <si>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</si>
  <si>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</si>
  <si>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</si>
  <si>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</si>
  <si>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</si>
  <si>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</si>
  <si>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</si>
  <si>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</si>
  <si>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</si>
  <si>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</si>
  <si>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</si>
  <si>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</si>
  <si>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</si>
  <si>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</si>
  <si>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</si>
  <si>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</si>
  <si>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</si>
  <si>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</si>
  <si>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</si>
  <si>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</si>
  <si>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</si>
  <si>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</si>
  <si>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</si>
  <si>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</si>
  <si>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</si>
  <si>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</si>
  <si>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</si>
  <si>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</si>
  <si>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</si>
  <si>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</si>
  <si>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</si>
  <si>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</si>
  <si>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E12000008</t>
  </si>
  <si>
    <t>South East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</si>
  <si>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</si>
  <si>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</si>
  <si>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</si>
  <si>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</si>
  <si>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</si>
  <si>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</si>
  <si>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</si>
  <si>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</si>
  <si>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</si>
  <si>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</si>
  <si>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</si>
  <si>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</si>
  <si>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</si>
  <si>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</si>
  <si>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</si>
  <si>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</si>
  <si>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</si>
  <si>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</si>
  <si>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</si>
  <si>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</si>
  <si>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</si>
  <si>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</si>
  <si>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</si>
  <si>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</si>
  <si>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</si>
  <si>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</si>
  <si>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</si>
  <si>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</si>
  <si>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</si>
  <si>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</si>
  <si>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</si>
  <si>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</si>
  <si>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</si>
  <si>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</si>
  <si>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</si>
  <si>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</si>
  <si>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</si>
  <si>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</si>
  <si>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</si>
  <si>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</si>
  <si>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</si>
  <si>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</si>
  <si>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</si>
  <si>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</si>
  <si>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</si>
  <si>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</si>
  <si>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</si>
  <si>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</si>
  <si>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</si>
  <si>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</si>
  <si>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</si>
  <si>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</si>
  <si>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</si>
  <si>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</si>
  <si>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</si>
  <si>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</si>
  <si>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</si>
  <si>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</si>
  <si>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</si>
  <si>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</si>
  <si>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</si>
  <si>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</si>
  <si>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</si>
  <si>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</si>
  <si>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</si>
  <si>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</si>
  <si>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</si>
  <si>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</si>
  <si>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</si>
  <si>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</si>
  <si>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</si>
  <si>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</si>
  <si>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</si>
  <si>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</si>
  <si>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</si>
  <si>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</si>
  <si>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</si>
  <si>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</si>
  <si>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</si>
  <si>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Shepway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</si>
  <si>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</si>
  <si>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</si>
  <si>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</si>
  <si>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</si>
  <si>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</si>
  <si>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</si>
  <si>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</si>
  <si>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</si>
  <si>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</si>
  <si>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</si>
  <si>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</si>
  <si>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</si>
  <si>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</si>
  <si>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</si>
  <si>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</si>
  <si>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</si>
  <si>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</si>
  <si>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</si>
  <si>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</si>
  <si>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</si>
  <si>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</si>
  <si>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</si>
  <si>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</si>
  <si>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</si>
  <si>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</si>
  <si>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</si>
  <si>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</si>
  <si>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</si>
  <si>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</si>
  <si>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</si>
  <si>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</si>
  <si>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</si>
  <si>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</si>
  <si>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</si>
  <si>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</si>
  <si>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</si>
  <si>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</si>
  <si>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</si>
  <si>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</si>
  <si>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</si>
  <si>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</si>
  <si>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</si>
  <si>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</si>
  <si>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</si>
  <si>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</si>
  <si>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</si>
  <si>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</si>
  <si>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</si>
  <si>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</si>
  <si>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</si>
  <si>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</si>
  <si>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</si>
  <si>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</si>
  <si>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</si>
  <si>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E12000009</t>
  </si>
  <si>
    <t>South West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</si>
  <si>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</si>
  <si>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</si>
  <si>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</si>
  <si>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</si>
  <si>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</si>
  <si>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</si>
  <si>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</si>
  <si>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</si>
  <si>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E06000052</t>
  </si>
  <si>
    <t>Cornwall</t>
  </si>
  <si>
    <t>E06000053</t>
  </si>
  <si>
    <t>Isles of Scilly</t>
  </si>
  <si>
    <t>E06000026</t>
  </si>
  <si>
    <t>Plymouth</t>
  </si>
  <si>
    <t>E06000027</t>
  </si>
  <si>
    <t>Torbay</t>
  </si>
  <si>
    <t>E06000028</t>
  </si>
  <si>
    <t>Bournemouth</t>
  </si>
  <si>
    <t>E06000029</t>
  </si>
  <si>
    <t>Poole</t>
  </si>
  <si>
    <t>E06000030</t>
  </si>
  <si>
    <t>Swindon</t>
  </si>
  <si>
    <t>E06000054</t>
  </si>
  <si>
    <t>Wiltshire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</si>
  <si>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</si>
  <si>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</si>
  <si>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</si>
  <si>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</si>
  <si>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</si>
  <si>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</si>
  <si>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</si>
  <si>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</si>
  <si>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</si>
  <si>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</si>
  <si>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</si>
  <si>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</si>
  <si>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</si>
  <si>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</si>
  <si>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</si>
  <si>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</si>
  <si>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E07000048</t>
  </si>
  <si>
    <t>Christchurch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</si>
  <si>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</si>
  <si>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</si>
  <si>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</si>
  <si>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</si>
  <si>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</si>
  <si>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</si>
  <si>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</si>
  <si>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</si>
  <si>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</si>
  <si>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</si>
  <si>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</si>
  <si>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</si>
  <si>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</si>
  <si>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</si>
  <si>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</si>
  <si>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</si>
  <si>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</si>
  <si>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</si>
  <si>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</si>
  <si>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</si>
  <si>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</si>
  <si>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</si>
  <si>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E07000187</t>
  </si>
  <si>
    <t>Mendip</t>
  </si>
  <si>
    <t>E07000188</t>
  </si>
  <si>
    <t>Sedgemoor</t>
  </si>
  <si>
    <t>E07000189</t>
  </si>
  <si>
    <t>South Somerset</t>
  </si>
  <si>
    <t>E07000190</t>
  </si>
  <si>
    <t>Taunton Deane</t>
  </si>
  <si>
    <t>E07000191</t>
  </si>
  <si>
    <t>West Somerset</t>
  </si>
  <si>
    <t>GI</t>
  </si>
  <si>
    <t>Gibraltar</t>
  </si>
  <si>
    <t>N92000002</t>
  </si>
  <si>
    <t>Northern Ireland</t>
  </si>
  <si>
    <t>S92000003</t>
  </si>
  <si>
    <t>Scotland</t>
  </si>
  <si>
    <t>S12000033</t>
  </si>
  <si>
    <t>Aberdeen City</t>
  </si>
  <si>
    <t>S12000034</t>
  </si>
  <si>
    <t>Aberdeenshire</t>
  </si>
  <si>
    <t>S12000041</t>
  </si>
  <si>
    <t>Angus</t>
  </si>
  <si>
    <t>S12000035</t>
  </si>
  <si>
    <t>Argyll and Bute</t>
  </si>
  <si>
    <t>S12000026</t>
  </si>
  <si>
    <t>Scottish Borders</t>
  </si>
  <si>
    <t>S12000005</t>
  </si>
  <si>
    <t>Clackmannanshire</t>
  </si>
  <si>
    <t>S12000039</t>
  </si>
  <si>
    <t>West Dunbartonshire</t>
  </si>
  <si>
    <t>S12000006</t>
  </si>
  <si>
    <t>Dumfries and Galloway</t>
  </si>
  <si>
    <t>S12000042</t>
  </si>
  <si>
    <t>Dundee City</t>
  </si>
  <si>
    <t>S12000008</t>
  </si>
  <si>
    <t>East Ayrshire</t>
  </si>
  <si>
    <t>S12000045</t>
  </si>
  <si>
    <t>East Dunbartonshire</t>
  </si>
  <si>
    <t>S12000010</t>
  </si>
  <si>
    <t>East Lothian</t>
  </si>
  <si>
    <t>S12000011</t>
  </si>
  <si>
    <t>East Renfrewshire</t>
  </si>
  <si>
    <t>S12000036</t>
  </si>
  <si>
    <t>City of Edinburgh</t>
  </si>
  <si>
    <t>S12000014</t>
  </si>
  <si>
    <t>Falkirk</t>
  </si>
  <si>
    <t>S12000015</t>
  </si>
  <si>
    <t>Fife</t>
  </si>
  <si>
    <t>S12000046</t>
  </si>
  <si>
    <t>Glasgow City</t>
  </si>
  <si>
    <t>S12000017</t>
  </si>
  <si>
    <t>Highland</t>
  </si>
  <si>
    <t>S12000018</t>
  </si>
  <si>
    <t>Inverclyde</t>
  </si>
  <si>
    <t>S12000019</t>
  </si>
  <si>
    <t>Midlothian</t>
  </si>
  <si>
    <t>S12000020</t>
  </si>
  <si>
    <t>Moray</t>
  </si>
  <si>
    <t>S12000021</t>
  </si>
  <si>
    <t>North Ayrshire</t>
  </si>
  <si>
    <t>S12000044</t>
  </si>
  <si>
    <t>North Lanarkshire</t>
  </si>
  <si>
    <t>S12000023</t>
  </si>
  <si>
    <t>Orkney Islands</t>
  </si>
  <si>
    <t>S12000024</t>
  </si>
  <si>
    <t>Perth and Kinross</t>
  </si>
  <si>
    <t>S12000038</t>
  </si>
  <si>
    <t>Renfrewshire</t>
  </si>
  <si>
    <t>S12000027</t>
  </si>
  <si>
    <t>Shetland Islands</t>
  </si>
  <si>
    <t>S12000028</t>
  </si>
  <si>
    <t>South Ayrshire</t>
  </si>
  <si>
    <t>S12000029</t>
  </si>
  <si>
    <t>South Lanarkshire</t>
  </si>
  <si>
    <t>S12000030</t>
  </si>
  <si>
    <t>Stirling</t>
  </si>
  <si>
    <t>S12000040</t>
  </si>
  <si>
    <t>West Lothian</t>
  </si>
  <si>
    <t>S12000013</t>
  </si>
  <si>
    <t>Eilean Siar</t>
  </si>
  <si>
    <t>W92000004</t>
  </si>
  <si>
    <t>Wales</t>
  </si>
  <si>
    <t>W06000001</t>
  </si>
  <si>
    <t>Isle of Anglesey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</si>
  <si>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</si>
  <si>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</si>
  <si>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</si>
  <si>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</si>
  <si>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</si>
  <si>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</si>
  <si>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</si>
  <si>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</si>
  <si>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</si>
  <si>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</si>
  <si>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W06000023</t>
  </si>
  <si>
    <t>Powys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</si>
  <si>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</si>
  <si>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</si>
  <si>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</si>
  <si>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</si>
  <si>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</si>
  <si>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</si>
  <si>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</si>
  <si>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</si>
  <si>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</si>
  <si>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</si>
  <si>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</si>
  <si>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>Bridgend</t>
  </si>
  <si>
    <t>W06000014</t>
  </si>
  <si>
    <t>Vale of Glamorgan</t>
  </si>
  <si>
    <t>W06000016</t>
  </si>
  <si>
    <t>Rhondda Cynon Taf</t>
  </si>
  <si>
    <t>W06000024</t>
  </si>
  <si>
    <t>Merthyr Tydfil</t>
  </si>
  <si>
    <t>W06000018</t>
  </si>
  <si>
    <t>Caerphilly</t>
  </si>
  <si>
    <t>W06000019</t>
  </si>
  <si>
    <t>Blaenau Gwent</t>
  </si>
  <si>
    <t>W06000020</t>
  </si>
  <si>
    <t>Torfaen</t>
  </si>
  <si>
    <t>W06000021</t>
  </si>
  <si>
    <t>Monmouthshire</t>
  </si>
  <si>
    <t>W06000022</t>
  </si>
  <si>
    <t>Newport</t>
  </si>
  <si>
    <t>W06000015</t>
  </si>
  <si>
    <t>Cardiff</t>
  </si>
  <si>
    <t>Type</t>
  </si>
  <si>
    <t>Code</t>
  </si>
  <si>
    <t>All Residents</t>
  </si>
  <si>
    <t>Age 0 to 4</t>
  </si>
  <si>
    <t>Age 5 to 9</t>
  </si>
  <si>
    <t>Age 10 to 14</t>
  </si>
  <si>
    <t>Age 15 to 19</t>
  </si>
  <si>
    <t>Age 20 to 24</t>
  </si>
  <si>
    <t>Age 25 to 29</t>
  </si>
  <si>
    <t>Age 30 to 34</t>
  </si>
  <si>
    <t>Age 35 to 39</t>
  </si>
  <si>
    <t>Age 40 to 44</t>
  </si>
  <si>
    <t>Age 45 to 49</t>
  </si>
  <si>
    <t>Age 50 to 54</t>
  </si>
  <si>
    <t>Age 55 to 59</t>
  </si>
  <si>
    <t>Age 60 to 64</t>
  </si>
  <si>
    <t>Age 65 to 69</t>
  </si>
  <si>
    <t>Age 70 to 74</t>
  </si>
  <si>
    <t>Age 75 to 79</t>
  </si>
  <si>
    <t>Age 80 to 84</t>
  </si>
  <si>
    <t>Age 85 to 89</t>
  </si>
  <si>
    <t>Age 90 and Over</t>
  </si>
  <si>
    <t>Country</t>
  </si>
  <si>
    <t>England and Wales District</t>
  </si>
  <si>
    <t>E06000048</t>
  </si>
  <si>
    <t>E07000097</t>
  </si>
  <si>
    <t>E07000100</t>
  </si>
  <si>
    <t>E07000101</t>
  </si>
  <si>
    <t>E07000104</t>
  </si>
  <si>
    <t>E08000020</t>
  </si>
  <si>
    <t>Scotland District</t>
  </si>
  <si>
    <t>SUM</t>
  </si>
  <si>
    <t>AVERAGE</t>
  </si>
  <si>
    <t>Totals</t>
  </si>
  <si>
    <t>Grand Total</t>
  </si>
  <si>
    <t>Resoluton</t>
  </si>
  <si>
    <t>COUNTIF</t>
  </si>
  <si>
    <t xml:space="preserve">Total Leave Areas </t>
  </si>
  <si>
    <t xml:space="preserve">Total Remain Areas </t>
  </si>
  <si>
    <t>Region ID</t>
  </si>
  <si>
    <t>Total Leave Votes</t>
  </si>
  <si>
    <t>Total Remain Votes</t>
  </si>
  <si>
    <t>Turnout</t>
  </si>
  <si>
    <t>A summary of how UK voted is detailed below. The Leavers won the referendeum by 52.99% (total of 17.4m votes) over the remainers who had 47.01% (16.1m votes) with voter turnout of about 74%</t>
  </si>
  <si>
    <t>Percent Remainers</t>
  </si>
  <si>
    <t>Percent Leavers</t>
  </si>
  <si>
    <t>Further Analysis indicates that a total of 263 Areas voted to leave the EU as against 119 Areas that voted to remain as shown below</t>
  </si>
  <si>
    <t>Remain Votes</t>
  </si>
  <si>
    <t>Leave Votes</t>
  </si>
  <si>
    <t>Residents Age &gt;=20</t>
  </si>
  <si>
    <t>%  Remain Votes</t>
  </si>
  <si>
    <t>% Leave Votes</t>
  </si>
  <si>
    <t>% Vote Turnout</t>
  </si>
  <si>
    <t>Latitude</t>
  </si>
  <si>
    <t>Longitude</t>
  </si>
  <si>
    <t>2011 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</si>
</sst>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7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Font="1"/>
    <xf numFmtId="10" fontId="0" fillId="0" borderId="0" xfId="0" applyNumberFormat="1"/>
    <xf numFmtId="10" fontId="0" fillId="0" borderId="0" xfId="1" applyNumberFormat="1" applyFont="1"/>
    <xf numFmtId="10" fontId="0" fillId="0" borderId="0" xfId="0" applyNumberFormat="1" applyFont="1"/>
    <xf numFmtId="0" fontId="2" fillId="0" borderId="0" xfId="0" applyFont="1"/>
    <xf numFmtId="0" fontId="0" fillId="2" borderId="0" xfId="0" applyFill="1"/>
    <xf numFmtId="3" fontId="2" fillId="3" borderId="0" xfId="0" applyNumberFormat="1" applyFont="1" applyFill="1"/>
    <xf numFmtId="9" fontId="2" fillId="3" borderId="0" xfId="1" applyFont="1" applyFill="1"/>
    <xf numFmtId="10" fontId="0" fillId="0" borderId="1" xfId="1" applyNumberFormat="1" applyFont="1" applyBorder="1"/>
    <xf numFmtId="0" fontId="2" fillId="0" borderId="0" xfId="0" applyFont="1" applyAlignment="1">
      <alignment wrapText="1"/>
    </xf>
    <xf numFmtId="0" fontId="2" fillId="0" borderId="0" xfId="0" applyFont="1" applyAlignment="1"/>
  </cellXfs>
  <cellStyles count="2">
    <cellStyle name="Normal" xfId="0" builtinId="0"/>
    <cellStyle name="Percent" xfId="1" builtinId="5"/>
  </cellStyles>
  <dxfs count="59"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tty Adesalu" refreshedDate="44588.51549189815" createdVersion="7" refreshedVersion="7" minRefreshableVersion="3" recordCount="382" xr:uid="{06F92FAF-52FF-47A1-9D79-BD492FE87081}">
  <cacheSource type="worksheet">
    <worksheetSource name="Table1"/>
  </cacheSource>
  <cacheFields count="22">
    <cacheField name="ID" numFmtId="0">
      <sharedItems containsSemiMixedTypes="0" containsString="0" containsNumber="1" containsInteger="1" minValue="1" maxValue="382"/>
    </cacheField>
    <cacheField name="Region Code" numFmtId="0">
      <sharedItems count="12">
        <s v="E12000001"/>
        <s v="E12000002"/>
        <s v="E12000003"/>
        <s v="E12000004"/>
        <s v="E12000005"/>
        <s v="E12000006"/>
        <s v="E12000007"/>
        <s v="E12000008"/>
        <s v="E12000009"/>
        <s v="N92000002"/>
        <s v="S92000003"/>
        <s v="W92000004"/>
      </sharedItems>
    </cacheField>
    <cacheField name="Region" numFmtId="0">
      <sharedItems count="12">
        <s v="North East"/>
        <s v="North West"/>
        <s v="Yorkshire and The Humber"/>
        <s v="East Midlands"/>
        <s v="West Midlands"/>
        <s v="East"/>
        <s v="London"/>
        <s v="South East"/>
        <s v="South West"/>
        <s v="Northern Ireland"/>
        <s v="Scotland"/>
        <s v="Wales"/>
      </sharedItems>
    </cacheField>
    <cacheField name="Area Code" numFmtId="0">
      <sharedItems/>
    </cacheField>
    <cacheField name="Area" numFmtId="0">
      <sharedItems/>
    </cacheField>
    <cacheField name=" Electorate " numFmtId="3">
      <sharedItems containsSemiMixedTypes="0" containsString="0" containsNumber="1" containsInteger="1" minValue="1799" maxValue="1260955"/>
    </cacheField>
    <cacheField name=" Expected Ballots " numFmtId="3">
      <sharedItems containsSemiMixedTypes="0" containsString="0" containsNumber="1" containsInteger="1" minValue="1424" maxValue="790647"/>
    </cacheField>
    <cacheField name=" Verified Ballot Papers " numFmtId="3">
      <sharedItems containsSemiMixedTypes="0" containsString="0" containsNumber="1" containsInteger="1" minValue="1424" maxValue="790523"/>
    </cacheField>
    <cacheField name="Percent Turnout" numFmtId="10">
      <sharedItems containsSemiMixedTypes="0" containsString="0" containsNumber="1" minValue="0.56246470700702078" maxValue="0.83635308263194996"/>
    </cacheField>
    <cacheField name=" Votes Cast " numFmtId="3">
      <sharedItems containsSemiMixedTypes="0" containsString="0" containsNumber="1" containsInteger="1" minValue="1424" maxValue="790523"/>
    </cacheField>
    <cacheField name=" Valid Votes " numFmtId="3">
      <sharedItems containsSemiMixedTypes="0" containsString="0" containsNumber="1" containsInteger="1" minValue="1424" maxValue="790149"/>
    </cacheField>
    <cacheField name=" Remain " numFmtId="0">
      <sharedItems containsSemiMixedTypes="0" containsString="0" containsNumber="1" containsInteger="1" minValue="803" maxValue="440707"/>
    </cacheField>
    <cacheField name=" Leave " numFmtId="0">
      <sharedItems containsSemiMixedTypes="0" containsString="0" containsNumber="1" containsInteger="1" minValue="621" maxValue="349442"/>
    </cacheField>
    <cacheField name=" Rejected Ballots " numFmtId="0">
      <sharedItems containsSemiMixedTypes="0" containsString="0" containsNumber="1" containsInteger="1" minValue="0" maxValue="614"/>
    </cacheField>
    <cacheField name=" No Official Mark " numFmtId="0">
      <sharedItems containsSemiMixedTypes="0" containsString="0" containsNumber="1" containsInteger="1" minValue="0" maxValue="39"/>
    </cacheField>
    <cacheField name=" Multiple Marks " numFmtId="0">
      <sharedItems containsSemiMixedTypes="0" containsString="0" containsNumber="1" containsInteger="1" minValue="0" maxValue="311"/>
    </cacheField>
    <cacheField name=" Writing or Mark " numFmtId="0">
      <sharedItems containsSemiMixedTypes="0" containsString="0" containsNumber="1" containsInteger="1" minValue="0" maxValue="35"/>
    </cacheField>
    <cacheField name=" Unmarked or Void " numFmtId="0">
      <sharedItems containsSemiMixedTypes="0" containsString="0" containsNumber="1" containsInteger="1" minValue="0" maxValue="286"/>
    </cacheField>
    <cacheField name="Percent Remain" numFmtId="10">
      <sharedItems containsSemiMixedTypes="0" containsString="0" containsNumber="1" minValue="0.24437574003420603" maxValue="0.95914619012161828"/>
    </cacheField>
    <cacheField name="Percent Leave" numFmtId="10">
      <sharedItems containsSemiMixedTypes="0" containsString="0" containsNumber="1" minValue="4.0853809878381733E-2" maxValue="0.75562425996579397"/>
    </cacheField>
    <cacheField name="Percent Rejected" numFmtId="10">
      <sharedItems containsSemiMixedTypes="0" containsString="0" containsNumber="1" minValue="0" maxValue="2.4047607083635424E-3"/>
    </cacheField>
    <cacheField name="Resolut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2">
  <r>
    <n v="1"/>
    <x v="0"/>
    <x v="0"/>
    <s v="E08000037"/>
    <s v="Gateshead"/>
    <n v="145866"/>
    <n v="103009"/>
    <n v="103007"/>
    <n v="0.70617553096677776"/>
    <n v="103007"/>
    <n v="102958"/>
    <n v="44429"/>
    <n v="58529"/>
    <n v="49"/>
    <n v="0"/>
    <n v="13"/>
    <n v="3"/>
    <n v="33"/>
    <n v="0.43152547640785566"/>
    <n v="0.56847452359214434"/>
    <n v="4.7569582649722834E-4"/>
    <s v="Leave"/>
  </r>
  <r>
    <n v="2"/>
    <x v="0"/>
    <x v="0"/>
    <s v="E08000021"/>
    <s v="Newcastle upon Tyne"/>
    <n v="190735"/>
    <n v="129072"/>
    <n v="129072"/>
    <n v="0.67670852229533118"/>
    <n v="129072"/>
    <n v="129003"/>
    <n v="65405"/>
    <n v="63598"/>
    <n v="69"/>
    <n v="0"/>
    <n v="20"/>
    <n v="5"/>
    <n v="44"/>
    <n v="0.50700371309194359"/>
    <n v="0.49299628690805641"/>
    <n v="5.3458534771290444E-4"/>
    <s v="Remain"/>
  </r>
  <r>
    <n v="3"/>
    <x v="0"/>
    <x v="0"/>
    <s v="E08000022"/>
    <s v="North Tyneside"/>
    <n v="156993"/>
    <n v="113527"/>
    <n v="113507"/>
    <n v="0.72300675826310723"/>
    <n v="113507"/>
    <n v="113462"/>
    <n v="52873"/>
    <n v="60589"/>
    <n v="45"/>
    <n v="0"/>
    <n v="17"/>
    <n v="3"/>
    <n v="25"/>
    <n v="0.46599742645114661"/>
    <n v="0.53400257354885339"/>
    <n v="3.9645132018289623E-4"/>
    <s v="Leave"/>
  </r>
  <r>
    <n v="4"/>
    <x v="0"/>
    <x v="0"/>
    <s v="E08000023"/>
    <s v="South Tyneside"/>
    <n v="115893"/>
    <n v="79126"/>
    <n v="79117"/>
    <n v="0.68267281026464066"/>
    <n v="79117"/>
    <n v="79079"/>
    <n v="30014"/>
    <n v="49065"/>
    <n v="38"/>
    <n v="0"/>
    <n v="10"/>
    <n v="1"/>
    <n v="27"/>
    <n v="0.37954450612678459"/>
    <n v="0.62045549387321541"/>
    <n v="4.8030132588444961E-4"/>
    <s v="Leave"/>
  </r>
  <r>
    <n v="5"/>
    <x v="0"/>
    <x v="0"/>
    <s v="E08000024"/>
    <s v="Sunderland"/>
    <n v="207221"/>
    <n v="134404"/>
    <n v="134400"/>
    <n v="0.64858291389386213"/>
    <n v="134400"/>
    <n v="134324"/>
    <n v="51930"/>
    <n v="82394"/>
    <n v="76"/>
    <n v="0"/>
    <n v="13"/>
    <n v="2"/>
    <n v="61"/>
    <n v="0.38660254310473186"/>
    <n v="0.61339745689526814"/>
    <n v="5.6547619047619046E-4"/>
    <s v="Leave"/>
  </r>
  <r>
    <n v="6"/>
    <x v="0"/>
    <x v="0"/>
    <s v="E06000001"/>
    <s v="Hartlepool"/>
    <n v="70341"/>
    <n v="46137"/>
    <n v="46134"/>
    <n v="0.65586215720561269"/>
    <n v="46134"/>
    <n v="46100"/>
    <n v="14029"/>
    <n v="32071"/>
    <n v="34"/>
    <n v="0"/>
    <n v="12"/>
    <n v="6"/>
    <n v="16"/>
    <n v="0.3043167028199566"/>
    <n v="0.6956832971800434"/>
    <n v="7.3698356960159536E-4"/>
    <s v="Leave"/>
  </r>
  <r>
    <n v="7"/>
    <x v="0"/>
    <x v="0"/>
    <s v="E06000002"/>
    <s v="Middlesbrough"/>
    <n v="94612"/>
    <n v="61395"/>
    <n v="61393"/>
    <n v="0.64889231809918402"/>
    <n v="61393"/>
    <n v="61358"/>
    <n v="21181"/>
    <n v="40177"/>
    <n v="35"/>
    <n v="0"/>
    <n v="16"/>
    <n v="1"/>
    <n v="18"/>
    <n v="0.34520355943805209"/>
    <n v="0.65479644056194797"/>
    <n v="5.7009756812665942E-4"/>
    <s v="Leave"/>
  </r>
  <r>
    <n v="8"/>
    <x v="0"/>
    <x v="0"/>
    <s v="E06000003"/>
    <s v="Redcar and Cleveland"/>
    <n v="103529"/>
    <n v="72741"/>
    <n v="72741"/>
    <n v="0.70261472630857058"/>
    <n v="72741"/>
    <n v="72714"/>
    <n v="24586"/>
    <n v="48128"/>
    <n v="27"/>
    <n v="0"/>
    <n v="6"/>
    <n v="0"/>
    <n v="21"/>
    <n v="0.33811920675523283"/>
    <n v="0.66188079324476712"/>
    <n v="3.7117993978636534E-4"/>
    <s v="Leave"/>
  </r>
  <r>
    <n v="9"/>
    <x v="0"/>
    <x v="0"/>
    <s v="E06000004"/>
    <s v="Stockton-on-Tees"/>
    <n v="141486"/>
    <n v="100462"/>
    <n v="100460"/>
    <n v="0.71003491511527639"/>
    <n v="100460"/>
    <n v="100415"/>
    <n v="38433"/>
    <n v="61982"/>
    <n v="45"/>
    <n v="2"/>
    <n v="13"/>
    <n v="2"/>
    <n v="28"/>
    <n v="0.38274162226758951"/>
    <n v="0.61725837773241055"/>
    <n v="4.4793947839936294E-4"/>
    <s v="Leave"/>
  </r>
  <r>
    <n v="10"/>
    <x v="0"/>
    <x v="0"/>
    <s v="E06000005"/>
    <s v="Darlington"/>
    <n v="77662"/>
    <n v="55194"/>
    <n v="55195"/>
    <n v="0.7107079395328475"/>
    <n v="55195"/>
    <n v="55166"/>
    <n v="24172"/>
    <n v="30994"/>
    <n v="29"/>
    <n v="0"/>
    <n v="0"/>
    <n v="0"/>
    <n v="29"/>
    <n v="0.43816843708081066"/>
    <n v="0.56183156291918934"/>
    <n v="5.254099103179636E-4"/>
    <s v="Leave"/>
  </r>
  <r>
    <n v="11"/>
    <x v="0"/>
    <x v="0"/>
    <s v="E06000047"/>
    <s v="County Durham"/>
    <n v="389507"/>
    <n v="267577"/>
    <n v="267546"/>
    <n v="0.68688367603149625"/>
    <n v="267546"/>
    <n v="267398"/>
    <n v="113521"/>
    <n v="153877"/>
    <n v="148"/>
    <n v="3"/>
    <n v="35"/>
    <n v="1"/>
    <n v="109"/>
    <n v="0.42453945055684783"/>
    <n v="0.57546054944315217"/>
    <n v="5.5317590246163281E-4"/>
    <s v="Leave"/>
  </r>
  <r>
    <n v="12"/>
    <x v="0"/>
    <x v="0"/>
    <s v="E06000057"/>
    <s v="Northumberland"/>
    <n v="240496"/>
    <n v="178830"/>
    <n v="178815"/>
    <n v="0.74352587984831353"/>
    <n v="178815"/>
    <n v="178721"/>
    <n v="82022"/>
    <n v="96699"/>
    <n v="94"/>
    <n v="3"/>
    <n v="30"/>
    <n v="6"/>
    <n v="55"/>
    <n v="0.45893879286709455"/>
    <n v="0.54106120713290551"/>
    <n v="5.2568296843106003E-4"/>
    <s v="Leave"/>
  </r>
  <r>
    <n v="13"/>
    <x v="1"/>
    <x v="1"/>
    <s v="E08000001"/>
    <s v="Bolton"/>
    <n v="197109"/>
    <n v="138206"/>
    <n v="138180"/>
    <n v="0.701033438351369"/>
    <n v="138180"/>
    <n v="138080"/>
    <n v="57589"/>
    <n v="80491"/>
    <n v="100"/>
    <n v="2"/>
    <n v="43"/>
    <n v="2"/>
    <n v="53"/>
    <n v="0.41706981460023174"/>
    <n v="0.58293018539976826"/>
    <n v="7.2369373281227383E-4"/>
    <s v="Leave"/>
  </r>
  <r>
    <n v="14"/>
    <x v="1"/>
    <x v="1"/>
    <s v="E08000002"/>
    <s v="Bury"/>
    <n v="141600"/>
    <n v="101153"/>
    <n v="101144"/>
    <n v="0.71429378531073451"/>
    <n v="101144"/>
    <n v="101028"/>
    <n v="46354"/>
    <n v="54674"/>
    <n v="116"/>
    <n v="0"/>
    <n v="34"/>
    <n v="10"/>
    <n v="72"/>
    <n v="0.4588232965118581"/>
    <n v="0.54117670348814195"/>
    <n v="1.1468796962746184E-3"/>
    <s v="Leave"/>
  </r>
  <r>
    <n v="15"/>
    <x v="1"/>
    <x v="1"/>
    <s v="E08000003"/>
    <s v="Manchester"/>
    <n v="338064"/>
    <n v="202073"/>
    <n v="202067"/>
    <n v="0.59771818353921147"/>
    <n v="202067"/>
    <n v="201814"/>
    <n v="121823"/>
    <n v="79991"/>
    <n v="253"/>
    <n v="0"/>
    <n v="78"/>
    <n v="0"/>
    <n v="175"/>
    <n v="0.60363998533302943"/>
    <n v="0.39636001466697057"/>
    <n v="1.2520599603101942E-3"/>
    <s v="Remain"/>
  </r>
  <r>
    <n v="16"/>
    <x v="1"/>
    <x v="1"/>
    <s v="E08000004"/>
    <s v="Oldham"/>
    <n v="158084"/>
    <n v="107493"/>
    <n v="107493"/>
    <n v="0.67997393790642946"/>
    <n v="107493"/>
    <n v="107403"/>
    <n v="42034"/>
    <n v="65369"/>
    <n v="90"/>
    <n v="0"/>
    <n v="24"/>
    <n v="2"/>
    <n v="64"/>
    <n v="0.39136709402903086"/>
    <n v="0.6086329059709692"/>
    <n v="8.3726382183025867E-4"/>
    <s v="Leave"/>
  </r>
  <r>
    <n v="17"/>
    <x v="1"/>
    <x v="1"/>
    <s v="E08000005"/>
    <s v="Rochdale"/>
    <n v="156621"/>
    <n v="103319"/>
    <n v="103319"/>
    <n v="0.65967526704592616"/>
    <n v="103319"/>
    <n v="103231"/>
    <n v="41217"/>
    <n v="62014"/>
    <n v="88"/>
    <n v="0"/>
    <n v="48"/>
    <n v="2"/>
    <n v="38"/>
    <n v="0.39926959924828781"/>
    <n v="0.60073040075171213"/>
    <n v="8.517310465645235E-4"/>
    <s v="Leave"/>
  </r>
  <r>
    <n v="18"/>
    <x v="1"/>
    <x v="1"/>
    <s v="E08000006"/>
    <s v="Salford"/>
    <n v="173668"/>
    <n v="109926"/>
    <n v="109926"/>
    <n v="0.6329663495865675"/>
    <n v="109926"/>
    <n v="109815"/>
    <n v="47430"/>
    <n v="62385"/>
    <n v="111"/>
    <n v="0"/>
    <n v="34"/>
    <n v="4"/>
    <n v="73"/>
    <n v="0.43190820926102991"/>
    <n v="0.56809179073897009"/>
    <n v="1.0097702090497243E-3"/>
    <s v="Leave"/>
  </r>
  <r>
    <n v="19"/>
    <x v="1"/>
    <x v="1"/>
    <s v="E08000007"/>
    <s v="Stockport"/>
    <n v="221162"/>
    <n v="163586"/>
    <n v="163584"/>
    <n v="0.73965690308461673"/>
    <n v="163584"/>
    <n v="163489"/>
    <n v="85559"/>
    <n v="77930"/>
    <n v="95"/>
    <n v="0"/>
    <n v="27"/>
    <n v="4"/>
    <n v="64"/>
    <n v="0.52333184495592977"/>
    <n v="0.47666815504407023"/>
    <n v="5.8074139280125199E-4"/>
    <s v="Remain"/>
  </r>
  <r>
    <n v="20"/>
    <x v="1"/>
    <x v="1"/>
    <s v="E08000008"/>
    <s v="Tameside"/>
    <n v="168047"/>
    <n v="111018"/>
    <n v="111016"/>
    <n v="0.6606247061833892"/>
    <n v="111016"/>
    <n v="110947"/>
    <n v="43118"/>
    <n v="67829"/>
    <n v="69"/>
    <n v="0"/>
    <n v="14"/>
    <n v="5"/>
    <n v="50"/>
    <n v="0.38863601539473802"/>
    <n v="0.61136398460526198"/>
    <n v="6.2153203141889456E-4"/>
    <s v="Leave"/>
  </r>
  <r>
    <n v="21"/>
    <x v="1"/>
    <x v="1"/>
    <s v="E08000009"/>
    <s v="Trafford"/>
    <n v="165294"/>
    <n v="125400"/>
    <n v="125400"/>
    <n v="0.75864822679589095"/>
    <n v="125400"/>
    <n v="125311"/>
    <n v="72293"/>
    <n v="53018"/>
    <n v="89"/>
    <n v="0"/>
    <n v="23"/>
    <n v="5"/>
    <n v="61"/>
    <n v="0.57690865127562629"/>
    <n v="0.42309134872437376"/>
    <n v="7.0972886762360444E-4"/>
    <s v="Remain"/>
  </r>
  <r>
    <n v="22"/>
    <x v="1"/>
    <x v="1"/>
    <s v="E08000010"/>
    <s v="Wigan"/>
    <n v="235982"/>
    <n v="163381"/>
    <n v="163381"/>
    <n v="0.69234517886957481"/>
    <n v="163381"/>
    <n v="163273"/>
    <n v="58942"/>
    <n v="104331"/>
    <n v="108"/>
    <n v="7"/>
    <n v="32"/>
    <n v="2"/>
    <n v="67"/>
    <n v="0.36100273774598374"/>
    <n v="0.63899726225401632"/>
    <n v="6.610315764991033E-4"/>
    <s v="Leave"/>
  </r>
  <r>
    <n v="23"/>
    <x v="1"/>
    <x v="1"/>
    <s v="E08000011"/>
    <s v="Knowsley"/>
    <n v="111647"/>
    <n v="70939"/>
    <n v="70937"/>
    <n v="0.63536861715944004"/>
    <n v="70937"/>
    <n v="70903"/>
    <n v="34345"/>
    <n v="36558"/>
    <n v="34"/>
    <n v="4"/>
    <n v="14"/>
    <n v="1"/>
    <n v="15"/>
    <n v="0.48439417231993004"/>
    <n v="0.51560582768006991"/>
    <n v="4.7929853250066961E-4"/>
    <s v="Leave"/>
  </r>
  <r>
    <n v="24"/>
    <x v="1"/>
    <x v="1"/>
    <s v="E08000012"/>
    <s v="Liverpool"/>
    <n v="317924"/>
    <n v="203733"/>
    <n v="203728"/>
    <n v="0.6408072369497112"/>
    <n v="203728"/>
    <n v="203554"/>
    <n v="118453"/>
    <n v="85101"/>
    <n v="174"/>
    <n v="0"/>
    <n v="60"/>
    <n v="4"/>
    <n v="110"/>
    <n v="0.5819242068443754"/>
    <n v="0.41807579315562454"/>
    <n v="8.5407994973690413E-4"/>
    <s v="Remain"/>
  </r>
  <r>
    <n v="25"/>
    <x v="1"/>
    <x v="1"/>
    <s v="E08000013"/>
    <s v="St. Helens"/>
    <n v="136096"/>
    <n v="93730"/>
    <n v="93721"/>
    <n v="0.68863890195156363"/>
    <n v="93721"/>
    <n v="93679"/>
    <n v="39322"/>
    <n v="54357"/>
    <n v="42"/>
    <n v="0"/>
    <n v="13"/>
    <n v="3"/>
    <n v="26"/>
    <n v="0.41975255927155497"/>
    <n v="0.58024744072844503"/>
    <n v="4.4813862421442364E-4"/>
    <s v="Leave"/>
  </r>
  <r>
    <n v="26"/>
    <x v="1"/>
    <x v="1"/>
    <s v="E08000014"/>
    <s v="Sefton"/>
    <n v="206298"/>
    <n v="147970"/>
    <n v="147970"/>
    <n v="0.71726337628091397"/>
    <n v="147970"/>
    <n v="147878"/>
    <n v="76702"/>
    <n v="71176"/>
    <n v="92"/>
    <n v="0"/>
    <n v="26"/>
    <n v="0"/>
    <n v="66"/>
    <n v="0.51868432085908656"/>
    <n v="0.48131567914091344"/>
    <n v="6.217476515509901E-4"/>
    <s v="Remain"/>
  </r>
  <r>
    <n v="27"/>
    <x v="1"/>
    <x v="1"/>
    <s v="E08000015"/>
    <s v="Wirral"/>
    <n v="242568"/>
    <n v="172137"/>
    <n v="172137"/>
    <n v="0.70964430592658556"/>
    <n v="172137"/>
    <n v="172000"/>
    <n v="88931"/>
    <n v="83069"/>
    <n v="137"/>
    <n v="0"/>
    <n v="31"/>
    <n v="4"/>
    <n v="102"/>
    <n v="0.51704069767441863"/>
    <n v="0.48295930232558137"/>
    <n v="7.9587770206289172E-4"/>
    <s v="Remain"/>
  </r>
  <r>
    <n v="28"/>
    <x v="1"/>
    <x v="1"/>
    <s v="E06000049"/>
    <s v="Cheshire East"/>
    <n v="285957"/>
    <n v="221229"/>
    <n v="221229"/>
    <n v="0.77364428917634465"/>
    <n v="221229"/>
    <n v="221125"/>
    <n v="107962"/>
    <n v="113163"/>
    <n v="104"/>
    <n v="19"/>
    <n v="40"/>
    <n v="3"/>
    <n v="42"/>
    <n v="0.48823968343697005"/>
    <n v="0.51176031656303"/>
    <n v="4.7010111694217302E-4"/>
    <s v="Leave"/>
  </r>
  <r>
    <n v="29"/>
    <x v="1"/>
    <x v="1"/>
    <s v="E06000006"/>
    <s v="Halton"/>
    <n v="95289"/>
    <n v="65047"/>
    <n v="65047"/>
    <n v="0.68262863499459536"/>
    <n v="65047"/>
    <n v="65005"/>
    <n v="27678"/>
    <n v="37327"/>
    <n v="42"/>
    <n v="0"/>
    <n v="7"/>
    <n v="1"/>
    <n v="34"/>
    <n v="0.42578263210522266"/>
    <n v="0.57421736789477729"/>
    <n v="6.4568696481006043E-4"/>
    <s v="Leave"/>
  </r>
  <r>
    <n v="30"/>
    <x v="1"/>
    <x v="1"/>
    <s v="E06000007"/>
    <s v="Warrington"/>
    <n v="157042"/>
    <n v="115206"/>
    <n v="115206"/>
    <n v="0.73359992868149926"/>
    <n v="115205"/>
    <n v="115144"/>
    <n v="52657"/>
    <n v="62487"/>
    <n v="61"/>
    <n v="0"/>
    <n v="17"/>
    <n v="1"/>
    <n v="43"/>
    <n v="0.45731431946084905"/>
    <n v="0.54268568053915101"/>
    <n v="5.2949090751269474E-4"/>
    <s v="Leave"/>
  </r>
  <r>
    <n v="31"/>
    <x v="1"/>
    <x v="1"/>
    <s v="E06000050"/>
    <s v="Cheshire West and Chester"/>
    <n v="259878"/>
    <n v="193640"/>
    <n v="193633"/>
    <n v="0.74509192775071376"/>
    <n v="193633"/>
    <n v="193537"/>
    <n v="95455"/>
    <n v="98082"/>
    <n v="96"/>
    <n v="0"/>
    <n v="27"/>
    <n v="11"/>
    <n v="58"/>
    <n v="0.49321318404232783"/>
    <n v="0.50678681595767217"/>
    <n v="4.9578326008479958E-4"/>
    <s v="Leave"/>
  </r>
  <r>
    <n v="32"/>
    <x v="1"/>
    <x v="1"/>
    <s v="E06000008"/>
    <s v="Blackburn with Darwen"/>
    <n v="100117"/>
    <n v="65416"/>
    <n v="65408"/>
    <n v="0.65331562072375315"/>
    <n v="65408"/>
    <n v="65321"/>
    <n v="28522"/>
    <n v="36799"/>
    <n v="87"/>
    <n v="0"/>
    <n v="40"/>
    <n v="4"/>
    <n v="43"/>
    <n v="0.43664365211800188"/>
    <n v="0.56335634788199818"/>
    <n v="1.3301125244618395E-3"/>
    <s v="Leave"/>
  </r>
  <r>
    <n v="33"/>
    <x v="1"/>
    <x v="1"/>
    <s v="E06000009"/>
    <s v="Blackpool"/>
    <n v="102354"/>
    <n v="66959"/>
    <n v="66959"/>
    <n v="0.65419035895030975"/>
    <n v="66959"/>
    <n v="66927"/>
    <n v="21781"/>
    <n v="45146"/>
    <n v="32"/>
    <n v="0"/>
    <n v="8"/>
    <n v="3"/>
    <n v="21"/>
    <n v="0.3254441406308366"/>
    <n v="0.6745558593691634"/>
    <n v="4.7790438925312504E-4"/>
    <s v="Leave"/>
  </r>
  <r>
    <n v="34"/>
    <x v="1"/>
    <x v="1"/>
    <s v="E07000026"/>
    <s v="Allerdale"/>
    <n v="74426"/>
    <n v="54268"/>
    <n v="54268"/>
    <n v="0.72915379034208472"/>
    <n v="54268"/>
    <n v="54238"/>
    <n v="22429"/>
    <n v="31809"/>
    <n v="30"/>
    <n v="0"/>
    <n v="13"/>
    <n v="0"/>
    <n v="17"/>
    <n v="0.41352925992846346"/>
    <n v="0.58647074007153654"/>
    <n v="5.5281197022186189E-4"/>
    <s v="Leave"/>
  </r>
  <r>
    <n v="35"/>
    <x v="1"/>
    <x v="1"/>
    <s v="E07000027"/>
    <s v="Barrow-in-Furness"/>
    <n v="53194"/>
    <n v="36104"/>
    <n v="36101"/>
    <n v="0.67866676692860095"/>
    <n v="36101"/>
    <n v="36074"/>
    <n v="14207"/>
    <n v="21867"/>
    <n v="27"/>
    <n v="0"/>
    <n v="9"/>
    <n v="0"/>
    <n v="18"/>
    <n v="0.39382935077895437"/>
    <n v="0.60617064922104558"/>
    <n v="7.4790172017395642E-4"/>
    <s v="Leave"/>
  </r>
  <r>
    <n v="36"/>
    <x v="1"/>
    <x v="1"/>
    <s v="E07000028"/>
    <s v="Carlisle"/>
    <n v="80124"/>
    <n v="59723"/>
    <n v="59721"/>
    <n v="0.74535719634566422"/>
    <n v="59721"/>
    <n v="59683"/>
    <n v="23788"/>
    <n v="35895"/>
    <n v="38"/>
    <n v="0"/>
    <n v="13"/>
    <n v="2"/>
    <n v="23"/>
    <n v="0.3985724578188094"/>
    <n v="0.60142754218119066"/>
    <n v="6.3629209155908312E-4"/>
    <s v="Leave"/>
  </r>
  <r>
    <n v="37"/>
    <x v="1"/>
    <x v="1"/>
    <s v="E07000029"/>
    <s v="Copeland"/>
    <n v="54206"/>
    <n v="37974"/>
    <n v="37975"/>
    <n v="0.70056820278197984"/>
    <n v="37975"/>
    <n v="37947"/>
    <n v="14419"/>
    <n v="23528"/>
    <n v="28"/>
    <n v="0"/>
    <n v="9"/>
    <n v="3"/>
    <n v="16"/>
    <n v="0.37997733681186918"/>
    <n v="0.62002266318813082"/>
    <n v="7.3732718894009217E-4"/>
    <s v="Leave"/>
  </r>
  <r>
    <n v="38"/>
    <x v="1"/>
    <x v="1"/>
    <s v="E07000030"/>
    <s v="Eden"/>
    <n v="41872"/>
    <n v="31746"/>
    <n v="31746"/>
    <n v="0.75816774933129538"/>
    <n v="31746"/>
    <n v="31718"/>
    <n v="14807"/>
    <n v="16911"/>
    <n v="28"/>
    <n v="0"/>
    <n v="12"/>
    <n v="1"/>
    <n v="15"/>
    <n v="0.46683271328583137"/>
    <n v="0.53316728671416858"/>
    <n v="8.8200088200088202E-4"/>
    <s v="Leave"/>
  </r>
  <r>
    <n v="39"/>
    <x v="1"/>
    <x v="1"/>
    <s v="E07000031"/>
    <s v="South Lakeland"/>
    <n v="81948"/>
    <n v="65375"/>
    <n v="65375"/>
    <n v="0.79776199541172454"/>
    <n v="65375"/>
    <n v="65331"/>
    <n v="34531"/>
    <n v="30800"/>
    <n v="44"/>
    <n v="0"/>
    <n v="12"/>
    <n v="2"/>
    <n v="30"/>
    <n v="0.52855459123540127"/>
    <n v="0.47144540876459873"/>
    <n v="6.730401529636711E-4"/>
    <s v="Remain"/>
  </r>
  <r>
    <n v="40"/>
    <x v="1"/>
    <x v="1"/>
    <s v="E07000117"/>
    <s v="Burnley"/>
    <n v="64461"/>
    <n v="43354"/>
    <n v="43350"/>
    <n v="0.67249965095173825"/>
    <n v="43350"/>
    <n v="43316"/>
    <n v="14462"/>
    <n v="28854"/>
    <n v="34"/>
    <n v="0"/>
    <n v="11"/>
    <n v="0"/>
    <n v="23"/>
    <n v="0.33387201034259856"/>
    <n v="0.66612798965740139"/>
    <n v="7.8431372549019605E-4"/>
    <s v="Leave"/>
  </r>
  <r>
    <n v="41"/>
    <x v="1"/>
    <x v="1"/>
    <s v="E07000118"/>
    <s v="Chorley"/>
    <n v="84159"/>
    <n v="63564"/>
    <n v="63562"/>
    <n v="0.75526087524804242"/>
    <n v="63560"/>
    <n v="63515"/>
    <n v="27417"/>
    <n v="36098"/>
    <n v="45"/>
    <n v="4"/>
    <n v="6"/>
    <n v="5"/>
    <n v="30"/>
    <n v="0.43166181217035349"/>
    <n v="0.56833818782964651"/>
    <n v="7.0799244808055384E-4"/>
    <s v="Leave"/>
  </r>
  <r>
    <n v="42"/>
    <x v="1"/>
    <x v="1"/>
    <s v="E07000119"/>
    <s v="Fylde"/>
    <n v="61174"/>
    <n v="46227"/>
    <n v="46227"/>
    <n v="0.75566417105306172"/>
    <n v="46227"/>
    <n v="46206"/>
    <n v="19889"/>
    <n v="26317"/>
    <n v="21"/>
    <n v="0"/>
    <n v="5"/>
    <n v="1"/>
    <n v="15"/>
    <n v="0.43044193394797214"/>
    <n v="0.56955806605202786"/>
    <n v="4.5427996625348822E-4"/>
    <s v="Leave"/>
  </r>
  <r>
    <n v="43"/>
    <x v="1"/>
    <x v="1"/>
    <s v="E07000120"/>
    <s v="Hyndburn"/>
    <n v="62042"/>
    <n v="40173"/>
    <n v="40168"/>
    <n v="0.64743238451371654"/>
    <n v="40168"/>
    <n v="40137"/>
    <n v="13569"/>
    <n v="26568"/>
    <n v="31"/>
    <n v="0"/>
    <n v="13"/>
    <n v="3"/>
    <n v="15"/>
    <n v="0.3380671201136109"/>
    <n v="0.66193287988638916"/>
    <n v="7.717586138219478E-4"/>
    <s v="Leave"/>
  </r>
  <r>
    <n v="44"/>
    <x v="1"/>
    <x v="1"/>
    <s v="E07000121"/>
    <s v="Lancaster"/>
    <n v="100567"/>
    <n v="73102"/>
    <n v="73098"/>
    <n v="0.72685871110801759"/>
    <n v="73098"/>
    <n v="73041"/>
    <n v="35732"/>
    <n v="37309"/>
    <n v="57"/>
    <n v="0"/>
    <n v="12"/>
    <n v="2"/>
    <n v="43"/>
    <n v="0.48920469325447352"/>
    <n v="0.51079530674552653"/>
    <n v="7.7977509644586716E-4"/>
    <s v="Leave"/>
  </r>
  <r>
    <n v="45"/>
    <x v="1"/>
    <x v="1"/>
    <s v="E07000122"/>
    <s v="Pendle"/>
    <n v="64534"/>
    <n v="45389"/>
    <n v="45388"/>
    <n v="0.7033191805869774"/>
    <n v="45388"/>
    <n v="45335"/>
    <n v="16704"/>
    <n v="28631"/>
    <n v="53"/>
    <n v="0"/>
    <n v="15"/>
    <n v="7"/>
    <n v="31"/>
    <n v="0.36845704202051394"/>
    <n v="0.63154295797948601"/>
    <n v="1.1677095267471579E-3"/>
    <s v="Leave"/>
  </r>
  <r>
    <n v="46"/>
    <x v="1"/>
    <x v="1"/>
    <s v="E07000123"/>
    <s v="Preston"/>
    <n v="94284"/>
    <n v="64794"/>
    <n v="64794"/>
    <n v="0.68722158584701543"/>
    <n v="64794"/>
    <n v="64745"/>
    <n v="30227"/>
    <n v="34518"/>
    <n v="49"/>
    <n v="2"/>
    <n v="19"/>
    <n v="0"/>
    <n v="28"/>
    <n v="0.46686230596957295"/>
    <n v="0.5331376940304271"/>
    <n v="7.5624286199339448E-4"/>
    <s v="Leave"/>
  </r>
  <r>
    <n v="47"/>
    <x v="1"/>
    <x v="1"/>
    <s v="E07000124"/>
    <s v="Ribble Valley"/>
    <n v="46148"/>
    <n v="36473"/>
    <n v="36466"/>
    <n v="0.79019675825604574"/>
    <n v="36466"/>
    <n v="36442"/>
    <n v="15892"/>
    <n v="20550"/>
    <n v="24"/>
    <n v="3"/>
    <n v="6"/>
    <n v="1"/>
    <n v="14"/>
    <n v="0.43609022556390975"/>
    <n v="0.56390977443609025"/>
    <n v="6.5814731530740962E-4"/>
    <s v="Leave"/>
  </r>
  <r>
    <n v="48"/>
    <x v="1"/>
    <x v="1"/>
    <s v="E07000125"/>
    <s v="Rossendale"/>
    <n v="52750"/>
    <n v="38205"/>
    <n v="38204"/>
    <n v="0.72424644549763029"/>
    <n v="38205"/>
    <n v="38181"/>
    <n v="15012"/>
    <n v="23169"/>
    <n v="24"/>
    <n v="0"/>
    <n v="9"/>
    <n v="1"/>
    <n v="14"/>
    <n v="0.39317985385401116"/>
    <n v="0.60682014614598889"/>
    <n v="6.2819002748331374E-4"/>
    <s v="Leave"/>
  </r>
  <r>
    <n v="49"/>
    <x v="1"/>
    <x v="1"/>
    <s v="E07000126"/>
    <s v="South Ribble"/>
    <n v="84573"/>
    <n v="63756"/>
    <n v="63755"/>
    <n v="0.75384579002755014"/>
    <n v="63755"/>
    <n v="63724"/>
    <n v="26406"/>
    <n v="37318"/>
    <n v="31"/>
    <n v="0"/>
    <n v="15"/>
    <n v="2"/>
    <n v="14"/>
    <n v="0.41438076705793736"/>
    <n v="0.58561923294206264"/>
    <n v="4.8623637361775547E-4"/>
    <s v="Leave"/>
  </r>
  <r>
    <n v="50"/>
    <x v="1"/>
    <x v="1"/>
    <s v="E07000127"/>
    <s v="West Lancashire"/>
    <n v="85834"/>
    <n v="63921"/>
    <n v="63918"/>
    <n v="0.74466994431111211"/>
    <n v="63918"/>
    <n v="63869"/>
    <n v="28546"/>
    <n v="35323"/>
    <n v="49"/>
    <n v="0"/>
    <n v="13"/>
    <n v="1"/>
    <n v="35"/>
    <n v="0.44694609278366659"/>
    <n v="0.55305390721633341"/>
    <n v="7.6660721549485274E-4"/>
    <s v="Leave"/>
  </r>
  <r>
    <n v="51"/>
    <x v="1"/>
    <x v="1"/>
    <s v="E07000128"/>
    <s v="Wyre"/>
    <n v="84471"/>
    <n v="63031"/>
    <n v="63028"/>
    <n v="0.74614956612328487"/>
    <n v="63028"/>
    <n v="62979"/>
    <n v="22816"/>
    <n v="40163"/>
    <n v="49"/>
    <n v="3"/>
    <n v="19"/>
    <n v="8"/>
    <n v="19"/>
    <n v="0.36227948998872639"/>
    <n v="0.63772051001127361"/>
    <n v="7.7743225233229676E-4"/>
    <s v="Leave"/>
  </r>
  <r>
    <n v="52"/>
    <x v="2"/>
    <x v="2"/>
    <s v="E08000016"/>
    <s v="Barnsley"/>
    <n v="175809"/>
    <n v="122982"/>
    <n v="122972"/>
    <n v="0.69946362245391303"/>
    <n v="122972"/>
    <n v="122909"/>
    <n v="38951"/>
    <n v="83958"/>
    <n v="63"/>
    <n v="0"/>
    <n v="17"/>
    <n v="1"/>
    <n v="45"/>
    <n v="0.31690925806897785"/>
    <n v="0.68309074193102215"/>
    <n v="5.123117457632632E-4"/>
    <s v="Leave"/>
  </r>
  <r>
    <n v="53"/>
    <x v="2"/>
    <x v="2"/>
    <s v="E08000017"/>
    <s v="Doncaster"/>
    <n v="217432"/>
    <n v="151254"/>
    <n v="151246"/>
    <n v="0.69560138342102362"/>
    <n v="151246"/>
    <n v="151182"/>
    <n v="46922"/>
    <n v="104260"/>
    <n v="64"/>
    <n v="0"/>
    <n v="19"/>
    <n v="0"/>
    <n v="45"/>
    <n v="0.3103676363588258"/>
    <n v="0.6896323636411742"/>
    <n v="4.2315168665617601E-4"/>
    <s v="Leave"/>
  </r>
  <r>
    <n v="54"/>
    <x v="2"/>
    <x v="2"/>
    <s v="E08000018"/>
    <s v="Rotherham"/>
    <n v="197623"/>
    <n v="137478"/>
    <n v="137474"/>
    <n v="0.69563765351199003"/>
    <n v="137470"/>
    <n v="137387"/>
    <n v="44115"/>
    <n v="93272"/>
    <n v="83"/>
    <n v="0"/>
    <n v="30"/>
    <n v="4"/>
    <n v="49"/>
    <n v="0.32110024965972034"/>
    <n v="0.67889975034027961"/>
    <n v="6.0376809485705968E-4"/>
    <s v="Leave"/>
  </r>
  <r>
    <n v="55"/>
    <x v="2"/>
    <x v="2"/>
    <s v="E08000019"/>
    <s v="Sheffield"/>
    <n v="396406"/>
    <n v="266954"/>
    <n v="266951"/>
    <n v="0.67342825285187413"/>
    <n v="266951"/>
    <n v="266753"/>
    <n v="130735"/>
    <n v="136018"/>
    <n v="198"/>
    <n v="0"/>
    <n v="76"/>
    <n v="6"/>
    <n v="116"/>
    <n v="0.49009758090818095"/>
    <n v="0.50990241909181899"/>
    <n v="7.4170915261602313E-4"/>
    <s v="Leave"/>
  </r>
  <r>
    <n v="56"/>
    <x v="2"/>
    <x v="2"/>
    <s v="E08000032"/>
    <s v="Bradford"/>
    <n v="342817"/>
    <n v="228729"/>
    <n v="228729"/>
    <n v="0.66720436851147991"/>
    <n v="228727"/>
    <n v="228488"/>
    <n v="104575"/>
    <n v="123913"/>
    <n v="239"/>
    <n v="0"/>
    <n v="121"/>
    <n v="5"/>
    <n v="113"/>
    <n v="0.45768267917789995"/>
    <n v="0.54231732082210005"/>
    <n v="1.0449138055411036E-3"/>
    <s v="Leave"/>
  </r>
  <r>
    <n v="57"/>
    <x v="2"/>
    <x v="2"/>
    <s v="E08000033"/>
    <s v="Calderdale"/>
    <n v="149195"/>
    <n v="106005"/>
    <n v="106008"/>
    <n v="0.7105331948121586"/>
    <n v="106004"/>
    <n v="105925"/>
    <n v="46950"/>
    <n v="58975"/>
    <n v="79"/>
    <n v="0"/>
    <n v="22"/>
    <n v="15"/>
    <n v="42"/>
    <n v="0.44323814019353314"/>
    <n v="0.55676185980646686"/>
    <n v="7.4525489604165883E-4"/>
    <s v="Leave"/>
  </r>
  <r>
    <n v="58"/>
    <x v="2"/>
    <x v="2"/>
    <s v="E08000034"/>
    <s v="Kirklees"/>
    <n v="307081"/>
    <n v="217460"/>
    <n v="217449"/>
    <n v="0.70811609966100153"/>
    <n v="217428"/>
    <n v="217240"/>
    <n v="98485"/>
    <n v="118755"/>
    <n v="188"/>
    <n v="0"/>
    <n v="86"/>
    <n v="7"/>
    <n v="95"/>
    <n v="0.45334652918431229"/>
    <n v="0.54665347081568771"/>
    <n v="8.6465404639696816E-4"/>
    <s v="Leave"/>
  </r>
  <r>
    <n v="59"/>
    <x v="2"/>
    <x v="2"/>
    <s v="E08000035"/>
    <s v="Leeds"/>
    <n v="543033"/>
    <n v="387730"/>
    <n v="387730"/>
    <n v="0.71400817261566052"/>
    <n v="387677"/>
    <n v="387337"/>
    <n v="194863"/>
    <n v="192474"/>
    <n v="340"/>
    <n v="39"/>
    <n v="116"/>
    <n v="8"/>
    <n v="177"/>
    <n v="0.50308387786346254"/>
    <n v="0.49691612213653741"/>
    <n v="8.7701875530402887E-4"/>
    <s v="Remain"/>
  </r>
  <r>
    <n v="60"/>
    <x v="2"/>
    <x v="2"/>
    <s v="E08000036"/>
    <s v="Wakefield"/>
    <n v="246096"/>
    <n v="175261"/>
    <n v="175259"/>
    <n v="0.71215704440543526"/>
    <n v="175155"/>
    <n v="175042"/>
    <n v="58877"/>
    <n v="116165"/>
    <n v="113"/>
    <n v="0"/>
    <n v="46"/>
    <n v="4"/>
    <n v="63"/>
    <n v="0.33635927377429414"/>
    <n v="0.6636407262257058"/>
    <n v="6.4514287345493991E-4"/>
    <s v="Leave"/>
  </r>
  <r>
    <n v="61"/>
    <x v="2"/>
    <x v="2"/>
    <s v="E06000010"/>
    <s v="Kingston upon Hull, City of"/>
    <n v="180230"/>
    <n v="113439"/>
    <n v="113439"/>
    <n v="0.62941241746657051"/>
    <n v="113436"/>
    <n v="113355"/>
    <n v="36709"/>
    <n v="76646"/>
    <n v="81"/>
    <n v="0"/>
    <n v="23"/>
    <n v="4"/>
    <n v="54"/>
    <n v="0.32384103039124873"/>
    <n v="0.67615896960875121"/>
    <n v="7.1405902887972073E-4"/>
    <s v="Leave"/>
  </r>
  <r>
    <n v="62"/>
    <x v="2"/>
    <x v="2"/>
    <s v="E06000011"/>
    <s v="East Riding of Yorkshire"/>
    <n v="266047"/>
    <n v="199056"/>
    <n v="199039"/>
    <n v="0.74813472807436276"/>
    <n v="199036"/>
    <n v="198915"/>
    <n v="78779"/>
    <n v="120136"/>
    <n v="121"/>
    <n v="0"/>
    <n v="36"/>
    <n v="3"/>
    <n v="82"/>
    <n v="0.39604353618379712"/>
    <n v="0.60395646381620294"/>
    <n v="6.0793022367812855E-4"/>
    <s v="Leave"/>
  </r>
  <r>
    <n v="63"/>
    <x v="2"/>
    <x v="2"/>
    <s v="E06000012"/>
    <s v="North East Lincolnshire"/>
    <n v="116302"/>
    <n v="79016"/>
    <n v="79013"/>
    <n v="0.67937782669257618"/>
    <n v="79011"/>
    <n v="78982"/>
    <n v="23797"/>
    <n v="55185"/>
    <n v="29"/>
    <n v="1"/>
    <n v="4"/>
    <n v="1"/>
    <n v="23"/>
    <n v="0.30129649793623864"/>
    <n v="0.69870350206376142"/>
    <n v="3.6703750110744072E-4"/>
    <s v="Leave"/>
  </r>
  <r>
    <n v="64"/>
    <x v="2"/>
    <x v="2"/>
    <s v="E06000013"/>
    <s v="North Lincolnshire"/>
    <n v="123611"/>
    <n v="88912"/>
    <n v="88907"/>
    <n v="0.71924828696475229"/>
    <n v="88906"/>
    <n v="88862"/>
    <n v="29947"/>
    <n v="58915"/>
    <n v="44"/>
    <n v="0"/>
    <n v="11"/>
    <n v="3"/>
    <n v="30"/>
    <n v="0.33700569422250232"/>
    <n v="0.66299430577749774"/>
    <n v="4.9490473083931344E-4"/>
    <s v="Leave"/>
  </r>
  <r>
    <n v="65"/>
    <x v="2"/>
    <x v="2"/>
    <s v="E06000014"/>
    <s v="York"/>
    <n v="155157"/>
    <n v="109695"/>
    <n v="109691"/>
    <n v="0.70696778102180369"/>
    <n v="109681"/>
    <n v="109600"/>
    <n v="63617"/>
    <n v="45983"/>
    <n v="81"/>
    <n v="0"/>
    <n v="20"/>
    <n v="5"/>
    <n v="56"/>
    <n v="0.58044708029197079"/>
    <n v="0.41955291970802921"/>
    <n v="7.3850530173867851E-4"/>
    <s v="Remain"/>
  </r>
  <r>
    <n v="66"/>
    <x v="2"/>
    <x v="2"/>
    <s v="E07000163"/>
    <s v="Craven"/>
    <n v="44320"/>
    <n v="35907"/>
    <n v="35907"/>
    <n v="0.81017599277978336"/>
    <n v="35907"/>
    <n v="35891"/>
    <n v="16930"/>
    <n v="18961"/>
    <n v="16"/>
    <n v="0"/>
    <n v="6"/>
    <n v="0"/>
    <n v="10"/>
    <n v="0.47170599871834162"/>
    <n v="0.52829400128165838"/>
    <n v="4.4559556632411506E-4"/>
    <s v="Leave"/>
  </r>
  <r>
    <n v="67"/>
    <x v="2"/>
    <x v="2"/>
    <s v="E07000164"/>
    <s v="Hambleton"/>
    <n v="70133"/>
    <n v="55016"/>
    <n v="55016"/>
    <n v="0.78445239758744101"/>
    <n v="55016"/>
    <n v="54982"/>
    <n v="25480"/>
    <n v="29502"/>
    <n v="34"/>
    <n v="0"/>
    <n v="18"/>
    <n v="1"/>
    <n v="15"/>
    <n v="0.46342439343785241"/>
    <n v="0.53657560656214764"/>
    <n v="6.1800203577141197E-4"/>
    <s v="Leave"/>
  </r>
  <r>
    <n v="68"/>
    <x v="2"/>
    <x v="2"/>
    <s v="E07000165"/>
    <s v="Harrogate"/>
    <n v="119987"/>
    <n v="94669"/>
    <n v="94665"/>
    <n v="0.78896047071766107"/>
    <n v="94653"/>
    <n v="94585"/>
    <n v="48211"/>
    <n v="46374"/>
    <n v="68"/>
    <n v="2"/>
    <n v="25"/>
    <n v="3"/>
    <n v="38"/>
    <n v="0.50971084209969864"/>
    <n v="0.49028915790030131"/>
    <n v="7.1841357379058242E-4"/>
    <s v="Remain"/>
  </r>
  <r>
    <n v="69"/>
    <x v="2"/>
    <x v="2"/>
    <s v="E07000166"/>
    <s v="Richmondshire"/>
    <n v="36794"/>
    <n v="27652"/>
    <n v="27652"/>
    <n v="0.75153557645268254"/>
    <n v="27652"/>
    <n v="27636"/>
    <n v="11945"/>
    <n v="15691"/>
    <n v="16"/>
    <n v="0"/>
    <n v="6"/>
    <n v="0"/>
    <n v="10"/>
    <n v="0.43222608192213058"/>
    <n v="0.56777391807786948"/>
    <n v="5.7861999132070017E-4"/>
    <s v="Leave"/>
  </r>
  <r>
    <n v="70"/>
    <x v="2"/>
    <x v="2"/>
    <s v="E07000167"/>
    <s v="Ryedale"/>
    <n v="41529"/>
    <n v="32069"/>
    <n v="32069"/>
    <n v="0.77220737316092369"/>
    <n v="32069"/>
    <n v="32050"/>
    <n v="14340"/>
    <n v="17710"/>
    <n v="19"/>
    <n v="0"/>
    <n v="5"/>
    <n v="2"/>
    <n v="12"/>
    <n v="0.44742589703588143"/>
    <n v="0.55257410296411857"/>
    <n v="5.9247248121238583E-4"/>
    <s v="Leave"/>
  </r>
  <r>
    <n v="71"/>
    <x v="2"/>
    <x v="2"/>
    <s v="E07000168"/>
    <s v="Scarborough"/>
    <n v="82900"/>
    <n v="60540"/>
    <n v="60539"/>
    <n v="0.7302653799758746"/>
    <n v="60539"/>
    <n v="60511"/>
    <n v="22999"/>
    <n v="37512"/>
    <n v="28"/>
    <n v="0"/>
    <n v="6"/>
    <n v="0"/>
    <n v="22"/>
    <n v="0.38007965493877144"/>
    <n v="0.61992034506122851"/>
    <n v="4.6251176927270026E-4"/>
    <s v="Leave"/>
  </r>
  <r>
    <n v="72"/>
    <x v="2"/>
    <x v="2"/>
    <s v="E07000169"/>
    <s v="Selby"/>
    <n v="65278"/>
    <n v="51641"/>
    <n v="51639"/>
    <n v="0.79106283893501639"/>
    <n v="51636"/>
    <n v="51603"/>
    <n v="21071"/>
    <n v="30532"/>
    <n v="33"/>
    <n v="0"/>
    <n v="7"/>
    <n v="2"/>
    <n v="24"/>
    <n v="0.40832897312171773"/>
    <n v="0.59167102687828232"/>
    <n v="6.3908900766906809E-4"/>
    <s v="Leave"/>
  </r>
  <r>
    <n v="73"/>
    <x v="3"/>
    <x v="3"/>
    <s v="E06000015"/>
    <s v="Derby"/>
    <n v="171246"/>
    <n v="120807"/>
    <n v="120798"/>
    <n v="0.70540625766441256"/>
    <n v="120772"/>
    <n v="120655"/>
    <n v="51612"/>
    <n v="69043"/>
    <n v="117"/>
    <n v="0"/>
    <n v="41"/>
    <n v="10"/>
    <n v="66"/>
    <n v="0.42776511541171108"/>
    <n v="0.57223488458828897"/>
    <n v="9.6876759513794591E-4"/>
    <s v="Leave"/>
  </r>
  <r>
    <n v="74"/>
    <x v="3"/>
    <x v="3"/>
    <s v="E06000016"/>
    <s v="Leicester"/>
    <n v="213819"/>
    <n v="139319"/>
    <n v="139309"/>
    <n v="0.65152769398416421"/>
    <n v="139307"/>
    <n v="138972"/>
    <n v="70980"/>
    <n v="67992"/>
    <n v="335"/>
    <n v="0"/>
    <n v="154"/>
    <n v="8"/>
    <n v="173"/>
    <n v="0.51075036698039888"/>
    <n v="0.48924963301960106"/>
    <n v="2.4047607083635424E-3"/>
    <s v="Remain"/>
  </r>
  <r>
    <n v="75"/>
    <x v="3"/>
    <x v="3"/>
    <s v="E06000017"/>
    <s v="Rutland"/>
    <n v="29390"/>
    <n v="22989"/>
    <n v="22986"/>
    <n v="0.78210275603946922"/>
    <n v="22984"/>
    <n v="22966"/>
    <n v="11353"/>
    <n v="11613"/>
    <n v="18"/>
    <n v="0"/>
    <n v="9"/>
    <n v="2"/>
    <n v="7"/>
    <n v="0.49433945832970477"/>
    <n v="0.50566054167029517"/>
    <n v="7.831534980856248E-4"/>
    <s v="Leave"/>
  </r>
  <r>
    <n v="76"/>
    <x v="3"/>
    <x v="3"/>
    <s v="E06000018"/>
    <s v="Nottingham"/>
    <n v="195394"/>
    <n v="120792"/>
    <n v="120792"/>
    <n v="0.61819707872299046"/>
    <n v="120791"/>
    <n v="120661"/>
    <n v="59318"/>
    <n v="61343"/>
    <n v="130"/>
    <n v="0"/>
    <n v="47"/>
    <n v="4"/>
    <n v="79"/>
    <n v="0.49160872195655597"/>
    <n v="0.50839127804344408"/>
    <n v="1.0762391237757779E-3"/>
    <s v="Leave"/>
  </r>
  <r>
    <n v="77"/>
    <x v="3"/>
    <x v="3"/>
    <s v="E07000032"/>
    <s v="Amber Valley"/>
    <n v="96760"/>
    <n v="73870"/>
    <n v="73868"/>
    <n v="0.76341463414634148"/>
    <n v="73864"/>
    <n v="73820"/>
    <n v="29319"/>
    <n v="44501"/>
    <n v="44"/>
    <n v="0"/>
    <n v="7"/>
    <n v="1"/>
    <n v="36"/>
    <n v="0.39716878894608509"/>
    <n v="0.60283121105391491"/>
    <n v="5.9568937506769201E-4"/>
    <s v="Leave"/>
  </r>
  <r>
    <n v="78"/>
    <x v="3"/>
    <x v="3"/>
    <s v="E07000033"/>
    <s v="Bolsover"/>
    <n v="58063"/>
    <n v="41999"/>
    <n v="42000"/>
    <n v="0.72335222086354478"/>
    <n v="41999"/>
    <n v="41972"/>
    <n v="12242"/>
    <n v="29730"/>
    <n v="27"/>
    <n v="0"/>
    <n v="5"/>
    <n v="1"/>
    <n v="21"/>
    <n v="0.2916706375679024"/>
    <n v="0.70832936243209754"/>
    <n v="6.4287244934403199E-4"/>
    <s v="Leave"/>
  </r>
  <r>
    <n v="79"/>
    <x v="3"/>
    <x v="3"/>
    <s v="E07000034"/>
    <s v="Chesterfield"/>
    <n v="79905"/>
    <n v="57472"/>
    <n v="57470"/>
    <n v="0.7192290845378887"/>
    <n v="57470"/>
    <n v="57424"/>
    <n v="22946"/>
    <n v="34478"/>
    <n v="46"/>
    <n v="0"/>
    <n v="16"/>
    <n v="2"/>
    <n v="28"/>
    <n v="0.39958902201170243"/>
    <n v="0.60041097798829757"/>
    <n v="8.0041760918740212E-4"/>
    <s v="Leave"/>
  </r>
  <r>
    <n v="80"/>
    <x v="3"/>
    <x v="3"/>
    <s v="E07000035"/>
    <s v="Derbyshire Dales"/>
    <n v="57075"/>
    <n v="46756"/>
    <n v="46756"/>
    <n v="0.81920280332895312"/>
    <n v="46756"/>
    <n v="46728"/>
    <n v="22633"/>
    <n v="24095"/>
    <n v="28"/>
    <n v="0"/>
    <n v="5"/>
    <n v="0"/>
    <n v="23"/>
    <n v="0.48435627461051189"/>
    <n v="0.51564372538948811"/>
    <n v="5.988536230644195E-4"/>
    <s v="Leave"/>
  </r>
  <r>
    <n v="81"/>
    <x v="3"/>
    <x v="3"/>
    <s v="E07000036"/>
    <s v="Erewash"/>
    <n v="87596"/>
    <n v="66566"/>
    <n v="66566"/>
    <n v="0.75992054431709211"/>
    <n v="66566"/>
    <n v="66530"/>
    <n v="25791"/>
    <n v="40739"/>
    <n v="36"/>
    <n v="0"/>
    <n v="15"/>
    <n v="1"/>
    <n v="20"/>
    <n v="0.38765970238989927"/>
    <n v="0.61234029761010067"/>
    <n v="5.4081663311600521E-4"/>
    <s v="Leave"/>
  </r>
  <r>
    <n v="82"/>
    <x v="3"/>
    <x v="3"/>
    <s v="E07000037"/>
    <s v="High Peak"/>
    <n v="72487"/>
    <n v="54864"/>
    <n v="54864"/>
    <n v="0.75688054409756234"/>
    <n v="54864"/>
    <n v="54833"/>
    <n v="27116"/>
    <n v="27717"/>
    <n v="31"/>
    <n v="0"/>
    <n v="10"/>
    <n v="3"/>
    <n v="18"/>
    <n v="0.49451972352415519"/>
    <n v="0.50548027647584481"/>
    <n v="5.650335374744824E-4"/>
    <s v="Leave"/>
  </r>
  <r>
    <n v="83"/>
    <x v="3"/>
    <x v="3"/>
    <s v="E07000038"/>
    <s v="North East Derbyshire"/>
    <n v="78855"/>
    <n v="59341"/>
    <n v="59341"/>
    <n v="0.75253313042926895"/>
    <n v="59341"/>
    <n v="59310"/>
    <n v="22075"/>
    <n v="37235"/>
    <n v="31"/>
    <n v="0"/>
    <n v="13"/>
    <n v="2"/>
    <n v="16"/>
    <n v="0.37219693137750803"/>
    <n v="0.62780306862249202"/>
    <n v="5.224044084191368E-4"/>
    <s v="Leave"/>
  </r>
  <r>
    <n v="84"/>
    <x v="3"/>
    <x v="3"/>
    <s v="E07000039"/>
    <s v="South Derbyshire"/>
    <n v="73856"/>
    <n v="56718"/>
    <n v="56718"/>
    <n v="0.76795385615251299"/>
    <n v="56718"/>
    <n v="56695"/>
    <n v="22479"/>
    <n v="34216"/>
    <n v="23"/>
    <n v="0"/>
    <n v="5"/>
    <n v="0"/>
    <n v="18"/>
    <n v="0.39648999029896814"/>
    <n v="0.60351000970103186"/>
    <n v="4.0551500405515005E-4"/>
    <s v="Leave"/>
  </r>
  <r>
    <n v="85"/>
    <x v="3"/>
    <x v="3"/>
    <s v="E07000129"/>
    <s v="Blaby"/>
    <n v="73832"/>
    <n v="56517"/>
    <n v="56514"/>
    <n v="0.76544045942138905"/>
    <n v="56512"/>
    <n v="56471"/>
    <n v="22888"/>
    <n v="33583"/>
    <n v="41"/>
    <n v="0"/>
    <n v="13"/>
    <n v="2"/>
    <n v="26"/>
    <n v="0.40530537798161886"/>
    <n v="0.59469462201838108"/>
    <n v="7.2550962627406564E-4"/>
    <s v="Leave"/>
  </r>
  <r>
    <n v="86"/>
    <x v="3"/>
    <x v="3"/>
    <s v="E07000130"/>
    <s v="Charnwood"/>
    <n v="133780"/>
    <n v="94265"/>
    <n v="94258"/>
    <n v="0.70457467483928837"/>
    <n v="94257"/>
    <n v="94172"/>
    <n v="43500"/>
    <n v="50672"/>
    <n v="85"/>
    <n v="0"/>
    <n v="47"/>
    <n v="0"/>
    <n v="38"/>
    <n v="0.46192074077220407"/>
    <n v="0.53807925922779598"/>
    <n v="9.0178978749588887E-4"/>
    <s v="Leave"/>
  </r>
  <r>
    <n v="87"/>
    <x v="3"/>
    <x v="3"/>
    <s v="E07000131"/>
    <s v="Harborough"/>
    <n v="67420"/>
    <n v="54922"/>
    <n v="54918"/>
    <n v="0.81456541085731238"/>
    <n v="54910"/>
    <n v="54878"/>
    <n v="27028"/>
    <n v="27850"/>
    <n v="32"/>
    <n v="0"/>
    <n v="1"/>
    <n v="2"/>
    <n v="29"/>
    <n v="0.49251066000947558"/>
    <n v="0.50748933999052448"/>
    <n v="5.8277180841376794E-4"/>
    <s v="Leave"/>
  </r>
  <r>
    <n v="88"/>
    <x v="3"/>
    <x v="3"/>
    <s v="E07000132"/>
    <s v="Hinckley and Bosworth"/>
    <n v="85305"/>
    <n v="65517"/>
    <n v="65516"/>
    <n v="0.76802063185041913"/>
    <n v="65516"/>
    <n v="65470"/>
    <n v="25969"/>
    <n v="39501"/>
    <n v="46"/>
    <n v="0"/>
    <n v="6"/>
    <n v="0"/>
    <n v="40"/>
    <n v="0.3966549564686116"/>
    <n v="0.6033450435313884"/>
    <n v="7.0211856645704864E-4"/>
    <s v="Leave"/>
  </r>
  <r>
    <n v="89"/>
    <x v="3"/>
    <x v="3"/>
    <s v="E07000133"/>
    <s v="Melton"/>
    <n v="37273"/>
    <n v="30322"/>
    <n v="30322"/>
    <n v="0.81351112065033671"/>
    <n v="30327"/>
    <n v="30305"/>
    <n v="12695"/>
    <n v="17610"/>
    <n v="22"/>
    <n v="0"/>
    <n v="9"/>
    <n v="1"/>
    <n v="12"/>
    <n v="0.41890777099488535"/>
    <n v="0.5810922290051147"/>
    <n v="7.2542618788538264E-4"/>
    <s v="Leave"/>
  </r>
  <r>
    <n v="90"/>
    <x v="3"/>
    <x v="3"/>
    <s v="E07000134"/>
    <s v="North West Leicestershire"/>
    <n v="73944"/>
    <n v="57655"/>
    <n v="57655"/>
    <n v="0.77971167369901551"/>
    <n v="57638"/>
    <n v="57611"/>
    <n v="22642"/>
    <n v="34969"/>
    <n v="27"/>
    <n v="0"/>
    <n v="6"/>
    <n v="0"/>
    <n v="21"/>
    <n v="0.39301522278731493"/>
    <n v="0.60698477721268507"/>
    <n v="4.6844095908948956E-4"/>
    <s v="Leave"/>
  </r>
  <r>
    <n v="91"/>
    <x v="3"/>
    <x v="3"/>
    <s v="E07000135"/>
    <s v="Oadby and Wigston"/>
    <n v="42684"/>
    <n v="31488"/>
    <n v="31488"/>
    <n v="0.73770030924936747"/>
    <n v="31489"/>
    <n v="31465"/>
    <n v="14292"/>
    <n v="17173"/>
    <n v="24"/>
    <n v="0"/>
    <n v="9"/>
    <n v="0"/>
    <n v="15"/>
    <n v="0.45421897346257745"/>
    <n v="0.54578102653742255"/>
    <n v="7.6217091682809874E-4"/>
    <s v="Leave"/>
  </r>
  <r>
    <n v="92"/>
    <x v="3"/>
    <x v="3"/>
    <s v="E07000136"/>
    <s v="Boston"/>
    <n v="39363"/>
    <n v="30417"/>
    <n v="30417"/>
    <n v="0.77273073698651018"/>
    <n v="30416"/>
    <n v="30404"/>
    <n v="7430"/>
    <n v="22974"/>
    <n v="12"/>
    <n v="0"/>
    <n v="1"/>
    <n v="1"/>
    <n v="10"/>
    <n v="0.24437574003420603"/>
    <n v="0.75562425996579397"/>
    <n v="3.9452919516044186E-4"/>
    <s v="Leave"/>
  </r>
  <r>
    <n v="93"/>
    <x v="3"/>
    <x v="3"/>
    <s v="E07000137"/>
    <s v="East Lindsey"/>
    <n v="107009"/>
    <n v="80180"/>
    <n v="80179"/>
    <n v="0.74927342559971588"/>
    <n v="80178"/>
    <n v="80128"/>
    <n v="23515"/>
    <n v="56613"/>
    <n v="50"/>
    <n v="2"/>
    <n v="21"/>
    <n v="0"/>
    <n v="27"/>
    <n v="0.29346795127795527"/>
    <n v="0.70653204872204478"/>
    <n v="6.2361246227144601E-4"/>
    <s v="Leave"/>
  </r>
  <r>
    <n v="94"/>
    <x v="3"/>
    <x v="3"/>
    <s v="E07000138"/>
    <s v="Lincoln"/>
    <n v="63351"/>
    <n v="43928"/>
    <n v="43928"/>
    <n v="0.69340657606036216"/>
    <n v="43928"/>
    <n v="43894"/>
    <n v="18902"/>
    <n v="24992"/>
    <n v="34"/>
    <n v="0"/>
    <n v="17"/>
    <n v="0"/>
    <n v="17"/>
    <n v="0.4306283318904634"/>
    <n v="0.56937166810953665"/>
    <n v="7.7399380804953565E-4"/>
    <s v="Leave"/>
  </r>
  <r>
    <n v="95"/>
    <x v="3"/>
    <x v="3"/>
    <s v="E07000139"/>
    <s v="North Kesteven"/>
    <n v="86468"/>
    <n v="67791"/>
    <n v="67791"/>
    <n v="0.78400101771753716"/>
    <n v="67791"/>
    <n v="67753"/>
    <n v="25570"/>
    <n v="42183"/>
    <n v="38"/>
    <n v="0"/>
    <n v="13"/>
    <n v="1"/>
    <n v="24"/>
    <n v="0.37740026271899402"/>
    <n v="0.62259973728100604"/>
    <n v="5.6054638521337637E-4"/>
    <s v="Leave"/>
  </r>
  <r>
    <n v="96"/>
    <x v="3"/>
    <x v="3"/>
    <s v="E07000140"/>
    <s v="South Holland"/>
    <n v="65701"/>
    <n v="49518"/>
    <n v="49518"/>
    <n v="0.75368715849073831"/>
    <n v="49518"/>
    <n v="49497"/>
    <n v="13074"/>
    <n v="36423"/>
    <n v="21"/>
    <n v="0"/>
    <n v="8"/>
    <n v="0"/>
    <n v="13"/>
    <n v="0.26413722043760229"/>
    <n v="0.73586277956239776"/>
    <n v="4.2408821034775233E-4"/>
    <s v="Leave"/>
  </r>
  <r>
    <n v="97"/>
    <x v="3"/>
    <x v="3"/>
    <s v="E07000141"/>
    <s v="South Kesteven"/>
    <n v="105457"/>
    <n v="82527"/>
    <n v="82525"/>
    <n v="0.78254644072939683"/>
    <n v="82523"/>
    <n v="82471"/>
    <n v="33047"/>
    <n v="49424"/>
    <n v="52"/>
    <n v="0"/>
    <n v="14"/>
    <n v="4"/>
    <n v="34"/>
    <n v="0.40071055280037832"/>
    <n v="0.59928944719962174"/>
    <n v="6.301273584334064E-4"/>
    <s v="Leave"/>
  </r>
  <r>
    <n v="98"/>
    <x v="3"/>
    <x v="3"/>
    <s v="E07000142"/>
    <s v="West Lindsey"/>
    <n v="73499"/>
    <n v="54785"/>
    <n v="54781"/>
    <n v="0.74532986843358418"/>
    <n v="54781"/>
    <n v="54753"/>
    <n v="20906"/>
    <n v="33847"/>
    <n v="28"/>
    <n v="0"/>
    <n v="7"/>
    <n v="4"/>
    <n v="17"/>
    <n v="0.38182382700491296"/>
    <n v="0.61817617299508698"/>
    <n v="5.1112612037020131E-4"/>
    <s v="Leave"/>
  </r>
  <r>
    <n v="99"/>
    <x v="3"/>
    <x v="3"/>
    <s v="E07000150"/>
    <s v="Corby"/>
    <n v="43313"/>
    <n v="32103"/>
    <n v="32100"/>
    <n v="0.74111698566250317"/>
    <n v="32097"/>
    <n v="32081"/>
    <n v="11470"/>
    <n v="20611"/>
    <n v="16"/>
    <n v="0"/>
    <n v="4"/>
    <n v="0"/>
    <n v="12"/>
    <n v="0.35753249586982949"/>
    <n v="0.64246750413017051"/>
    <n v="4.984889553540829E-4"/>
    <s v="Leave"/>
  </r>
  <r>
    <n v="100"/>
    <x v="3"/>
    <x v="3"/>
    <s v="E07000151"/>
    <s v="Daventry"/>
    <n v="61004"/>
    <n v="49421"/>
    <n v="49420"/>
    <n v="0.8101108124057439"/>
    <n v="49420"/>
    <n v="49381"/>
    <n v="20443"/>
    <n v="28938"/>
    <n v="39"/>
    <n v="0"/>
    <n v="10"/>
    <n v="2"/>
    <n v="27"/>
    <n v="0.41398513598347542"/>
    <n v="0.58601486401652458"/>
    <n v="7.8915418858761636E-4"/>
    <s v="Leave"/>
  </r>
  <r>
    <n v="101"/>
    <x v="3"/>
    <x v="3"/>
    <s v="E07000152"/>
    <s v="East Northamptonshire"/>
    <n v="68334"/>
    <n v="52619"/>
    <n v="52614"/>
    <n v="0.76995346386864516"/>
    <n v="52607"/>
    <n v="52574"/>
    <n v="21680"/>
    <n v="30894"/>
    <n v="33"/>
    <n v="0"/>
    <n v="6"/>
    <n v="2"/>
    <n v="25"/>
    <n v="0.41237113402061853"/>
    <n v="0.58762886597938147"/>
    <n v="6.2729294580569125E-4"/>
    <s v="Leave"/>
  </r>
  <r>
    <n v="102"/>
    <x v="3"/>
    <x v="3"/>
    <s v="E07000153"/>
    <s v="Kettering"/>
    <n v="70570"/>
    <n v="53946"/>
    <n v="53941"/>
    <n v="0.76436162675357799"/>
    <n v="53940"/>
    <n v="53907"/>
    <n v="21030"/>
    <n v="32877"/>
    <n v="33"/>
    <n v="1"/>
    <n v="12"/>
    <n v="0"/>
    <n v="20"/>
    <n v="0.39011631142523234"/>
    <n v="0.6098836885747676"/>
    <n v="6.1179087875417129E-4"/>
    <s v="Leave"/>
  </r>
  <r>
    <n v="103"/>
    <x v="3"/>
    <x v="3"/>
    <s v="E07000154"/>
    <s v="Northampton"/>
    <n v="144948"/>
    <n v="105352"/>
    <n v="105350"/>
    <n v="0.7268123740927781"/>
    <n v="105354"/>
    <n v="105259"/>
    <n v="43805"/>
    <n v="61454"/>
    <n v="95"/>
    <n v="0"/>
    <n v="35"/>
    <n v="7"/>
    <n v="53"/>
    <n v="0.41616393847556976"/>
    <n v="0.58383606152443024"/>
    <n v="9.0172181407445376E-4"/>
    <s v="Leave"/>
  </r>
  <r>
    <n v="104"/>
    <x v="3"/>
    <x v="3"/>
    <s v="E07000155"/>
    <s v="South Northamptonshire"/>
    <n v="71309"/>
    <n v="56666"/>
    <n v="56659"/>
    <n v="0.79455608688945289"/>
    <n v="56664"/>
    <n v="56624"/>
    <n v="25853"/>
    <n v="30771"/>
    <n v="40"/>
    <n v="0"/>
    <n v="18"/>
    <n v="1"/>
    <n v="21"/>
    <n v="0.45657318451539985"/>
    <n v="0.54342681548460015"/>
    <n v="7.059155724975293E-4"/>
    <s v="Leave"/>
  </r>
  <r>
    <n v="105"/>
    <x v="3"/>
    <x v="3"/>
    <s v="E07000156"/>
    <s v="Wellingborough"/>
    <n v="54572"/>
    <n v="41184"/>
    <n v="41177"/>
    <n v="0.7545444550318845"/>
    <n v="41178"/>
    <n v="41141"/>
    <n v="15462"/>
    <n v="25679"/>
    <n v="37"/>
    <n v="0"/>
    <n v="18"/>
    <n v="2"/>
    <n v="17"/>
    <n v="0.37582946452444033"/>
    <n v="0.62417053547555967"/>
    <n v="8.9853805430084024E-4"/>
    <s v="Leave"/>
  </r>
  <r>
    <n v="106"/>
    <x v="3"/>
    <x v="3"/>
    <s v="E07000170"/>
    <s v="Ashfield"/>
    <n v="91916"/>
    <n v="66948"/>
    <n v="66947"/>
    <n v="0.72834979764132468"/>
    <n v="66946"/>
    <n v="66899"/>
    <n v="20179"/>
    <n v="46720"/>
    <n v="47"/>
    <n v="1"/>
    <n v="15"/>
    <n v="1"/>
    <n v="30"/>
    <n v="0.30163380618544372"/>
    <n v="0.69836619381455622"/>
    <n v="7.0205837540704451E-4"/>
    <s v="Leave"/>
  </r>
  <r>
    <n v="107"/>
    <x v="3"/>
    <x v="3"/>
    <s v="E07000171"/>
    <s v="Bassetlaw"/>
    <n v="85547"/>
    <n v="64006"/>
    <n v="64005"/>
    <n v="0.74818520813120271"/>
    <n v="64003"/>
    <n v="63967"/>
    <n v="20575"/>
    <n v="43392"/>
    <n v="36"/>
    <n v="1"/>
    <n v="10"/>
    <n v="5"/>
    <n v="20"/>
    <n v="0.32165022589772851"/>
    <n v="0.67834977410227149"/>
    <n v="5.6247363404840402E-4"/>
    <s v="Leave"/>
  </r>
  <r>
    <n v="108"/>
    <x v="3"/>
    <x v="3"/>
    <s v="E07000172"/>
    <s v="Broxtowe"/>
    <n v="83593"/>
    <n v="65468"/>
    <n v="65468"/>
    <n v="0.78317562475326885"/>
    <n v="65468"/>
    <n v="65426"/>
    <n v="29672"/>
    <n v="35754"/>
    <n v="42"/>
    <n v="0"/>
    <n v="8"/>
    <n v="1"/>
    <n v="33"/>
    <n v="0.45352000733653286"/>
    <n v="0.54647999266346714"/>
    <n v="6.4153479562534363E-4"/>
    <s v="Leave"/>
  </r>
  <r>
    <n v="109"/>
    <x v="3"/>
    <x v="3"/>
    <s v="E07000173"/>
    <s v="Gedling"/>
    <n v="88298"/>
    <n v="67639"/>
    <n v="67635"/>
    <n v="0.76598563953883436"/>
    <n v="67635"/>
    <n v="67577"/>
    <n v="30035"/>
    <n v="37542"/>
    <n v="58"/>
    <n v="2"/>
    <n v="17"/>
    <n v="1"/>
    <n v="38"/>
    <n v="0.44445595394882875"/>
    <n v="0.55554404605117125"/>
    <n v="8.5754417091742443E-4"/>
    <s v="Leave"/>
  </r>
  <r>
    <n v="110"/>
    <x v="3"/>
    <x v="3"/>
    <s v="E07000174"/>
    <s v="Mansfield"/>
    <n v="77624"/>
    <n v="56371"/>
    <n v="56369"/>
    <n v="0.72618004740801811"/>
    <n v="56370"/>
    <n v="56344"/>
    <n v="16417"/>
    <n v="39927"/>
    <n v="26"/>
    <n v="0"/>
    <n v="8"/>
    <n v="0"/>
    <n v="18"/>
    <n v="0.29137086468834306"/>
    <n v="0.70862913531165694"/>
    <n v="4.6123824729466027E-4"/>
    <s v="Leave"/>
  </r>
  <r>
    <n v="111"/>
    <x v="3"/>
    <x v="3"/>
    <s v="E07000175"/>
    <s v="Newark and Sherwood"/>
    <n v="87338"/>
    <n v="67133"/>
    <n v="67128"/>
    <n v="0.76860015113696212"/>
    <n v="67128"/>
    <n v="67087"/>
    <n v="26571"/>
    <n v="40516"/>
    <n v="41"/>
    <n v="0"/>
    <n v="14"/>
    <n v="2"/>
    <n v="25"/>
    <n v="0.39606779256785962"/>
    <n v="0.60393220743214038"/>
    <n v="6.1077344774162795E-4"/>
    <s v="Leave"/>
  </r>
  <r>
    <n v="112"/>
    <x v="3"/>
    <x v="3"/>
    <s v="E07000176"/>
    <s v="Rushcliffe"/>
    <n v="86401"/>
    <n v="70472"/>
    <n v="70470"/>
    <n v="0.8156155600050925"/>
    <n v="70470"/>
    <n v="70410"/>
    <n v="40522"/>
    <n v="29888"/>
    <n v="60"/>
    <n v="0"/>
    <n v="20"/>
    <n v="0"/>
    <n v="40"/>
    <n v="0.57551484164181221"/>
    <n v="0.42448515835818773"/>
    <n v="8.5142613878246064E-4"/>
    <s v="Remain"/>
  </r>
  <r>
    <n v="113"/>
    <x v="4"/>
    <x v="4"/>
    <s v="E08000025"/>
    <s v="Birmingham"/>
    <n v="707293"/>
    <n v="451422"/>
    <n v="451336"/>
    <n v="0.63811744213501331"/>
    <n v="451316"/>
    <n v="450702"/>
    <n v="223451"/>
    <n v="227251"/>
    <n v="614"/>
    <n v="0"/>
    <n v="311"/>
    <n v="17"/>
    <n v="286"/>
    <n v="0.4957843541852488"/>
    <n v="0.5042156458147512"/>
    <n v="1.3604658376835744E-3"/>
    <s v="Leave"/>
  </r>
  <r>
    <n v="114"/>
    <x v="4"/>
    <x v="4"/>
    <s v="E08000026"/>
    <s v="Coventry"/>
    <n v="221389"/>
    <n v="153241"/>
    <n v="153234"/>
    <n v="0.69214820971231628"/>
    <n v="153234"/>
    <n v="153064"/>
    <n v="67967"/>
    <n v="85097"/>
    <n v="170"/>
    <n v="0"/>
    <n v="85"/>
    <n v="0"/>
    <n v="85"/>
    <n v="0.44404301468666701"/>
    <n v="0.55595698531333293"/>
    <n v="1.109414359737395E-3"/>
    <s v="Leave"/>
  </r>
  <r>
    <n v="115"/>
    <x v="4"/>
    <x v="4"/>
    <s v="E08000027"/>
    <s v="Dudley"/>
    <n v="244516"/>
    <n v="175351"/>
    <n v="175333"/>
    <n v="0.71706146019074413"/>
    <n v="175333"/>
    <n v="175226"/>
    <n v="56780"/>
    <n v="118446"/>
    <n v="107"/>
    <n v="0"/>
    <n v="41"/>
    <n v="2"/>
    <n v="64"/>
    <n v="0.32403867006037917"/>
    <n v="0.67596132993962088"/>
    <n v="6.1026731989984777E-4"/>
    <s v="Leave"/>
  </r>
  <r>
    <n v="116"/>
    <x v="4"/>
    <x v="4"/>
    <s v="E08000028"/>
    <s v="Sandwell"/>
    <n v="221429"/>
    <n v="147428"/>
    <n v="147418"/>
    <n v="0.66575742111466885"/>
    <n v="147418"/>
    <n v="147254"/>
    <n v="49004"/>
    <n v="98250"/>
    <n v="164"/>
    <n v="0"/>
    <n v="90"/>
    <n v="2"/>
    <n v="72"/>
    <n v="0.33278552704850123"/>
    <n v="0.66721447295149872"/>
    <n v="1.1124828718338331E-3"/>
    <s v="Leave"/>
  </r>
  <r>
    <n v="117"/>
    <x v="4"/>
    <x v="4"/>
    <s v="E08000029"/>
    <s v="Solihull"/>
    <n v="160425"/>
    <n v="122026"/>
    <n v="122017"/>
    <n v="0.7605859435873461"/>
    <n v="122020"/>
    <n v="121950"/>
    <n v="53466"/>
    <n v="68484"/>
    <n v="70"/>
    <n v="0"/>
    <n v="25"/>
    <n v="0"/>
    <n v="45"/>
    <n v="0.43842558425584255"/>
    <n v="0.56157441574415745"/>
    <n v="5.7367644648418292E-4"/>
    <s v="Leave"/>
  </r>
  <r>
    <n v="118"/>
    <x v="4"/>
    <x v="4"/>
    <s v="E08000030"/>
    <s v="Walsall"/>
    <n v="194729"/>
    <n v="135690"/>
    <n v="135684"/>
    <n v="0.69678373534501792"/>
    <n v="135685"/>
    <n v="135579"/>
    <n v="43572"/>
    <n v="92007"/>
    <n v="106"/>
    <n v="0"/>
    <n v="59"/>
    <n v="3"/>
    <n v="44"/>
    <n v="0.32137720443431506"/>
    <n v="0.67862279556568494"/>
    <n v="7.8122121089287686E-4"/>
    <s v="Leave"/>
  </r>
  <r>
    <n v="119"/>
    <x v="4"/>
    <x v="4"/>
    <s v="E08000031"/>
    <s v="Wolverhampton"/>
    <n v="174760"/>
    <n v="118038"/>
    <n v="118037"/>
    <n v="0.67542343785763337"/>
    <n v="118037"/>
    <n v="117936"/>
    <n v="44138"/>
    <n v="73798"/>
    <n v="101"/>
    <n v="0"/>
    <n v="45"/>
    <n v="7"/>
    <n v="49"/>
    <n v="0.37425383258716594"/>
    <n v="0.62574616741283406"/>
    <n v="8.556639019968315E-4"/>
    <s v="Leave"/>
  </r>
  <r>
    <n v="120"/>
    <x v="4"/>
    <x v="4"/>
    <s v="E06000019"/>
    <s v="Herefordshire, County of"/>
    <n v="138247"/>
    <n v="108336"/>
    <n v="108336"/>
    <n v="0.78364087466635801"/>
    <n v="108336"/>
    <n v="108270"/>
    <n v="44148"/>
    <n v="64122"/>
    <n v="66"/>
    <n v="0"/>
    <n v="22"/>
    <n v="1"/>
    <n v="43"/>
    <n v="0.40775838182321972"/>
    <n v="0.59224161817678023"/>
    <n v="6.0921577315019933E-4"/>
    <s v="Leave"/>
  </r>
  <r>
    <n v="121"/>
    <x v="4"/>
    <x v="4"/>
    <s v="E06000020"/>
    <s v="Telford and Wrekin"/>
    <n v="124338"/>
    <n v="89707"/>
    <n v="89704"/>
    <n v="0.72145281410349205"/>
    <n v="89704"/>
    <n v="89603"/>
    <n v="32954"/>
    <n v="56649"/>
    <n v="101"/>
    <n v="0"/>
    <n v="11"/>
    <n v="0"/>
    <n v="90"/>
    <n v="0.36777786458042699"/>
    <n v="0.63222213541957295"/>
    <n v="1.1259252653170427E-3"/>
    <s v="Leave"/>
  </r>
  <r>
    <n v="122"/>
    <x v="4"/>
    <x v="4"/>
    <s v="E06000051"/>
    <s v="Shropshire"/>
    <n v="236788"/>
    <n v="183328"/>
    <n v="183324"/>
    <n v="0.77421153098974616"/>
    <n v="183323"/>
    <n v="183153"/>
    <n v="78987"/>
    <n v="104166"/>
    <n v="170"/>
    <n v="0"/>
    <n v="42"/>
    <n v="0"/>
    <n v="128"/>
    <n v="0.43126238718448512"/>
    <n v="0.56873761281551494"/>
    <n v="9.2732499468151845E-4"/>
    <s v="Leave"/>
  </r>
  <r>
    <n v="123"/>
    <x v="4"/>
    <x v="4"/>
    <s v="E06000021"/>
    <s v="Stoke-on-Trent"/>
    <n v="179010"/>
    <n v="117691"/>
    <n v="117680"/>
    <n v="0.65739344170716718"/>
    <n v="117674"/>
    <n v="117590"/>
    <n v="36027"/>
    <n v="81563"/>
    <n v="84"/>
    <n v="0"/>
    <n v="19"/>
    <n v="6"/>
    <n v="59"/>
    <n v="0.30637809337528704"/>
    <n v="0.69362190662471301"/>
    <n v="7.1383653143430154E-4"/>
    <s v="Leave"/>
  </r>
  <r>
    <n v="124"/>
    <x v="4"/>
    <x v="4"/>
    <s v="E07000192"/>
    <s v="Cannock Chase"/>
    <n v="75010"/>
    <n v="53610"/>
    <n v="53610"/>
    <n v="0.71470470603919478"/>
    <n v="53607"/>
    <n v="53578"/>
    <n v="16684"/>
    <n v="36894"/>
    <n v="29"/>
    <n v="0"/>
    <n v="15"/>
    <n v="2"/>
    <n v="12"/>
    <n v="0.3113964686998395"/>
    <n v="0.6886035313001605"/>
    <n v="5.4097412651332851E-4"/>
    <s v="Leave"/>
  </r>
  <r>
    <n v="125"/>
    <x v="4"/>
    <x v="4"/>
    <s v="E07000193"/>
    <s v="East Staffordshire"/>
    <n v="83558"/>
    <n v="62164"/>
    <n v="62160"/>
    <n v="0.7439144067593767"/>
    <n v="62161"/>
    <n v="62116"/>
    <n v="22850"/>
    <n v="39266"/>
    <n v="45"/>
    <n v="0"/>
    <n v="9"/>
    <n v="1"/>
    <n v="35"/>
    <n v="0.36786013265503253"/>
    <n v="0.63213986734496752"/>
    <n v="7.2392657775775804E-4"/>
    <s v="Leave"/>
  </r>
  <r>
    <n v="126"/>
    <x v="4"/>
    <x v="4"/>
    <s v="E07000194"/>
    <s v="Lichfield"/>
    <n v="80369"/>
    <n v="63324"/>
    <n v="63318"/>
    <n v="0.78784108300464106"/>
    <n v="63318"/>
    <n v="63278"/>
    <n v="26064"/>
    <n v="37214"/>
    <n v="40"/>
    <n v="0"/>
    <n v="16"/>
    <n v="1"/>
    <n v="23"/>
    <n v="0.41189670975694553"/>
    <n v="0.58810329024305441"/>
    <n v="6.3173189298461731E-4"/>
    <s v="Leave"/>
  </r>
  <r>
    <n v="127"/>
    <x v="4"/>
    <x v="4"/>
    <s v="E07000195"/>
    <s v="Newcastle-under-Lyme"/>
    <n v="92816"/>
    <n v="68966"/>
    <n v="68966"/>
    <n v="0.74303999310463709"/>
    <n v="68966"/>
    <n v="68934"/>
    <n v="25477"/>
    <n v="43457"/>
    <n v="32"/>
    <n v="0"/>
    <n v="13"/>
    <n v="0"/>
    <n v="19"/>
    <n v="0.36958540052804134"/>
    <n v="0.63041459947195866"/>
    <n v="4.6399675202273585E-4"/>
    <s v="Leave"/>
  </r>
  <r>
    <n v="128"/>
    <x v="4"/>
    <x v="4"/>
    <s v="E07000196"/>
    <s v="South Staffordshire"/>
    <n v="85777"/>
    <n v="66741"/>
    <n v="66741"/>
    <n v="0.77807570794035696"/>
    <n v="66739"/>
    <n v="66692"/>
    <n v="23444"/>
    <n v="43248"/>
    <n v="47"/>
    <n v="0"/>
    <n v="6"/>
    <n v="2"/>
    <n v="39"/>
    <n v="0.35152641996041506"/>
    <n v="0.648473580039585"/>
    <n v="7.0423590404411214E-4"/>
    <s v="Leave"/>
  </r>
  <r>
    <n v="129"/>
    <x v="4"/>
    <x v="4"/>
    <s v="E07000197"/>
    <s v="Stafford"/>
    <n v="99612"/>
    <n v="77524"/>
    <n v="77527"/>
    <n v="0.77828976428542751"/>
    <n v="77527"/>
    <n v="77484"/>
    <n v="34098"/>
    <n v="43386"/>
    <n v="43"/>
    <n v="0"/>
    <n v="11"/>
    <n v="3"/>
    <n v="29"/>
    <n v="0.44006504568685145"/>
    <n v="0.55993495431314855"/>
    <n v="5.5464547834947829E-4"/>
    <s v="Leave"/>
  </r>
  <r>
    <n v="130"/>
    <x v="4"/>
    <x v="4"/>
    <s v="E07000198"/>
    <s v="Staffordshire Moorlands"/>
    <n v="79347"/>
    <n v="59794"/>
    <n v="59793"/>
    <n v="0.75356346175658817"/>
    <n v="59793"/>
    <n v="59760"/>
    <n v="21076"/>
    <n v="38684"/>
    <n v="33"/>
    <n v="0"/>
    <n v="13"/>
    <n v="0"/>
    <n v="20"/>
    <n v="0.35267737617135209"/>
    <n v="0.64732262382864791"/>
    <n v="5.5190406903818173E-4"/>
    <s v="Leave"/>
  </r>
  <r>
    <n v="131"/>
    <x v="4"/>
    <x v="4"/>
    <s v="E07000199"/>
    <s v="Tamworth"/>
    <n v="56825"/>
    <n v="42152"/>
    <n v="42151"/>
    <n v="0.74176858776946764"/>
    <n v="42151"/>
    <n v="42129"/>
    <n v="13705"/>
    <n v="28424"/>
    <n v="22"/>
    <n v="0"/>
    <n v="12"/>
    <n v="0"/>
    <n v="10"/>
    <n v="0.3253103562866434"/>
    <n v="0.6746896437133566"/>
    <n v="5.2193305022419398E-4"/>
    <s v="Leave"/>
  </r>
  <r>
    <n v="132"/>
    <x v="4"/>
    <x v="4"/>
    <s v="E07000218"/>
    <s v="North Warwickshire"/>
    <n v="49790"/>
    <n v="37975"/>
    <n v="37975"/>
    <n v="0.76270335408716605"/>
    <n v="37975"/>
    <n v="37954"/>
    <n v="12569"/>
    <n v="25385"/>
    <n v="21"/>
    <n v="0"/>
    <n v="9"/>
    <n v="0"/>
    <n v="12"/>
    <n v="0.33116404068082417"/>
    <n v="0.66883595931917583"/>
    <n v="5.5299539170506912E-4"/>
    <s v="Leave"/>
  </r>
  <r>
    <n v="133"/>
    <x v="4"/>
    <x v="4"/>
    <s v="E07000219"/>
    <s v="Nuneaton and Bedworth"/>
    <n v="93978"/>
    <n v="69878"/>
    <n v="69876"/>
    <n v="0.74353572112622102"/>
    <n v="69876"/>
    <n v="69831"/>
    <n v="23736"/>
    <n v="46095"/>
    <n v="45"/>
    <n v="0"/>
    <n v="20"/>
    <n v="2"/>
    <n v="23"/>
    <n v="0.33990634531941399"/>
    <n v="0.66009365468058601"/>
    <n v="6.4399793920659454E-4"/>
    <s v="Leave"/>
  </r>
  <r>
    <n v="134"/>
    <x v="4"/>
    <x v="4"/>
    <s v="E07000220"/>
    <s v="Rugby"/>
    <n v="74137"/>
    <n v="58599"/>
    <n v="58593"/>
    <n v="0.79033411117255892"/>
    <n v="58593"/>
    <n v="58549"/>
    <n v="25350"/>
    <n v="33199"/>
    <n v="44"/>
    <n v="0"/>
    <n v="13"/>
    <n v="2"/>
    <n v="29"/>
    <n v="0.43297067413619361"/>
    <n v="0.56702932586380639"/>
    <n v="7.509429454030345E-4"/>
    <s v="Leave"/>
  </r>
  <r>
    <n v="135"/>
    <x v="4"/>
    <x v="4"/>
    <s v="E07000221"/>
    <s v="Stratford-on-Avon"/>
    <n v="98014"/>
    <n v="79223"/>
    <n v="79217"/>
    <n v="0.80822127451180448"/>
    <n v="79217"/>
    <n v="79158"/>
    <n v="38341"/>
    <n v="40817"/>
    <n v="59"/>
    <n v="0"/>
    <n v="9"/>
    <n v="0"/>
    <n v="50"/>
    <n v="0.48436039313777507"/>
    <n v="0.51563960686222488"/>
    <n v="7.4478962848883448E-4"/>
    <s v="Leave"/>
  </r>
  <r>
    <n v="136"/>
    <x v="4"/>
    <x v="4"/>
    <s v="E07000222"/>
    <s v="Warwick"/>
    <n v="103099"/>
    <n v="81695"/>
    <n v="81695"/>
    <n v="0.79239371865876485"/>
    <n v="81680"/>
    <n v="81618"/>
    <n v="47976"/>
    <n v="33642"/>
    <n v="62"/>
    <n v="0"/>
    <n v="33"/>
    <n v="0"/>
    <n v="29"/>
    <n v="0.5878115121664339"/>
    <n v="0.41218848783356615"/>
    <n v="7.5905974534769835E-4"/>
    <s v="Remain"/>
  </r>
  <r>
    <n v="137"/>
    <x v="4"/>
    <x v="4"/>
    <s v="E07000234"/>
    <s v="Bromsgrove"/>
    <n v="74170"/>
    <n v="58855"/>
    <n v="58855"/>
    <n v="0.79351489820682219"/>
    <n v="58855"/>
    <n v="58815"/>
    <n v="26252"/>
    <n v="32563"/>
    <n v="40"/>
    <n v="0"/>
    <n v="11"/>
    <n v="2"/>
    <n v="27"/>
    <n v="0.44634872056448183"/>
    <n v="0.55365127943551817"/>
    <n v="6.7963639452892706E-4"/>
    <s v="Leave"/>
  </r>
  <r>
    <n v="138"/>
    <x v="4"/>
    <x v="4"/>
    <s v="E07000235"/>
    <s v="Malvern Hills"/>
    <n v="60217"/>
    <n v="48538"/>
    <n v="48538"/>
    <n v="0.80605144726572231"/>
    <n v="48538"/>
    <n v="48497"/>
    <n v="23203"/>
    <n v="25294"/>
    <n v="41"/>
    <n v="0"/>
    <n v="10"/>
    <n v="0"/>
    <n v="31"/>
    <n v="0.47844196548240098"/>
    <n v="0.52155803451759908"/>
    <n v="8.4469899872265033E-4"/>
    <s v="Leave"/>
  </r>
  <r>
    <n v="139"/>
    <x v="4"/>
    <x v="4"/>
    <s v="E07000236"/>
    <s v="Redditch"/>
    <n v="61038"/>
    <n v="45914"/>
    <n v="45913"/>
    <n v="0.75220354533241585"/>
    <n v="45912"/>
    <n v="45882"/>
    <n v="17303"/>
    <n v="28579"/>
    <n v="30"/>
    <n v="0"/>
    <n v="7"/>
    <n v="0"/>
    <n v="23"/>
    <n v="0.37711956758641735"/>
    <n v="0.62288043241358271"/>
    <n v="6.5342394145321485E-4"/>
    <s v="Leave"/>
  </r>
  <r>
    <n v="140"/>
    <x v="4"/>
    <x v="4"/>
    <s v="E07000237"/>
    <s v="Worcester"/>
    <n v="73516"/>
    <n v="54293"/>
    <n v="54289"/>
    <n v="0.73846509603351651"/>
    <n v="54290"/>
    <n v="54239"/>
    <n v="25125"/>
    <n v="29114"/>
    <n v="51"/>
    <n v="7"/>
    <n v="22"/>
    <n v="2"/>
    <n v="20"/>
    <n v="0.46322756687992034"/>
    <n v="0.53677243312007961"/>
    <n v="9.3939952109044027E-4"/>
    <s v="Leave"/>
  </r>
  <r>
    <n v="141"/>
    <x v="4"/>
    <x v="4"/>
    <s v="E07000238"/>
    <s v="Wychavon"/>
    <n v="94497"/>
    <n v="76428"/>
    <n v="76425"/>
    <n v="0.80875583351852443"/>
    <n v="76425"/>
    <n v="76389"/>
    <n v="32188"/>
    <n v="44201"/>
    <n v="36"/>
    <n v="0"/>
    <n v="15"/>
    <n v="0"/>
    <n v="21"/>
    <n v="0.42136956891699068"/>
    <n v="0.57863043108300938"/>
    <n v="4.7105004906771342E-4"/>
    <s v="Leave"/>
  </r>
  <r>
    <n v="142"/>
    <x v="4"/>
    <x v="4"/>
    <s v="E07000239"/>
    <s v="Wyre Forest"/>
    <n v="77878"/>
    <n v="57668"/>
    <n v="57666"/>
    <n v="0.74046585685302657"/>
    <n v="57666"/>
    <n v="57632"/>
    <n v="21240"/>
    <n v="36392"/>
    <n v="34"/>
    <n v="0"/>
    <n v="6"/>
    <n v="0"/>
    <n v="28"/>
    <n v="0.36854525263742366"/>
    <n v="0.63145474736257634"/>
    <n v="5.8960219193285475E-4"/>
    <s v="Leave"/>
  </r>
  <r>
    <n v="143"/>
    <x v="5"/>
    <x v="5"/>
    <s v="E06000031"/>
    <s v="Peterborough"/>
    <n v="120892"/>
    <n v="87474"/>
    <n v="87469"/>
    <n v="0.72353009297554838"/>
    <n v="87469"/>
    <n v="87392"/>
    <n v="34176"/>
    <n v="53216"/>
    <n v="77"/>
    <n v="0"/>
    <n v="32"/>
    <n v="7"/>
    <n v="38"/>
    <n v="0.39106554375686564"/>
    <n v="0.60893445624313436"/>
    <n v="8.8031188192388163E-4"/>
    <s v="Leave"/>
  </r>
  <r>
    <n v="144"/>
    <x v="5"/>
    <x v="5"/>
    <s v="E06000032"/>
    <s v="Luton"/>
    <n v="127612"/>
    <n v="84633"/>
    <n v="84636"/>
    <n v="0.66322916340156102"/>
    <n v="84616"/>
    <n v="84481"/>
    <n v="36708"/>
    <n v="47773"/>
    <n v="135"/>
    <n v="0"/>
    <n v="85"/>
    <n v="0"/>
    <n v="50"/>
    <n v="0.43451190208449236"/>
    <n v="0.56548809791550758"/>
    <n v="1.5954429422331475E-3"/>
    <s v="Leave"/>
  </r>
  <r>
    <n v="145"/>
    <x v="5"/>
    <x v="5"/>
    <s v="E06000055"/>
    <s v="Bedford"/>
    <n v="119530"/>
    <n v="86136"/>
    <n v="86136"/>
    <n v="0.72062243788170333"/>
    <n v="86135"/>
    <n v="86066"/>
    <n v="41497"/>
    <n v="44569"/>
    <n v="69"/>
    <n v="0"/>
    <n v="26"/>
    <n v="1"/>
    <n v="42"/>
    <n v="0.48215323124114051"/>
    <n v="0.51784676875885949"/>
    <n v="8.0106809078771691E-4"/>
    <s v="Leave"/>
  </r>
  <r>
    <n v="146"/>
    <x v="5"/>
    <x v="5"/>
    <s v="E06000056"/>
    <s v="Central Bedfordshire"/>
    <n v="204004"/>
    <n v="158904"/>
    <n v="158896"/>
    <n v="0.77888668849630405"/>
    <n v="158894"/>
    <n v="158804"/>
    <n v="69670"/>
    <n v="89134"/>
    <n v="90"/>
    <n v="0"/>
    <n v="34"/>
    <n v="1"/>
    <n v="55"/>
    <n v="0.43871690889398252"/>
    <n v="0.56128309110601748"/>
    <n v="5.6641534607977651E-4"/>
    <s v="Leave"/>
  </r>
  <r>
    <n v="147"/>
    <x v="5"/>
    <x v="5"/>
    <s v="E06000033"/>
    <s v="Southend-on-Sea"/>
    <n v="128856"/>
    <n v="93948"/>
    <n v="93939"/>
    <n v="0.7290230955485193"/>
    <n v="93939"/>
    <n v="93870"/>
    <n v="39348"/>
    <n v="54522"/>
    <n v="69"/>
    <n v="0"/>
    <n v="21"/>
    <n v="0"/>
    <n v="48"/>
    <n v="0.41917545541706613"/>
    <n v="0.58082454458293387"/>
    <n v="7.3451920927410336E-4"/>
    <s v="Leave"/>
  </r>
  <r>
    <n v="148"/>
    <x v="5"/>
    <x v="5"/>
    <s v="E06000034"/>
    <s v="Thurrock"/>
    <n v="109897"/>
    <n v="79969"/>
    <n v="79954"/>
    <n v="0.72753578350637416"/>
    <n v="79950"/>
    <n v="79916"/>
    <n v="22151"/>
    <n v="57765"/>
    <n v="34"/>
    <n v="0"/>
    <n v="8"/>
    <n v="3"/>
    <n v="23"/>
    <n v="0.27717853746433757"/>
    <n v="0.72282146253566248"/>
    <n v="4.2526579111944966E-4"/>
    <s v="Leave"/>
  </r>
  <r>
    <n v="149"/>
    <x v="5"/>
    <x v="5"/>
    <s v="E07000008"/>
    <s v="Cambridge"/>
    <n v="80108"/>
    <n v="57871"/>
    <n v="57860"/>
    <n v="0.72227492884605782"/>
    <n v="57852"/>
    <n v="57799"/>
    <n v="42682"/>
    <n v="15117"/>
    <n v="53"/>
    <n v="0"/>
    <n v="13"/>
    <n v="0"/>
    <n v="40"/>
    <n v="0.73845568262426686"/>
    <n v="0.26154431737573314"/>
    <n v="9.1613081656641087E-4"/>
    <s v="Remain"/>
  </r>
  <r>
    <n v="150"/>
    <x v="5"/>
    <x v="5"/>
    <s v="E07000009"/>
    <s v="East Cambridgeshire"/>
    <n v="62435"/>
    <n v="48129"/>
    <n v="48120"/>
    <n v="0.77072155041242896"/>
    <n v="48124"/>
    <n v="48086"/>
    <n v="23599"/>
    <n v="24487"/>
    <n v="38"/>
    <n v="0"/>
    <n v="18"/>
    <n v="0"/>
    <n v="20"/>
    <n v="0.49076654327662939"/>
    <n v="0.50923345672337061"/>
    <n v="7.8962679743994684E-4"/>
    <s v="Leave"/>
  </r>
  <r>
    <n v="151"/>
    <x v="5"/>
    <x v="5"/>
    <s v="E07000010"/>
    <s v="Fenland"/>
    <n v="71447"/>
    <n v="52653"/>
    <n v="52649"/>
    <n v="0.73689588086273738"/>
    <n v="52649"/>
    <n v="52626"/>
    <n v="15055"/>
    <n v="37571"/>
    <n v="23"/>
    <n v="0"/>
    <n v="10"/>
    <n v="1"/>
    <n v="12"/>
    <n v="0.28607532398434232"/>
    <n v="0.71392467601565768"/>
    <n v="4.3685540086231458E-4"/>
    <s v="Leave"/>
  </r>
  <r>
    <n v="152"/>
    <x v="5"/>
    <x v="5"/>
    <s v="E07000011"/>
    <s v="Huntingdonshire"/>
    <n v="128486"/>
    <n v="99996"/>
    <n v="99990"/>
    <n v="0.7782170820167178"/>
    <n v="99990"/>
    <n v="99927"/>
    <n v="45729"/>
    <n v="54198"/>
    <n v="63"/>
    <n v="0"/>
    <n v="31"/>
    <n v="0"/>
    <n v="32"/>
    <n v="0.45762406556786456"/>
    <n v="0.5423759344321355"/>
    <n v="6.3006300630063009E-4"/>
    <s v="Leave"/>
  </r>
  <r>
    <n v="153"/>
    <x v="5"/>
    <x v="5"/>
    <s v="E07000012"/>
    <s v="South Cambridgeshire"/>
    <n v="114830"/>
    <n v="93268"/>
    <n v="93263"/>
    <n v="0.81218322737960458"/>
    <n v="93250"/>
    <n v="93189"/>
    <n v="56128"/>
    <n v="37061"/>
    <n v="61"/>
    <n v="0"/>
    <n v="24"/>
    <n v="0"/>
    <n v="37"/>
    <n v="0.60230284690253144"/>
    <n v="0.39769715309746856"/>
    <n v="6.541554959785523E-4"/>
    <s v="Remain"/>
  </r>
  <r>
    <n v="154"/>
    <x v="5"/>
    <x v="5"/>
    <s v="E07000066"/>
    <s v="Basildon"/>
    <n v="132771"/>
    <n v="98087"/>
    <n v="98071"/>
    <n v="0.73864774687243451"/>
    <n v="98062"/>
    <n v="97999"/>
    <n v="30748"/>
    <n v="67251"/>
    <n v="63"/>
    <n v="3"/>
    <n v="26"/>
    <n v="2"/>
    <n v="32"/>
    <n v="0.31375830365615975"/>
    <n v="0.68624169634384025"/>
    <n v="6.4245069445860784E-4"/>
    <s v="Leave"/>
  </r>
  <r>
    <n v="155"/>
    <x v="5"/>
    <x v="5"/>
    <s v="E07000067"/>
    <s v="Braintree"/>
    <n v="112562"/>
    <n v="86316"/>
    <n v="86309"/>
    <n v="0.7667685364510225"/>
    <n v="86303"/>
    <n v="86236"/>
    <n v="33523"/>
    <n v="52713"/>
    <n v="67"/>
    <n v="0"/>
    <n v="23"/>
    <n v="0"/>
    <n v="44"/>
    <n v="0.38873556287397376"/>
    <n v="0.61126443712602629"/>
    <n v="7.7633454225229715E-4"/>
    <s v="Leave"/>
  </r>
  <r>
    <n v="156"/>
    <x v="5"/>
    <x v="5"/>
    <s v="E07000068"/>
    <s v="Brentwood"/>
    <n v="58777"/>
    <n v="46726"/>
    <n v="46724"/>
    <n v="0.79493679500484882"/>
    <n v="46725"/>
    <n v="46704"/>
    <n v="19077"/>
    <n v="27627"/>
    <n v="21"/>
    <n v="0"/>
    <n v="3"/>
    <n v="1"/>
    <n v="17"/>
    <n v="0.40846608427543679"/>
    <n v="0.59153391572456315"/>
    <n v="4.4943820224719103E-4"/>
    <s v="Leave"/>
  </r>
  <r>
    <n v="157"/>
    <x v="5"/>
    <x v="5"/>
    <s v="E07000069"/>
    <s v="Castle Point"/>
    <n v="68860"/>
    <n v="51909"/>
    <n v="51909"/>
    <n v="0.75383386581469647"/>
    <n v="51909"/>
    <n v="51845"/>
    <n v="14154"/>
    <n v="37691"/>
    <n v="64"/>
    <n v="0"/>
    <n v="15"/>
    <n v="1"/>
    <n v="48"/>
    <n v="0.27300607580287395"/>
    <n v="0.72699392419712605"/>
    <n v="1.2329268527615635E-3"/>
    <s v="Leave"/>
  </r>
  <r>
    <n v="158"/>
    <x v="5"/>
    <x v="5"/>
    <s v="E07000070"/>
    <s v="Chelmsford"/>
    <n v="129971"/>
    <n v="100867"/>
    <n v="100866"/>
    <n v="0.77606542998053407"/>
    <n v="100852"/>
    <n v="100794"/>
    <n v="47545"/>
    <n v="53249"/>
    <n v="58"/>
    <n v="0"/>
    <n v="23"/>
    <n v="2"/>
    <n v="33"/>
    <n v="0.4717046649602159"/>
    <n v="0.5282953350397841"/>
    <n v="5.7510014674969263E-4"/>
    <s v="Leave"/>
  </r>
  <r>
    <n v="159"/>
    <x v="5"/>
    <x v="5"/>
    <s v="E07000071"/>
    <s v="Colchester"/>
    <n v="127520"/>
    <n v="95805"/>
    <n v="95802"/>
    <n v="0.75127038895859477"/>
    <n v="95782"/>
    <n v="95719"/>
    <n v="44414"/>
    <n v="51305"/>
    <n v="63"/>
    <n v="2"/>
    <n v="17"/>
    <n v="5"/>
    <n v="39"/>
    <n v="0.46400401174270522"/>
    <n v="0.53599598825729478"/>
    <n v="6.5774362615105139E-4"/>
    <s v="Leave"/>
  </r>
  <r>
    <n v="160"/>
    <x v="5"/>
    <x v="5"/>
    <s v="E07000072"/>
    <s v="Epping Forest"/>
    <n v="100016"/>
    <n v="76905"/>
    <n v="76900"/>
    <n v="0.76887697968325064"/>
    <n v="76900"/>
    <n v="76852"/>
    <n v="28676"/>
    <n v="48176"/>
    <n v="48"/>
    <n v="0"/>
    <n v="21"/>
    <n v="2"/>
    <n v="25"/>
    <n v="0.37313277468380784"/>
    <n v="0.62686722531619221"/>
    <n v="6.2418725617685307E-4"/>
    <s v="Leave"/>
  </r>
  <r>
    <n v="161"/>
    <x v="5"/>
    <x v="5"/>
    <s v="E07000073"/>
    <s v="Harlow"/>
    <n v="59124"/>
    <n v="43493"/>
    <n v="43489"/>
    <n v="0.73555578107029296"/>
    <n v="43489"/>
    <n v="43469"/>
    <n v="13867"/>
    <n v="29602"/>
    <n v="20"/>
    <n v="0"/>
    <n v="1"/>
    <n v="0"/>
    <n v="19"/>
    <n v="0.31900894890611703"/>
    <n v="0.68099105109388303"/>
    <n v="4.5988640805720988E-4"/>
    <s v="Leave"/>
  </r>
  <r>
    <n v="162"/>
    <x v="5"/>
    <x v="5"/>
    <s v="E07000074"/>
    <s v="Maldon"/>
    <n v="49073"/>
    <n v="38851"/>
    <n v="38850"/>
    <n v="0.7916777046441017"/>
    <n v="38850"/>
    <n v="38831"/>
    <n v="14529"/>
    <n v="24302"/>
    <n v="19"/>
    <n v="1"/>
    <n v="9"/>
    <n v="1"/>
    <n v="8"/>
    <n v="0.37415982076176252"/>
    <n v="0.62584017923823754"/>
    <n v="4.8906048906048908E-4"/>
    <s v="Leave"/>
  </r>
  <r>
    <n v="163"/>
    <x v="5"/>
    <x v="5"/>
    <s v="E07000075"/>
    <s v="Rochford"/>
    <n v="66589"/>
    <n v="52487"/>
    <n v="52479"/>
    <n v="0.78810314015828442"/>
    <n v="52479"/>
    <n v="52447"/>
    <n v="17510"/>
    <n v="34937"/>
    <n v="32"/>
    <n v="0"/>
    <n v="13"/>
    <n v="1"/>
    <n v="18"/>
    <n v="0.33386085000095334"/>
    <n v="0.66613914999904666"/>
    <n v="6.0976771661045369E-4"/>
    <s v="Leave"/>
  </r>
  <r>
    <n v="164"/>
    <x v="5"/>
    <x v="5"/>
    <s v="E07000076"/>
    <s v="Tendring"/>
    <n v="111167"/>
    <n v="82724"/>
    <n v="82725"/>
    <n v="0.74415069220182251"/>
    <n v="82703"/>
    <n v="82657"/>
    <n v="25210"/>
    <n v="57447"/>
    <n v="46"/>
    <n v="0"/>
    <n v="17"/>
    <n v="2"/>
    <n v="27"/>
    <n v="0.30499534219727309"/>
    <n v="0.69500465780272691"/>
    <n v="5.5620715088932683E-4"/>
    <s v="Leave"/>
  </r>
  <r>
    <n v="165"/>
    <x v="5"/>
    <x v="5"/>
    <s v="E07000077"/>
    <s v="Uttlesford"/>
    <n v="64735"/>
    <n v="51973"/>
    <n v="51972"/>
    <n v="0.80284235730285003"/>
    <n v="51972"/>
    <n v="51943"/>
    <n v="25619"/>
    <n v="26324"/>
    <n v="29"/>
    <n v="0"/>
    <n v="5"/>
    <n v="0"/>
    <n v="24"/>
    <n v="0.49321371503378703"/>
    <n v="0.50678628496621292"/>
    <n v="5.5799276533518053E-4"/>
    <s v="Leave"/>
  </r>
  <r>
    <n v="166"/>
    <x v="5"/>
    <x v="5"/>
    <s v="E07000095"/>
    <s v="Broxbourne"/>
    <n v="68997"/>
    <n v="50915"/>
    <n v="50907"/>
    <n v="0.73781468759511282"/>
    <n v="50907"/>
    <n v="50872"/>
    <n v="17166"/>
    <n v="33706"/>
    <n v="35"/>
    <n v="0"/>
    <n v="14"/>
    <n v="0"/>
    <n v="21"/>
    <n v="0.33743513130995439"/>
    <n v="0.66256486869004561"/>
    <n v="6.8752823776690823E-4"/>
    <s v="Leave"/>
  </r>
  <r>
    <n v="167"/>
    <x v="5"/>
    <x v="5"/>
    <s v="E07000096"/>
    <s v="Dacorum"/>
    <n v="108965"/>
    <n v="86313"/>
    <n v="86308"/>
    <n v="0.7920708484375717"/>
    <n v="86307"/>
    <n v="86244"/>
    <n v="42542"/>
    <n v="43702"/>
    <n v="63"/>
    <n v="4"/>
    <n v="24"/>
    <n v="0"/>
    <n v="35"/>
    <n v="0.49327489448541345"/>
    <n v="0.50672510551458649"/>
    <n v="7.2995237929716016E-4"/>
    <s v="Leave"/>
  </r>
  <r>
    <n v="168"/>
    <x v="5"/>
    <x v="5"/>
    <s v="E07000242"/>
    <s v="East Hertfordshire"/>
    <n v="106260"/>
    <n v="85446"/>
    <n v="85435"/>
    <n v="0.8040184453227931"/>
    <n v="85433"/>
    <n v="85366"/>
    <n v="42372"/>
    <n v="42994"/>
    <n v="67"/>
    <n v="0"/>
    <n v="26"/>
    <n v="5"/>
    <n v="36"/>
    <n v="0.4963568633882342"/>
    <n v="0.50364313661176585"/>
    <n v="7.8424028185829827E-4"/>
    <s v="Leave"/>
  </r>
  <r>
    <n v="169"/>
    <x v="5"/>
    <x v="5"/>
    <s v="E07000098"/>
    <s v="Hertsmere"/>
    <n v="73295"/>
    <n v="56161"/>
    <n v="56159"/>
    <n v="0.76620506173681702"/>
    <n v="56159"/>
    <n v="56125"/>
    <n v="27593"/>
    <n v="28532"/>
    <n v="34"/>
    <n v="0"/>
    <n v="12"/>
    <n v="0"/>
    <n v="22"/>
    <n v="0.49163474387527839"/>
    <n v="0.50836525612472161"/>
    <n v="6.0542388575295146E-4"/>
    <s v="Leave"/>
  </r>
  <r>
    <n v="170"/>
    <x v="5"/>
    <x v="5"/>
    <s v="E07000099"/>
    <s v="North Hertfordshire"/>
    <n v="99316"/>
    <n v="77748"/>
    <n v="77741"/>
    <n v="0.78276410648838057"/>
    <n v="77737"/>
    <n v="77672"/>
    <n v="42234"/>
    <n v="35438"/>
    <n v="65"/>
    <n v="0"/>
    <n v="29"/>
    <n v="1"/>
    <n v="35"/>
    <n v="0.54374806880214233"/>
    <n v="0.45625193119785767"/>
    <n v="8.3615266861340157E-4"/>
    <s v="Remain"/>
  </r>
  <r>
    <n v="171"/>
    <x v="5"/>
    <x v="5"/>
    <s v="E07000240"/>
    <s v="St Albans"/>
    <n v="104859"/>
    <n v="86519"/>
    <n v="86516"/>
    <n v="0.82506985571100244"/>
    <n v="86524"/>
    <n v="86445"/>
    <n v="54208"/>
    <n v="32237"/>
    <n v="79"/>
    <n v="0"/>
    <n v="31"/>
    <n v="0"/>
    <n v="48"/>
    <n v="0.62708080282260392"/>
    <n v="0.37291919717739602"/>
    <n v="9.130414682631409E-4"/>
    <s v="Remain"/>
  </r>
  <r>
    <n v="172"/>
    <x v="5"/>
    <x v="5"/>
    <s v="E07000243"/>
    <s v="Stevenage"/>
    <n v="62156"/>
    <n v="45811"/>
    <n v="45811"/>
    <n v="0.73703262758221255"/>
    <n v="45811"/>
    <n v="45785"/>
    <n v="18659"/>
    <n v="27126"/>
    <n v="26"/>
    <n v="0"/>
    <n v="12"/>
    <n v="2"/>
    <n v="12"/>
    <n v="0.40753521895817407"/>
    <n v="0.59246478104182587"/>
    <n v="5.6754927855755168E-4"/>
    <s v="Leave"/>
  </r>
  <r>
    <n v="173"/>
    <x v="5"/>
    <x v="5"/>
    <s v="E07000102"/>
    <s v="Three Rivers"/>
    <n v="67380"/>
    <n v="52900"/>
    <n v="52898"/>
    <n v="0.78506975363609377"/>
    <n v="52896"/>
    <n v="52848"/>
    <n v="25751"/>
    <n v="27097"/>
    <n v="48"/>
    <n v="4"/>
    <n v="15"/>
    <n v="4"/>
    <n v="25"/>
    <n v="0.48726536481986071"/>
    <n v="0.51273463518013929"/>
    <n v="9.0744101633393826E-4"/>
    <s v="Leave"/>
  </r>
  <r>
    <n v="174"/>
    <x v="5"/>
    <x v="5"/>
    <s v="E07000103"/>
    <s v="Watford"/>
    <n v="65060"/>
    <n v="46635"/>
    <n v="46635"/>
    <n v="0.71679987703658166"/>
    <n v="46635"/>
    <n v="46586"/>
    <n v="23167"/>
    <n v="23419"/>
    <n v="49"/>
    <n v="0"/>
    <n v="23"/>
    <n v="4"/>
    <n v="22"/>
    <n v="0.49729532477568367"/>
    <n v="0.50270467522431628"/>
    <n v="1.0507129838104427E-3"/>
    <s v="Leave"/>
  </r>
  <r>
    <n v="175"/>
    <x v="5"/>
    <x v="5"/>
    <s v="E07000241"/>
    <s v="Welwyn Hatfield"/>
    <n v="78146"/>
    <n v="58649"/>
    <n v="58641"/>
    <n v="0.75040309164896479"/>
    <n v="58641"/>
    <n v="58610"/>
    <n v="27550"/>
    <n v="31060"/>
    <n v="31"/>
    <n v="0"/>
    <n v="10"/>
    <n v="0"/>
    <n v="21"/>
    <n v="0.47005630438491725"/>
    <n v="0.5299436956150827"/>
    <n v="5.2864037107143468E-4"/>
    <s v="Leave"/>
  </r>
  <r>
    <n v="176"/>
    <x v="5"/>
    <x v="5"/>
    <s v="E07000143"/>
    <s v="Breckland"/>
    <n v="98989"/>
    <n v="73593"/>
    <n v="73593"/>
    <n v="0.74344624150158101"/>
    <n v="73593"/>
    <n v="73548"/>
    <n v="26313"/>
    <n v="47235"/>
    <n v="45"/>
    <n v="0"/>
    <n v="10"/>
    <n v="0"/>
    <n v="35"/>
    <n v="0.35776635666503509"/>
    <n v="0.64223364333496491"/>
    <n v="6.1147119970649379E-4"/>
    <s v="Leave"/>
  </r>
  <r>
    <n v="177"/>
    <x v="5"/>
    <x v="5"/>
    <s v="E07000144"/>
    <s v="Broadland"/>
    <n v="99254"/>
    <n v="77785"/>
    <n v="77783"/>
    <n v="0.7836762246357829"/>
    <n v="77781"/>
    <n v="77737"/>
    <n v="35469"/>
    <n v="42268"/>
    <n v="44"/>
    <n v="0"/>
    <n v="0"/>
    <n v="0"/>
    <n v="44"/>
    <n v="0.4562692154315191"/>
    <n v="0.5437307845684809"/>
    <n v="5.65690849950502E-4"/>
    <s v="Leave"/>
  </r>
  <r>
    <n v="178"/>
    <x v="5"/>
    <x v="5"/>
    <s v="E07000145"/>
    <s v="Great Yarmouth"/>
    <n v="72634"/>
    <n v="50157"/>
    <n v="50156"/>
    <n v="0.69053060550155576"/>
    <n v="50158"/>
    <n v="50128"/>
    <n v="14284"/>
    <n v="35844"/>
    <n v="30"/>
    <n v="0"/>
    <n v="14"/>
    <n v="7"/>
    <n v="9"/>
    <n v="0.28495052665177145"/>
    <n v="0.71504947334822855"/>
    <n v="5.9810997248694122E-4"/>
    <s v="Leave"/>
  </r>
  <r>
    <n v="179"/>
    <x v="5"/>
    <x v="5"/>
    <s v="E07000146"/>
    <s v="King's Lynn and West Norfolk"/>
    <n v="113884"/>
    <n v="85134"/>
    <n v="85128"/>
    <n v="0.74749745354922548"/>
    <n v="85128"/>
    <n v="85080"/>
    <n v="28587"/>
    <n v="56493"/>
    <n v="48"/>
    <n v="0"/>
    <n v="13"/>
    <n v="3"/>
    <n v="32"/>
    <n v="0.33600141043723553"/>
    <n v="0.66399858956276447"/>
    <n v="5.6385678037778404E-4"/>
    <s v="Leave"/>
  </r>
  <r>
    <n v="180"/>
    <x v="5"/>
    <x v="5"/>
    <s v="E07000147"/>
    <s v="North Norfolk"/>
    <n v="83065"/>
    <n v="63841"/>
    <n v="63838"/>
    <n v="0.76853066875338594"/>
    <n v="63829"/>
    <n v="63790"/>
    <n v="26214"/>
    <n v="37576"/>
    <n v="39"/>
    <n v="0"/>
    <n v="4"/>
    <n v="2"/>
    <n v="33"/>
    <n v="0.41094215394262423"/>
    <n v="0.58905784605737577"/>
    <n v="6.1100753575960768E-4"/>
    <s v="Leave"/>
  </r>
  <r>
    <n v="181"/>
    <x v="5"/>
    <x v="5"/>
    <s v="E07000148"/>
    <s v="Norwich"/>
    <n v="96091"/>
    <n v="66420"/>
    <n v="66423"/>
    <n v="0.69125100165468145"/>
    <n v="66422"/>
    <n v="66366"/>
    <n v="37326"/>
    <n v="29040"/>
    <n v="56"/>
    <n v="0"/>
    <n v="17"/>
    <n v="1"/>
    <n v="38"/>
    <n v="0.56242654371214174"/>
    <n v="0.43757345628785826"/>
    <n v="8.4309415555087173E-4"/>
    <s v="Remain"/>
  </r>
  <r>
    <n v="182"/>
    <x v="5"/>
    <x v="5"/>
    <s v="E07000149"/>
    <s v="South Norfolk"/>
    <n v="102395"/>
    <n v="80418"/>
    <n v="80418"/>
    <n v="0.78537037941305732"/>
    <n v="80418"/>
    <n v="80358"/>
    <n v="38817"/>
    <n v="41541"/>
    <n v="60"/>
    <n v="0"/>
    <n v="24"/>
    <n v="1"/>
    <n v="35"/>
    <n v="0.48305084745762711"/>
    <n v="0.51694915254237284"/>
    <n v="7.4610161904051329E-4"/>
    <s v="Leave"/>
  </r>
  <r>
    <n v="183"/>
    <x v="5"/>
    <x v="5"/>
    <s v="E07000200"/>
    <s v="Babergh"/>
    <n v="70628"/>
    <n v="55274"/>
    <n v="55274"/>
    <n v="0.78260746446168661"/>
    <n v="55272"/>
    <n v="55242"/>
    <n v="25309"/>
    <n v="29933"/>
    <n v="30"/>
    <n v="0"/>
    <n v="13"/>
    <n v="0"/>
    <n v="17"/>
    <n v="0.45814778610477536"/>
    <n v="0.54185221389522464"/>
    <n v="5.4277029960920543E-4"/>
    <s v="Leave"/>
  </r>
  <r>
    <n v="184"/>
    <x v="5"/>
    <x v="5"/>
    <s v="E07000201"/>
    <s v="Forest Heath"/>
    <n v="38527"/>
    <n v="27976"/>
    <n v="27977"/>
    <n v="0.72616606535676276"/>
    <n v="27977"/>
    <n v="27951"/>
    <n v="9791"/>
    <n v="18160"/>
    <n v="26"/>
    <n v="2"/>
    <n v="4"/>
    <n v="2"/>
    <n v="18"/>
    <n v="0.3502915816965404"/>
    <n v="0.6497084183034596"/>
    <n v="9.2933481073739148E-4"/>
    <s v="Leave"/>
  </r>
  <r>
    <n v="185"/>
    <x v="5"/>
    <x v="5"/>
    <s v="E07000202"/>
    <s v="Ipswich"/>
    <n v="91574"/>
    <n v="66405"/>
    <n v="66405"/>
    <n v="0.72515124380282614"/>
    <n v="66400"/>
    <n v="66353"/>
    <n v="27698"/>
    <n v="38655"/>
    <n v="47"/>
    <n v="0"/>
    <n v="1"/>
    <n v="7"/>
    <n v="39"/>
    <n v="0.41743402709749372"/>
    <n v="0.58256597290250633"/>
    <n v="7.0783132530120483E-4"/>
    <s v="Leave"/>
  </r>
  <r>
    <n v="186"/>
    <x v="5"/>
    <x v="5"/>
    <s v="E07000203"/>
    <s v="Mid Suffolk"/>
    <n v="78325"/>
    <n v="61231"/>
    <n v="61231"/>
    <n v="0.78175550590488352"/>
    <n v="61222"/>
    <n v="61185"/>
    <n v="27391"/>
    <n v="33794"/>
    <n v="37"/>
    <n v="0"/>
    <n v="4"/>
    <n v="0"/>
    <n v="33"/>
    <n v="0.44767508376236004"/>
    <n v="0.55232491623763991"/>
    <n v="6.0435791055502919E-4"/>
    <s v="Leave"/>
  </r>
  <r>
    <n v="187"/>
    <x v="5"/>
    <x v="5"/>
    <s v="E07000204"/>
    <s v="St Edmundsbury"/>
    <n v="81148"/>
    <n v="62258"/>
    <n v="62256"/>
    <n v="0.76719081184995319"/>
    <n v="62255"/>
    <n v="62210"/>
    <n v="26986"/>
    <n v="35224"/>
    <n v="45"/>
    <n v="1"/>
    <n v="14"/>
    <n v="0"/>
    <n v="30"/>
    <n v="0.43378877993891657"/>
    <n v="0.56621122006108338"/>
    <n v="7.2283350734880737E-4"/>
    <s v="Leave"/>
  </r>
  <r>
    <n v="188"/>
    <x v="5"/>
    <x v="5"/>
    <s v="E07000205"/>
    <s v="Suffolk Coastal"/>
    <n v="98195"/>
    <n v="79234"/>
    <n v="79231"/>
    <n v="0.80687407709150161"/>
    <n v="79226"/>
    <n v="79184"/>
    <n v="37218"/>
    <n v="41966"/>
    <n v="42"/>
    <n v="0"/>
    <n v="15"/>
    <n v="3"/>
    <n v="24"/>
    <n v="0.47001919579713075"/>
    <n v="0.5299808042028693"/>
    <n v="5.3012899805619372E-4"/>
    <s v="Leave"/>
  </r>
  <r>
    <n v="189"/>
    <x v="5"/>
    <x v="5"/>
    <s v="E07000206"/>
    <s v="Waveney"/>
    <n v="90391"/>
    <n v="65690"/>
    <n v="65687"/>
    <n v="0.72669845449215076"/>
    <n v="65687"/>
    <n v="65646"/>
    <n v="24356"/>
    <n v="41290"/>
    <n v="41"/>
    <n v="0"/>
    <n v="11"/>
    <n v="0"/>
    <n v="30"/>
    <n v="0.37102032111629041"/>
    <n v="0.62897967888370965"/>
    <n v="6.2417221063528557E-4"/>
    <s v="Leave"/>
  </r>
  <r>
    <n v="190"/>
    <x v="6"/>
    <x v="6"/>
    <s v="E09000001"/>
    <s v="City of London"/>
    <n v="5987"/>
    <n v="4405"/>
    <n v="4405"/>
    <n v="0.73576081509938196"/>
    <n v="4405"/>
    <n v="4399"/>
    <n v="3312"/>
    <n v="1087"/>
    <n v="6"/>
    <n v="0"/>
    <n v="2"/>
    <n v="0"/>
    <n v="4"/>
    <n v="0.75289838599681747"/>
    <n v="0.24710161400318253"/>
    <n v="1.362088535754824E-3"/>
    <s v="Remain"/>
  </r>
  <r>
    <n v="191"/>
    <x v="6"/>
    <x v="6"/>
    <s v="E09000002"/>
    <s v="Barking and Dagenham"/>
    <n v="115812"/>
    <n v="73943"/>
    <n v="73941"/>
    <n v="0.63845715469899489"/>
    <n v="73941"/>
    <n v="73880"/>
    <n v="27750"/>
    <n v="46130"/>
    <n v="61"/>
    <n v="0"/>
    <n v="21"/>
    <n v="0"/>
    <n v="40"/>
    <n v="0.37560909583107743"/>
    <n v="0.62439090416892262"/>
    <n v="8.2498208030727205E-4"/>
    <s v="Leave"/>
  </r>
  <r>
    <n v="192"/>
    <x v="6"/>
    <x v="6"/>
    <s v="E09000003"/>
    <s v="Barnet"/>
    <n v="223467"/>
    <n v="161209"/>
    <n v="161208"/>
    <n v="0.72139510531756368"/>
    <n v="161218"/>
    <n v="161033"/>
    <n v="100210"/>
    <n v="60823"/>
    <n v="185"/>
    <n v="0"/>
    <n v="54"/>
    <n v="12"/>
    <n v="119"/>
    <n v="0.62229480913849955"/>
    <n v="0.37770519086150045"/>
    <n v="1.1475145455222121E-3"/>
    <s v="Remain"/>
  </r>
  <r>
    <n v="193"/>
    <x v="6"/>
    <x v="6"/>
    <s v="E09000004"/>
    <s v="Bexley"/>
    <n v="170779"/>
    <n v="128571"/>
    <n v="128570"/>
    <n v="0.75284431926642037"/>
    <n v="128570"/>
    <n v="128489"/>
    <n v="47603"/>
    <n v="80886"/>
    <n v="81"/>
    <n v="5"/>
    <n v="35"/>
    <n v="0"/>
    <n v="41"/>
    <n v="0.37048307637229644"/>
    <n v="0.62951692362770351"/>
    <n v="6.3000700007777863E-4"/>
    <s v="Leave"/>
  </r>
  <r>
    <n v="194"/>
    <x v="6"/>
    <x v="6"/>
    <s v="E09000005"/>
    <s v="Brent"/>
    <n v="186793"/>
    <n v="121676"/>
    <n v="121678"/>
    <n v="0.65140556658975446"/>
    <n v="121671"/>
    <n v="121404"/>
    <n v="72523"/>
    <n v="48881"/>
    <n v="267"/>
    <n v="0"/>
    <n v="157"/>
    <n v="0"/>
    <n v="110"/>
    <n v="0.59736911469144349"/>
    <n v="0.40263088530855656"/>
    <n v="2.1944423897231058E-3"/>
    <s v="Remain"/>
  </r>
  <r>
    <n v="195"/>
    <x v="6"/>
    <x v="6"/>
    <s v="E09000006"/>
    <s v="Bromley"/>
    <n v="231473"/>
    <n v="182570"/>
    <n v="182570"/>
    <n v="0.78873129911479956"/>
    <n v="182570"/>
    <n v="182432"/>
    <n v="92398"/>
    <n v="90034"/>
    <n v="138"/>
    <n v="0"/>
    <n v="43"/>
    <n v="0"/>
    <n v="95"/>
    <n v="0.50647912646904047"/>
    <n v="0.49352087353095947"/>
    <n v="7.5587445911157365E-4"/>
    <s v="Remain"/>
  </r>
  <r>
    <n v="196"/>
    <x v="6"/>
    <x v="6"/>
    <s v="E09000007"/>
    <s v="Camden"/>
    <n v="145425"/>
    <n v="95288"/>
    <n v="95282"/>
    <n v="0.65519683685748664"/>
    <n v="95281"/>
    <n v="95133"/>
    <n v="71295"/>
    <n v="23838"/>
    <n v="148"/>
    <n v="0"/>
    <n v="54"/>
    <n v="8"/>
    <n v="86"/>
    <n v="0.74942448992463184"/>
    <n v="0.25057551007536816"/>
    <n v="1.5533002382426718E-3"/>
    <s v="Remain"/>
  </r>
  <r>
    <n v="197"/>
    <x v="6"/>
    <x v="6"/>
    <s v="E09000008"/>
    <s v="Croydon"/>
    <n v="245349"/>
    <n v="171295"/>
    <n v="171292"/>
    <n v="0.6981565035928412"/>
    <n v="171289"/>
    <n v="171134"/>
    <n v="92913"/>
    <n v="78221"/>
    <n v="155"/>
    <n v="0"/>
    <n v="73"/>
    <n v="5"/>
    <n v="77"/>
    <n v="0.54292542685848522"/>
    <n v="0.45707457314151484"/>
    <n v="9.0490340885871249E-4"/>
    <s v="Remain"/>
  </r>
  <r>
    <n v="198"/>
    <x v="6"/>
    <x v="6"/>
    <s v="E09000009"/>
    <s v="Ealing"/>
    <n v="212991"/>
    <n v="149267"/>
    <n v="149267"/>
    <n v="0.70081364940302637"/>
    <n v="149268"/>
    <n v="149041"/>
    <n v="90024"/>
    <n v="59017"/>
    <n v="227"/>
    <n v="0"/>
    <n v="115"/>
    <n v="3"/>
    <n v="109"/>
    <n v="0.60402171214632217"/>
    <n v="0.39597828785367783"/>
    <n v="1.5207546158587239E-3"/>
    <s v="Remain"/>
  </r>
  <r>
    <n v="199"/>
    <x v="6"/>
    <x v="6"/>
    <s v="E09000010"/>
    <s v="Enfield"/>
    <n v="198387"/>
    <n v="137054"/>
    <n v="137056"/>
    <n v="0.6908517191146597"/>
    <n v="137056"/>
    <n v="136906"/>
    <n v="76425"/>
    <n v="60481"/>
    <n v="150"/>
    <n v="0"/>
    <n v="69"/>
    <n v="1"/>
    <n v="80"/>
    <n v="0.55822973427022926"/>
    <n v="0.44177026572977079"/>
    <n v="1.0944431473266401E-3"/>
    <s v="Remain"/>
  </r>
  <r>
    <n v="200"/>
    <x v="6"/>
    <x v="6"/>
    <s v="E09000011"/>
    <s v="Greenwich"/>
    <n v="168967"/>
    <n v="117470"/>
    <n v="117472"/>
    <n v="0.69523634792592637"/>
    <n v="117470"/>
    <n v="117365"/>
    <n v="65248"/>
    <n v="52117"/>
    <n v="105"/>
    <n v="0"/>
    <n v="35"/>
    <n v="1"/>
    <n v="69"/>
    <n v="0.55594086823158517"/>
    <n v="0.44405913176841477"/>
    <n v="8.9384523708180817E-4"/>
    <s v="Remain"/>
  </r>
  <r>
    <n v="201"/>
    <x v="6"/>
    <x v="6"/>
    <s v="E09000012"/>
    <s v="Hackney"/>
    <n v="163284"/>
    <n v="106422"/>
    <n v="106422"/>
    <n v="0.65176012346586321"/>
    <n v="106422"/>
    <n v="106266"/>
    <n v="83398"/>
    <n v="22868"/>
    <n v="156"/>
    <n v="7"/>
    <n v="44"/>
    <n v="35"/>
    <n v="70"/>
    <n v="0.78480417066606445"/>
    <n v="0.21519582933393561"/>
    <n v="1.4658623217004003E-3"/>
    <s v="Remain"/>
  </r>
  <r>
    <n v="202"/>
    <x v="6"/>
    <x v="6"/>
    <s v="E09000013"/>
    <s v="Hammersmith and Fulham"/>
    <n v="114863"/>
    <n v="80351"/>
    <n v="80350"/>
    <n v="0.69952900411794916"/>
    <n v="80347"/>
    <n v="80242"/>
    <n v="56188"/>
    <n v="24054"/>
    <n v="105"/>
    <n v="0"/>
    <n v="32"/>
    <n v="8"/>
    <n v="65"/>
    <n v="0.70023179880860398"/>
    <n v="0.29976820119139602"/>
    <n v="1.306831617857543E-3"/>
    <s v="Remain"/>
  </r>
  <r>
    <n v="203"/>
    <x v="6"/>
    <x v="6"/>
    <s v="E09000014"/>
    <s v="Haringey"/>
    <n v="150098"/>
    <n v="106043"/>
    <n v="106034"/>
    <n v="0.70643179789204391"/>
    <n v="106032"/>
    <n v="105846"/>
    <n v="79991"/>
    <n v="25855"/>
    <n v="186"/>
    <n v="0"/>
    <n v="71"/>
    <n v="0"/>
    <n v="115"/>
    <n v="0.75573002286340529"/>
    <n v="0.24426997713659468"/>
    <n v="1.7541874151199637E-3"/>
    <s v="Remain"/>
  </r>
  <r>
    <n v="204"/>
    <x v="6"/>
    <x v="6"/>
    <s v="E09000015"/>
    <s v="Harrow"/>
    <n v="162397"/>
    <n v="117363"/>
    <n v="117361"/>
    <n v="0.72267960615035987"/>
    <n v="117352"/>
    <n v="117225"/>
    <n v="64042"/>
    <n v="53183"/>
    <n v="127"/>
    <n v="0"/>
    <n v="50"/>
    <n v="6"/>
    <n v="71"/>
    <n v="0.54631691192151843"/>
    <n v="0.45368308807848157"/>
    <n v="1.0822141931965369E-3"/>
    <s v="Remain"/>
  </r>
  <r>
    <n v="205"/>
    <x v="6"/>
    <x v="6"/>
    <s v="E09000016"/>
    <s v="Havering"/>
    <n v="183082"/>
    <n v="139179"/>
    <n v="139176"/>
    <n v="0.76018396128510723"/>
    <n v="139175"/>
    <n v="139086"/>
    <n v="42201"/>
    <n v="96885"/>
    <n v="89"/>
    <n v="1"/>
    <n v="25"/>
    <n v="1"/>
    <n v="62"/>
    <n v="0.30341659117380615"/>
    <n v="0.69658340882619385"/>
    <n v="6.3948266570864015E-4"/>
    <s v="Leave"/>
  </r>
  <r>
    <n v="206"/>
    <x v="6"/>
    <x v="6"/>
    <s v="E09000017"/>
    <s v="Hillingdon"/>
    <n v="193033"/>
    <n v="133171"/>
    <n v="133171"/>
    <n v="0.68988722135593394"/>
    <n v="133170"/>
    <n v="133022"/>
    <n v="58040"/>
    <n v="74982"/>
    <n v="148"/>
    <n v="0"/>
    <n v="55"/>
    <n v="16"/>
    <n v="77"/>
    <n v="0.43631880440829335"/>
    <n v="0.5636811955917066"/>
    <n v="1.1113614177367275E-3"/>
    <s v="Leave"/>
  </r>
  <r>
    <n v="207"/>
    <x v="6"/>
    <x v="6"/>
    <s v="E09000018"/>
    <s v="Hounslow"/>
    <n v="165050"/>
    <n v="115211"/>
    <n v="115209"/>
    <n v="0.69802484095728567"/>
    <n v="115208"/>
    <n v="115076"/>
    <n v="58755"/>
    <n v="56321"/>
    <n v="132"/>
    <n v="0"/>
    <n v="39"/>
    <n v="6"/>
    <n v="87"/>
    <n v="0.51057561959053144"/>
    <n v="0.48942438040946851"/>
    <n v="1.145753767099507E-3"/>
    <s v="Remain"/>
  </r>
  <r>
    <n v="208"/>
    <x v="6"/>
    <x v="6"/>
    <s v="E09000019"/>
    <s v="Islington"/>
    <n v="144514"/>
    <n v="101739"/>
    <n v="101726"/>
    <n v="0.70391795950565339"/>
    <n v="101723"/>
    <n v="101600"/>
    <n v="76420"/>
    <n v="25180"/>
    <n v="123"/>
    <n v="0"/>
    <n v="47"/>
    <n v="2"/>
    <n v="74"/>
    <n v="0.75216535433070864"/>
    <n v="0.24783464566929134"/>
    <n v="1.2091660686373779E-3"/>
    <s v="Remain"/>
  </r>
  <r>
    <n v="209"/>
    <x v="6"/>
    <x v="6"/>
    <s v="E09000020"/>
    <s v="Kensington and Chelsea"/>
    <n v="83042"/>
    <n v="54803"/>
    <n v="54801"/>
    <n v="0.65991907709351894"/>
    <n v="54801"/>
    <n v="54739"/>
    <n v="37601"/>
    <n v="17138"/>
    <n v="62"/>
    <n v="0"/>
    <n v="14"/>
    <n v="2"/>
    <n v="46"/>
    <n v="0.68691426587990279"/>
    <n v="0.31308573412009721"/>
    <n v="1.1313662159449646E-3"/>
    <s v="Remain"/>
  </r>
  <r>
    <n v="210"/>
    <x v="6"/>
    <x v="6"/>
    <s v="E09000021"/>
    <s v="Kingston upon Thames"/>
    <n v="108838"/>
    <n v="85334"/>
    <n v="85335"/>
    <n v="0.78405520130836659"/>
    <n v="85330"/>
    <n v="85270"/>
    <n v="52533"/>
    <n v="32737"/>
    <n v="60"/>
    <n v="0"/>
    <n v="16"/>
    <n v="3"/>
    <n v="41"/>
    <n v="0.61607833939251788"/>
    <n v="0.38392166060748212"/>
    <n v="7.0315246689323801E-4"/>
    <s v="Remain"/>
  </r>
  <r>
    <n v="211"/>
    <x v="6"/>
    <x v="6"/>
    <s v="E09000022"/>
    <s v="Lambeth"/>
    <n v="210800"/>
    <n v="142162"/>
    <n v="142162"/>
    <n v="0.67439278937381408"/>
    <n v="142162"/>
    <n v="141924"/>
    <n v="111584"/>
    <n v="30340"/>
    <n v="238"/>
    <n v="0"/>
    <n v="104"/>
    <n v="0"/>
    <n v="134"/>
    <n v="0.78622361263774976"/>
    <n v="0.21377638736225021"/>
    <n v="1.6741463963647106E-3"/>
    <s v="Remain"/>
  </r>
  <r>
    <n v="212"/>
    <x v="6"/>
    <x v="6"/>
    <s v="E09000023"/>
    <s v="Lewisham"/>
    <n v="197514"/>
    <n v="124634"/>
    <n v="124622"/>
    <n v="0.63095274259039869"/>
    <n v="124637"/>
    <n v="124473"/>
    <n v="86955"/>
    <n v="37518"/>
    <n v="164"/>
    <n v="0"/>
    <n v="61"/>
    <n v="1"/>
    <n v="102"/>
    <n v="0.69858523535224504"/>
    <n v="0.30141476464775496"/>
    <n v="1.3158211446039297E-3"/>
    <s v="Remain"/>
  </r>
  <r>
    <n v="213"/>
    <x v="6"/>
    <x v="6"/>
    <s v="E09000024"/>
    <s v="Merton"/>
    <n v="136352"/>
    <n v="100215"/>
    <n v="100207"/>
    <n v="0.73491404599859189"/>
    <n v="100207"/>
    <n v="100100"/>
    <n v="63003"/>
    <n v="37097"/>
    <n v="107"/>
    <n v="0"/>
    <n v="45"/>
    <n v="0"/>
    <n v="62"/>
    <n v="0.62940059940059945"/>
    <n v="0.37059940059940061"/>
    <n v="1.0677896753719801E-3"/>
    <s v="Remain"/>
  </r>
  <r>
    <n v="214"/>
    <x v="6"/>
    <x v="6"/>
    <s v="E09000025"/>
    <s v="Newham"/>
    <n v="176985"/>
    <n v="104869"/>
    <n v="104861"/>
    <n v="0.59248523886205051"/>
    <n v="104864"/>
    <n v="104699"/>
    <n v="55328"/>
    <n v="49371"/>
    <n v="165"/>
    <n v="9"/>
    <n v="87"/>
    <n v="0"/>
    <n v="69"/>
    <n v="0.52844821822557997"/>
    <n v="0.47155178177442003"/>
    <n v="1.5734665852914251E-3"/>
    <s v="Remain"/>
  </r>
  <r>
    <n v="215"/>
    <x v="6"/>
    <x v="6"/>
    <s v="E09000026"/>
    <s v="Redbridge"/>
    <n v="189843"/>
    <n v="128439"/>
    <n v="128423"/>
    <n v="0.67646950374783377"/>
    <n v="128397"/>
    <n v="128233"/>
    <n v="69213"/>
    <n v="59020"/>
    <n v="164"/>
    <n v="0"/>
    <n v="78"/>
    <n v="3"/>
    <n v="83"/>
    <n v="0.5397440596414339"/>
    <n v="0.46025594035856604"/>
    <n v="1.2772884101653465E-3"/>
    <s v="Remain"/>
  </r>
  <r>
    <n v="216"/>
    <x v="6"/>
    <x v="6"/>
    <s v="E09000027"/>
    <s v="Richmond upon Thames"/>
    <n v="132632"/>
    <n v="108892"/>
    <n v="108888"/>
    <n v="0.82097834610048859"/>
    <n v="108876"/>
    <n v="108806"/>
    <n v="75396"/>
    <n v="33410"/>
    <n v="70"/>
    <n v="0"/>
    <n v="26"/>
    <n v="2"/>
    <n v="42"/>
    <n v="0.69293972758855216"/>
    <n v="0.3070602724114479"/>
    <n v="6.4293324515963114E-4"/>
    <s v="Remain"/>
  </r>
  <r>
    <n v="217"/>
    <x v="6"/>
    <x v="6"/>
    <s v="E09000028"/>
    <s v="Southwark"/>
    <n v="195875"/>
    <n v="129688"/>
    <n v="129680"/>
    <n v="0.66205488194001272"/>
    <n v="129677"/>
    <n v="129502"/>
    <n v="94293"/>
    <n v="35209"/>
    <n v="175"/>
    <n v="0"/>
    <n v="60"/>
    <n v="5"/>
    <n v="110"/>
    <n v="0.72812002903430062"/>
    <n v="0.27187997096569938"/>
    <n v="1.3495068516390725E-3"/>
    <s v="Remain"/>
  </r>
  <r>
    <n v="218"/>
    <x v="6"/>
    <x v="6"/>
    <s v="E09000029"/>
    <s v="Sutton"/>
    <n v="140288"/>
    <n v="106633"/>
    <n v="106630"/>
    <n v="0.76007926551094895"/>
    <n v="106633"/>
    <n v="106560"/>
    <n v="49319"/>
    <n v="57241"/>
    <n v="73"/>
    <n v="0"/>
    <n v="25"/>
    <n v="7"/>
    <n v="41"/>
    <n v="0.46282845345345347"/>
    <n v="0.53717154654654653"/>
    <n v="6.8459107405774943E-4"/>
    <s v="Leave"/>
  </r>
  <r>
    <n v="219"/>
    <x v="6"/>
    <x v="6"/>
    <s v="E09000030"/>
    <s v="Tower Hamlets"/>
    <n v="167820"/>
    <n v="108421"/>
    <n v="108403"/>
    <n v="0.64594803956620184"/>
    <n v="108420"/>
    <n v="108235"/>
    <n v="73011"/>
    <n v="35224"/>
    <n v="185"/>
    <n v="0"/>
    <n v="105"/>
    <n v="6"/>
    <n v="74"/>
    <n v="0.67455998521735117"/>
    <n v="0.32544001478264889"/>
    <n v="1.7063272458955913E-3"/>
    <s v="Remain"/>
  </r>
  <r>
    <n v="220"/>
    <x v="6"/>
    <x v="6"/>
    <s v="E09000031"/>
    <s v="Waltham Forest"/>
    <n v="162983"/>
    <n v="108695"/>
    <n v="108689"/>
    <n v="0.66687323217758909"/>
    <n v="108689"/>
    <n v="108551"/>
    <n v="64156"/>
    <n v="44395"/>
    <n v="138"/>
    <n v="4"/>
    <n v="44"/>
    <n v="9"/>
    <n v="81"/>
    <n v="0.59102173172057371"/>
    <n v="0.40897826827942624"/>
    <n v="1.2696777042755017E-3"/>
    <s v="Remain"/>
  </r>
  <r>
    <n v="221"/>
    <x v="6"/>
    <x v="6"/>
    <s v="E09000032"/>
    <s v="Wandsworth"/>
    <n v="219521"/>
    <n v="158018"/>
    <n v="158018"/>
    <n v="0.71983090456038379"/>
    <n v="158018"/>
    <n v="157884"/>
    <n v="118463"/>
    <n v="39421"/>
    <n v="134"/>
    <n v="0"/>
    <n v="55"/>
    <n v="0"/>
    <n v="79"/>
    <n v="0.75031668820146435"/>
    <n v="0.24968331179853565"/>
    <n v="8.4800465769722434E-4"/>
    <s v="Remain"/>
  </r>
  <r>
    <n v="222"/>
    <x v="6"/>
    <x v="6"/>
    <s v="E09000033"/>
    <s v="Westminster"/>
    <n v="120524"/>
    <n v="78325"/>
    <n v="78325"/>
    <n v="0.64987056519863262"/>
    <n v="78325"/>
    <n v="78196"/>
    <n v="53928"/>
    <n v="24268"/>
    <n v="129"/>
    <n v="0"/>
    <n v="47"/>
    <n v="1"/>
    <n v="81"/>
    <n v="0.68965164458540074"/>
    <n v="0.31034835541459921"/>
    <n v="1.6469837216725183E-3"/>
    <s v="Remain"/>
  </r>
  <r>
    <n v="223"/>
    <x v="7"/>
    <x v="7"/>
    <s v="E06000035"/>
    <s v="Medway"/>
    <n v="192524"/>
    <n v="138975"/>
    <n v="138975"/>
    <n v="0.7218580540607924"/>
    <n v="138973"/>
    <n v="138886"/>
    <n v="49889"/>
    <n v="88997"/>
    <n v="87"/>
    <n v="0"/>
    <n v="27"/>
    <n v="9"/>
    <n v="51"/>
    <n v="0.35920827153204787"/>
    <n v="0.64079172846795218"/>
    <n v="6.2602088175400979E-4"/>
    <s v="Leave"/>
  </r>
  <r>
    <n v="224"/>
    <x v="7"/>
    <x v="7"/>
    <s v="E06000036"/>
    <s v="Bracknell Forest"/>
    <n v="85298"/>
    <n v="64928"/>
    <n v="64922"/>
    <n v="0.76111983868320476"/>
    <n v="64922"/>
    <n v="64890"/>
    <n v="29888"/>
    <n v="35002"/>
    <n v="32"/>
    <n v="0"/>
    <n v="10"/>
    <n v="0"/>
    <n v="22"/>
    <n v="0.46059485282786256"/>
    <n v="0.5394051471721375"/>
    <n v="4.9289917131326824E-4"/>
    <s v="Leave"/>
  </r>
  <r>
    <n v="225"/>
    <x v="7"/>
    <x v="7"/>
    <s v="E06000037"/>
    <s v="West Berkshire"/>
    <n v="116757"/>
    <n v="93347"/>
    <n v="93345"/>
    <n v="0.79948097330352785"/>
    <n v="93345"/>
    <n v="93277"/>
    <n v="48300"/>
    <n v="44977"/>
    <n v="68"/>
    <n v="0"/>
    <n v="27"/>
    <n v="4"/>
    <n v="37"/>
    <n v="0.51781253685260031"/>
    <n v="0.48218746314739969"/>
    <n v="7.2848036852536289E-4"/>
    <s v="Remain"/>
  </r>
  <r>
    <n v="226"/>
    <x v="7"/>
    <x v="7"/>
    <s v="E06000038"/>
    <s v="Reading"/>
    <n v="103172"/>
    <n v="74832"/>
    <n v="74825"/>
    <n v="0.72524522157174431"/>
    <n v="74826"/>
    <n v="74767"/>
    <n v="43385"/>
    <n v="31382"/>
    <n v="59"/>
    <n v="0"/>
    <n v="32"/>
    <n v="0"/>
    <n v="27"/>
    <n v="0.58026937017668223"/>
    <n v="0.41973062982331777"/>
    <n v="7.8849597733408178E-4"/>
    <s v="Remain"/>
  </r>
  <r>
    <n v="227"/>
    <x v="7"/>
    <x v="7"/>
    <s v="E06000039"/>
    <s v="Slough"/>
    <n v="87873"/>
    <n v="54605"/>
    <n v="54604"/>
    <n v="0.62139678854710778"/>
    <n v="54598"/>
    <n v="54542"/>
    <n v="24911"/>
    <n v="29631"/>
    <n v="56"/>
    <n v="1"/>
    <n v="32"/>
    <n v="2"/>
    <n v="21"/>
    <n v="0.45673059293755269"/>
    <n v="0.54326940706244731"/>
    <n v="1.0256785962855781E-3"/>
    <s v="Leave"/>
  </r>
  <r>
    <n v="228"/>
    <x v="7"/>
    <x v="7"/>
    <s v="E06000040"/>
    <s v="Windsor and Maidenhead"/>
    <n v="102665"/>
    <n v="81866"/>
    <n v="81865"/>
    <n v="0.79739930843033169"/>
    <n v="81855"/>
    <n v="81792"/>
    <n v="44086"/>
    <n v="37706"/>
    <n v="63"/>
    <n v="0"/>
    <n v="14"/>
    <n v="2"/>
    <n v="47"/>
    <n v="0.53900136932707354"/>
    <n v="0.46099863067292646"/>
    <n v="7.6965365585486534E-4"/>
    <s v="Remain"/>
  </r>
  <r>
    <n v="229"/>
    <x v="7"/>
    <x v="7"/>
    <s v="E06000041"/>
    <s v="Wokingham"/>
    <n v="121891"/>
    <n v="97559"/>
    <n v="97551"/>
    <n v="0.80031339475432972"/>
    <n v="97551"/>
    <n v="97501"/>
    <n v="55272"/>
    <n v="42229"/>
    <n v="50"/>
    <n v="0"/>
    <n v="23"/>
    <n v="2"/>
    <n v="25"/>
    <n v="0.56688649347186182"/>
    <n v="0.43311350652813818"/>
    <n v="5.1255240848376742E-4"/>
    <s v="Remain"/>
  </r>
  <r>
    <n v="230"/>
    <x v="7"/>
    <x v="7"/>
    <s v="E06000042"/>
    <s v="Milton Keynes"/>
    <n v="177211"/>
    <n v="130535"/>
    <n v="130536"/>
    <n v="0.73661341564575566"/>
    <n v="130534"/>
    <n v="130456"/>
    <n v="63393"/>
    <n v="67063"/>
    <n v="78"/>
    <n v="0"/>
    <n v="32"/>
    <n v="1"/>
    <n v="45"/>
    <n v="0.48593395474336176"/>
    <n v="0.51406604525663824"/>
    <n v="5.9754546708137347E-4"/>
    <s v="Leave"/>
  </r>
  <r>
    <n v="231"/>
    <x v="7"/>
    <x v="7"/>
    <s v="E06000043"/>
    <s v="Brighton and Hove"/>
    <n v="198293"/>
    <n v="146846"/>
    <n v="146840"/>
    <n v="0.74052034111138565"/>
    <n v="146829"/>
    <n v="146675"/>
    <n v="100648"/>
    <n v="46027"/>
    <n v="154"/>
    <n v="0"/>
    <n v="49"/>
    <n v="6"/>
    <n v="99"/>
    <n v="0.68619737514913925"/>
    <n v="0.31380262485086075"/>
    <n v="1.048839125785778E-3"/>
    <s v="Remain"/>
  </r>
  <r>
    <n v="232"/>
    <x v="7"/>
    <x v="7"/>
    <s v="E06000044"/>
    <s v="Portsmouth"/>
    <n v="140517"/>
    <n v="98799"/>
    <n v="98786"/>
    <n v="0.70301814015386044"/>
    <n v="98786"/>
    <n v="98720"/>
    <n v="41384"/>
    <n v="57336"/>
    <n v="66"/>
    <n v="0"/>
    <n v="27"/>
    <n v="0"/>
    <n v="39"/>
    <n v="0.41920583468395461"/>
    <n v="0.58079416531604533"/>
    <n v="6.6811086591217375E-4"/>
    <s v="Leave"/>
  </r>
  <r>
    <n v="233"/>
    <x v="7"/>
    <x v="7"/>
    <s v="E06000045"/>
    <s v="Southampton"/>
    <n v="158171"/>
    <n v="107775"/>
    <n v="107772"/>
    <n v="0.68136384040057907"/>
    <n v="107775"/>
    <n v="107665"/>
    <n v="49738"/>
    <n v="57927"/>
    <n v="110"/>
    <n v="0"/>
    <n v="42"/>
    <n v="25"/>
    <n v="43"/>
    <n v="0.46196999953559653"/>
    <n v="0.53803000046440352"/>
    <n v="1.0206448619809788E-3"/>
    <s v="Leave"/>
  </r>
  <r>
    <n v="234"/>
    <x v="7"/>
    <x v="7"/>
    <s v="E06000046"/>
    <s v="Isle of Wight"/>
    <n v="109844"/>
    <n v="79431"/>
    <n v="79430"/>
    <n v="0.72311641964968498"/>
    <n v="79430"/>
    <n v="79380"/>
    <n v="30207"/>
    <n v="49173"/>
    <n v="50"/>
    <n v="0"/>
    <n v="24"/>
    <n v="2"/>
    <n v="24"/>
    <n v="0.3805366591080877"/>
    <n v="0.61946334089191235"/>
    <n v="6.2948508120357549E-4"/>
    <s v="Leave"/>
  </r>
  <r>
    <n v="235"/>
    <x v="7"/>
    <x v="7"/>
    <s v="E07000004"/>
    <s v="Aylesbury Vale"/>
    <n v="136235"/>
    <n v="106908"/>
    <n v="106895"/>
    <n v="0.78463684075311046"/>
    <n v="106895"/>
    <n v="106833"/>
    <n v="52877"/>
    <n v="53956"/>
    <n v="62"/>
    <n v="0"/>
    <n v="25"/>
    <n v="2"/>
    <n v="35"/>
    <n v="0.49495006224668409"/>
    <n v="0.50504993775331597"/>
    <n v="5.8000841947705695E-4"/>
    <s v="Leave"/>
  </r>
  <r>
    <n v="236"/>
    <x v="7"/>
    <x v="7"/>
    <s v="E07000005"/>
    <s v="Chiltern"/>
    <n v="70185"/>
    <n v="58655"/>
    <n v="58651"/>
    <n v="0.83566289093111068"/>
    <n v="58651"/>
    <n v="58604"/>
    <n v="32241"/>
    <n v="26363"/>
    <n v="47"/>
    <n v="0"/>
    <n v="15"/>
    <n v="0"/>
    <n v="32"/>
    <n v="0.55015016039860765"/>
    <n v="0.44984983960139241"/>
    <n v="8.0135036060766226E-4"/>
    <s v="Remain"/>
  </r>
  <r>
    <n v="237"/>
    <x v="7"/>
    <x v="7"/>
    <s v="E07000006"/>
    <s v="South Bucks"/>
    <n v="52194"/>
    <n v="40755"/>
    <n v="40755"/>
    <n v="0.78083687780204625"/>
    <n v="40755"/>
    <n v="40724"/>
    <n v="20077"/>
    <n v="20647"/>
    <n v="31"/>
    <n v="0"/>
    <n v="10"/>
    <n v="5"/>
    <n v="16"/>
    <n v="0.49300166977703563"/>
    <n v="0.50699833022296437"/>
    <n v="7.6064286590602382E-4"/>
    <s v="Leave"/>
  </r>
  <r>
    <n v="238"/>
    <x v="7"/>
    <x v="7"/>
    <s v="E07000007"/>
    <s v="Wycombe"/>
    <n v="125260"/>
    <n v="94869"/>
    <n v="94869"/>
    <n v="0.75737665655436692"/>
    <n v="94869"/>
    <n v="94790"/>
    <n v="49261"/>
    <n v="45529"/>
    <n v="79"/>
    <n v="0"/>
    <n v="26"/>
    <n v="1"/>
    <n v="52"/>
    <n v="0.51968562084608083"/>
    <n v="0.48031437915391917"/>
    <n v="8.3272723439690522E-4"/>
    <s v="Remain"/>
  </r>
  <r>
    <n v="239"/>
    <x v="7"/>
    <x v="7"/>
    <s v="E07000061"/>
    <s v="Eastbourne"/>
    <n v="71726"/>
    <n v="53600"/>
    <n v="53598"/>
    <n v="0.74726040766249335"/>
    <n v="53598"/>
    <n v="53545"/>
    <n v="22845"/>
    <n v="30700"/>
    <n v="53"/>
    <n v="2"/>
    <n v="15"/>
    <n v="5"/>
    <n v="31"/>
    <n v="0.42665048090391261"/>
    <n v="0.57334951909608745"/>
    <n v="9.8884286727116675E-4"/>
    <s v="Leave"/>
  </r>
  <r>
    <n v="240"/>
    <x v="7"/>
    <x v="7"/>
    <s v="E07000062"/>
    <s v="Hastings"/>
    <n v="61957"/>
    <n v="44390"/>
    <n v="44387"/>
    <n v="0.71641622415546269"/>
    <n v="44387"/>
    <n v="44350"/>
    <n v="20011"/>
    <n v="24339"/>
    <n v="37"/>
    <n v="0"/>
    <n v="12"/>
    <n v="4"/>
    <n v="21"/>
    <n v="0.45120631341600903"/>
    <n v="0.54879368658399097"/>
    <n v="8.335773987879334E-4"/>
    <s v="Leave"/>
  </r>
  <r>
    <n v="241"/>
    <x v="7"/>
    <x v="7"/>
    <s v="E07000063"/>
    <s v="Lewes"/>
    <n v="76428"/>
    <n v="59528"/>
    <n v="59531"/>
    <n v="0.77891610404563771"/>
    <n v="59531"/>
    <n v="59482"/>
    <n v="30974"/>
    <n v="28508"/>
    <n v="49"/>
    <n v="0"/>
    <n v="20"/>
    <n v="0"/>
    <n v="29"/>
    <n v="0.52072896002151914"/>
    <n v="0.47927103997848086"/>
    <n v="8.2310056945121026E-4"/>
    <s v="Remain"/>
  </r>
  <r>
    <n v="242"/>
    <x v="7"/>
    <x v="7"/>
    <s v="E07000064"/>
    <s v="Rother"/>
    <n v="72755"/>
    <n v="57717"/>
    <n v="57715"/>
    <n v="0.79327881245275234"/>
    <n v="57715"/>
    <n v="57669"/>
    <n v="23916"/>
    <n v="33753"/>
    <n v="46"/>
    <n v="0"/>
    <n v="16"/>
    <n v="0"/>
    <n v="30"/>
    <n v="0.41471154346355926"/>
    <n v="0.58528845653644068"/>
    <n v="7.9701983886338039E-4"/>
    <s v="Leave"/>
  </r>
  <r>
    <n v="243"/>
    <x v="7"/>
    <x v="7"/>
    <s v="E07000065"/>
    <s v="Wealden"/>
    <n v="121141"/>
    <n v="96966"/>
    <n v="96958"/>
    <n v="0.80037311892753071"/>
    <n v="96944"/>
    <n v="96892"/>
    <n v="44084"/>
    <n v="52808"/>
    <n v="52"/>
    <n v="1"/>
    <n v="16"/>
    <n v="0"/>
    <n v="35"/>
    <n v="0.45498080336869917"/>
    <n v="0.54501919663130083"/>
    <n v="5.3639214391813827E-4"/>
    <s v="Leave"/>
  </r>
  <r>
    <n v="244"/>
    <x v="7"/>
    <x v="7"/>
    <s v="E07000084"/>
    <s v="Basingstoke and Deane"/>
    <n v="128677"/>
    <n v="100395"/>
    <n v="100395"/>
    <n v="0.78020936142434161"/>
    <n v="100395"/>
    <n v="100328"/>
    <n v="48257"/>
    <n v="52071"/>
    <n v="67"/>
    <n v="0"/>
    <n v="25"/>
    <n v="2"/>
    <n v="40"/>
    <n v="0.48099234510804562"/>
    <n v="0.51900765489195444"/>
    <n v="6.6736391254544549E-4"/>
    <s v="Leave"/>
  </r>
  <r>
    <n v="245"/>
    <x v="7"/>
    <x v="7"/>
    <s v="E07000085"/>
    <s v="East Hampshire"/>
    <n v="90588"/>
    <n v="73971"/>
    <n v="73971"/>
    <n v="0.81656510796131943"/>
    <n v="73967"/>
    <n v="73922"/>
    <n v="37346"/>
    <n v="36576"/>
    <n v="45"/>
    <n v="0"/>
    <n v="12"/>
    <n v="1"/>
    <n v="32"/>
    <n v="0.50520819241903625"/>
    <n v="0.49479180758096369"/>
    <n v="6.0837941244068299E-4"/>
    <s v="Remain"/>
  </r>
  <r>
    <n v="246"/>
    <x v="7"/>
    <x v="7"/>
    <s v="E07000086"/>
    <s v="Eastleigh"/>
    <n v="97280"/>
    <n v="76148"/>
    <n v="76148"/>
    <n v="0.78277138157894732"/>
    <n v="76148"/>
    <n v="76074"/>
    <n v="36172"/>
    <n v="39902"/>
    <n v="74"/>
    <n v="0"/>
    <n v="29"/>
    <n v="1"/>
    <n v="44"/>
    <n v="0.47548439677156451"/>
    <n v="0.52451560322843549"/>
    <n v="9.7179177391395707E-4"/>
    <s v="Leave"/>
  </r>
  <r>
    <n v="247"/>
    <x v="7"/>
    <x v="7"/>
    <s v="E07000087"/>
    <s v="Fareham"/>
    <n v="90175"/>
    <n v="71772"/>
    <n v="71772"/>
    <n v="0.79591904629886334"/>
    <n v="71772"/>
    <n v="71735"/>
    <n v="32210"/>
    <n v="39525"/>
    <n v="37"/>
    <n v="0"/>
    <n v="9"/>
    <n v="4"/>
    <n v="24"/>
    <n v="0.44901373109360843"/>
    <n v="0.55098626890639157"/>
    <n v="5.1552137323747425E-4"/>
    <s v="Leave"/>
  </r>
  <r>
    <n v="248"/>
    <x v="7"/>
    <x v="7"/>
    <s v="E07000088"/>
    <s v="Gosport"/>
    <n v="62781"/>
    <n v="46150"/>
    <n v="46150"/>
    <n v="0.73509501282235068"/>
    <n v="46150"/>
    <n v="46127"/>
    <n v="16671"/>
    <n v="29456"/>
    <n v="23"/>
    <n v="0"/>
    <n v="10"/>
    <n v="3"/>
    <n v="10"/>
    <n v="0.36141522318815444"/>
    <n v="0.63858477681184556"/>
    <n v="4.9837486457204763E-4"/>
    <s v="Leave"/>
  </r>
  <r>
    <n v="249"/>
    <x v="7"/>
    <x v="7"/>
    <s v="E07000089"/>
    <s v="Hart"/>
    <n v="69946"/>
    <n v="57836"/>
    <n v="57822"/>
    <n v="0.82666628542018128"/>
    <n v="57827"/>
    <n v="57795"/>
    <n v="30282"/>
    <n v="27513"/>
    <n v="32"/>
    <n v="0"/>
    <n v="9"/>
    <n v="0"/>
    <n v="23"/>
    <n v="0.52395535946016092"/>
    <n v="0.47604464053983908"/>
    <n v="5.5337472115101947E-4"/>
    <s v="Remain"/>
  </r>
  <r>
    <n v="250"/>
    <x v="7"/>
    <x v="7"/>
    <s v="E07000090"/>
    <s v="Havant"/>
    <n v="95366"/>
    <n v="70672"/>
    <n v="70670"/>
    <n v="0.74103978357066458"/>
    <n v="70670"/>
    <n v="70629"/>
    <n v="26582"/>
    <n v="44047"/>
    <n v="41"/>
    <n v="0"/>
    <n v="24"/>
    <n v="0"/>
    <n v="17"/>
    <n v="0.37636098486457403"/>
    <n v="0.62363901513542597"/>
    <n v="5.8016131314560639E-4"/>
    <s v="Leave"/>
  </r>
  <r>
    <n v="251"/>
    <x v="7"/>
    <x v="7"/>
    <s v="E07000091"/>
    <s v="New Forest"/>
    <n v="141061"/>
    <n v="111786"/>
    <n v="111786"/>
    <n v="0.79246567087997388"/>
    <n v="111786"/>
    <n v="111740"/>
    <n v="47199"/>
    <n v="64541"/>
    <n v="46"/>
    <n v="0"/>
    <n v="8"/>
    <n v="2"/>
    <n v="36"/>
    <n v="0.42240021478432077"/>
    <n v="0.57759978521567923"/>
    <n v="4.1150054568550625E-4"/>
    <s v="Leave"/>
  </r>
  <r>
    <n v="252"/>
    <x v="7"/>
    <x v="7"/>
    <s v="E07000092"/>
    <s v="Rushmoor"/>
    <n v="65790"/>
    <n v="48803"/>
    <n v="48800"/>
    <n v="0.74175406596747229"/>
    <n v="48800"/>
    <n v="48780"/>
    <n v="20384"/>
    <n v="28396"/>
    <n v="20"/>
    <n v="0"/>
    <n v="6"/>
    <n v="1"/>
    <n v="13"/>
    <n v="0.41787617876178762"/>
    <n v="0.58212382123821238"/>
    <n v="4.0983606557377049E-4"/>
    <s v="Leave"/>
  </r>
  <r>
    <n v="253"/>
    <x v="7"/>
    <x v="7"/>
    <s v="E07000093"/>
    <s v="Test Valley"/>
    <n v="94559"/>
    <n v="75316"/>
    <n v="75316"/>
    <n v="0.79649742488816511"/>
    <n v="75316"/>
    <n v="75261"/>
    <n v="36170"/>
    <n v="39091"/>
    <n v="55"/>
    <n v="0"/>
    <n v="13"/>
    <n v="4"/>
    <n v="38"/>
    <n v="0.48059419885465249"/>
    <n v="0.51940580114534751"/>
    <n v="7.3025651919910773E-4"/>
    <s v="Leave"/>
  </r>
  <r>
    <n v="254"/>
    <x v="7"/>
    <x v="7"/>
    <s v="E07000094"/>
    <s v="Winchester"/>
    <n v="89595"/>
    <n v="72801"/>
    <n v="72801"/>
    <n v="0.81255650426921144"/>
    <n v="72801"/>
    <n v="72764"/>
    <n v="42878"/>
    <n v="29886"/>
    <n v="37"/>
    <n v="0"/>
    <n v="12"/>
    <n v="2"/>
    <n v="23"/>
    <n v="0.58927491616733552"/>
    <n v="0.41072508383266448"/>
    <n v="5.0823477699482155E-4"/>
    <s v="Remain"/>
  </r>
  <r>
    <n v="255"/>
    <x v="7"/>
    <x v="7"/>
    <s v="E07000105"/>
    <s v="Ashford"/>
    <n v="90516"/>
    <n v="69828"/>
    <n v="69828"/>
    <n v="0.77144372265676786"/>
    <n v="69827"/>
    <n v="69786"/>
    <n v="28314"/>
    <n v="41472"/>
    <n v="41"/>
    <n v="0"/>
    <n v="13"/>
    <n v="0"/>
    <n v="28"/>
    <n v="0.40572607686355427"/>
    <n v="0.59427392313644567"/>
    <n v="5.8716542311713232E-4"/>
    <s v="Leave"/>
  </r>
  <r>
    <n v="256"/>
    <x v="7"/>
    <x v="7"/>
    <s v="E07000106"/>
    <s v="Canterbury"/>
    <n v="109399"/>
    <n v="82105"/>
    <n v="82105"/>
    <n v="0.75050960246437348"/>
    <n v="82105"/>
    <n v="82048"/>
    <n v="40169"/>
    <n v="41879"/>
    <n v="57"/>
    <n v="0"/>
    <n v="21"/>
    <n v="1"/>
    <n v="35"/>
    <n v="0.48957927067082685"/>
    <n v="0.51042072932917315"/>
    <n v="6.9423299433652027E-4"/>
    <s v="Leave"/>
  </r>
  <r>
    <n v="257"/>
    <x v="7"/>
    <x v="7"/>
    <s v="E07000107"/>
    <s v="Dartford"/>
    <n v="73951"/>
    <n v="55884"/>
    <n v="55883"/>
    <n v="0.75567605576665631"/>
    <n v="55883"/>
    <n v="55855"/>
    <n v="19985"/>
    <n v="35870"/>
    <n v="28"/>
    <n v="0"/>
    <n v="9"/>
    <n v="1"/>
    <n v="18"/>
    <n v="0.35780145018351089"/>
    <n v="0.64219854981648916"/>
    <n v="5.0104682998407387E-4"/>
    <s v="Leave"/>
  </r>
  <r>
    <n v="258"/>
    <x v="7"/>
    <x v="7"/>
    <s v="E07000108"/>
    <s v="Dover"/>
    <n v="85011"/>
    <n v="65057"/>
    <n v="65057"/>
    <n v="0.76527743468492315"/>
    <n v="65057"/>
    <n v="65016"/>
    <n v="24606"/>
    <n v="40410"/>
    <n v="41"/>
    <n v="0"/>
    <n v="10"/>
    <n v="0"/>
    <n v="31"/>
    <n v="0.37846068660022147"/>
    <n v="0.62153931339977853"/>
    <n v="6.3021657930737666E-4"/>
    <s v="Leave"/>
  </r>
  <r>
    <n v="259"/>
    <x v="7"/>
    <x v="7"/>
    <s v="E07000109"/>
    <s v="Gravesham"/>
    <n v="72808"/>
    <n v="54554"/>
    <n v="54553"/>
    <n v="0.7492720580156027"/>
    <n v="54553"/>
    <n v="54519"/>
    <n v="18876"/>
    <n v="35643"/>
    <n v="34"/>
    <n v="0"/>
    <n v="6"/>
    <n v="0"/>
    <n v="28"/>
    <n v="0.34622792054146262"/>
    <n v="0.65377207945853744"/>
    <n v="6.2324711748208163E-4"/>
    <s v="Leave"/>
  </r>
  <r>
    <n v="260"/>
    <x v="7"/>
    <x v="7"/>
    <s v="E07000110"/>
    <s v="Maidstone"/>
    <n v="117298"/>
    <n v="89177"/>
    <n v="89173"/>
    <n v="0.76022609081143755"/>
    <n v="89173"/>
    <n v="89127"/>
    <n v="36762"/>
    <n v="52365"/>
    <n v="46"/>
    <n v="3"/>
    <n v="8"/>
    <n v="1"/>
    <n v="34"/>
    <n v="0.4124676024100441"/>
    <n v="0.5875323975899559"/>
    <n v="5.1585121056822128E-4"/>
    <s v="Leave"/>
  </r>
  <r>
    <n v="261"/>
    <x v="7"/>
    <x v="7"/>
    <s v="E07000111"/>
    <s v="Sevenoaks"/>
    <n v="87253"/>
    <n v="70399"/>
    <n v="70393"/>
    <n v="0.8067688217024056"/>
    <n v="70393"/>
    <n v="70349"/>
    <n v="32091"/>
    <n v="38258"/>
    <n v="44"/>
    <n v="0"/>
    <n v="18"/>
    <n v="4"/>
    <n v="22"/>
    <n v="0.45616853118025841"/>
    <n v="0.54383146881974154"/>
    <n v="6.250621510661571E-4"/>
    <s v="Leave"/>
  </r>
  <r>
    <n v="262"/>
    <x v="7"/>
    <x v="7"/>
    <s v="E07000112"/>
    <s v="Shepway"/>
    <n v="80879"/>
    <n v="60659"/>
    <n v="60659"/>
    <n v="0.7499969089627716"/>
    <n v="60659"/>
    <n v="60613"/>
    <n v="22884"/>
    <n v="37729"/>
    <n v="46"/>
    <n v="0"/>
    <n v="13"/>
    <n v="2"/>
    <n v="31"/>
    <n v="0.37754277135268011"/>
    <n v="0.62245722864731989"/>
    <n v="7.5833759211328905E-4"/>
    <s v="Leave"/>
  </r>
  <r>
    <n v="263"/>
    <x v="7"/>
    <x v="7"/>
    <s v="E07000113"/>
    <s v="Swale"/>
    <n v="102209"/>
    <n v="75913"/>
    <n v="75913"/>
    <n v="0.74272324354998087"/>
    <n v="75913"/>
    <n v="75869"/>
    <n v="28481"/>
    <n v="47388"/>
    <n v="44"/>
    <n v="0"/>
    <n v="16"/>
    <n v="0"/>
    <n v="28"/>
    <n v="0.37539706599533407"/>
    <n v="0.62460293400466593"/>
    <n v="5.7961087033841369E-4"/>
    <s v="Leave"/>
  </r>
  <r>
    <n v="264"/>
    <x v="7"/>
    <x v="7"/>
    <s v="E07000114"/>
    <s v="Thanet"/>
    <n v="99108"/>
    <n v="72149"/>
    <n v="72146"/>
    <n v="0.72795334382693622"/>
    <n v="72146"/>
    <n v="72102"/>
    <n v="26065"/>
    <n v="46037"/>
    <n v="44"/>
    <n v="0"/>
    <n v="14"/>
    <n v="1"/>
    <n v="29"/>
    <n v="0.36150176139358131"/>
    <n v="0.63849823860641863"/>
    <n v="6.0987442131233891E-4"/>
    <s v="Leave"/>
  </r>
  <r>
    <n v="265"/>
    <x v="7"/>
    <x v="7"/>
    <s v="E07000115"/>
    <s v="Tonbridge and Malling"/>
    <n v="93019"/>
    <n v="74070"/>
    <n v="74066"/>
    <n v="0.79624592825121754"/>
    <n v="74066"/>
    <n v="74021"/>
    <n v="32792"/>
    <n v="41229"/>
    <n v="45"/>
    <n v="0"/>
    <n v="15"/>
    <n v="1"/>
    <n v="29"/>
    <n v="0.44300941624674078"/>
    <n v="0.55699058375325916"/>
    <n v="6.0756622471849428E-4"/>
    <s v="Leave"/>
  </r>
  <r>
    <n v="266"/>
    <x v="7"/>
    <x v="7"/>
    <s v="E07000116"/>
    <s v="Tunbridge Wells"/>
    <n v="82181"/>
    <n v="65051"/>
    <n v="65047"/>
    <n v="0.79150898626203137"/>
    <n v="65039"/>
    <n v="64996"/>
    <n v="35676"/>
    <n v="29320"/>
    <n v="43"/>
    <n v="0"/>
    <n v="13"/>
    <n v="2"/>
    <n v="28"/>
    <n v="0.54889531663486979"/>
    <n v="0.45110468336513015"/>
    <n v="6.6114177647257804E-4"/>
    <s v="Remain"/>
  </r>
  <r>
    <n v="267"/>
    <x v="7"/>
    <x v="7"/>
    <s v="E07000177"/>
    <s v="Cherwell"/>
    <n v="108342"/>
    <n v="81909"/>
    <n v="81912"/>
    <n v="0.75605028520795259"/>
    <n v="81908"/>
    <n v="81836"/>
    <n v="40668"/>
    <n v="41168"/>
    <n v="72"/>
    <n v="0"/>
    <n v="29"/>
    <n v="1"/>
    <n v="42"/>
    <n v="0.49694510973165845"/>
    <n v="0.5030548902683416"/>
    <n v="8.7903501489475992E-4"/>
    <s v="Leave"/>
  </r>
  <r>
    <n v="268"/>
    <x v="7"/>
    <x v="7"/>
    <s v="E07000178"/>
    <s v="Oxford"/>
    <n v="97331"/>
    <n v="70421"/>
    <n v="70411"/>
    <n v="0.72341802714448633"/>
    <n v="70411"/>
    <n v="70337"/>
    <n v="49424"/>
    <n v="20913"/>
    <n v="74"/>
    <n v="0"/>
    <n v="29"/>
    <n v="1"/>
    <n v="44"/>
    <n v="0.70267426816611456"/>
    <n v="0.29732573183388544"/>
    <n v="1.0509721492380452E-3"/>
    <s v="Remain"/>
  </r>
  <r>
    <n v="269"/>
    <x v="7"/>
    <x v="7"/>
    <s v="E07000179"/>
    <s v="South Oxfordshire"/>
    <n v="104231"/>
    <n v="84167"/>
    <n v="84167"/>
    <n v="0.80750448522992202"/>
    <n v="84167"/>
    <n v="84110"/>
    <n v="46245"/>
    <n v="37865"/>
    <n v="57"/>
    <n v="0"/>
    <n v="18"/>
    <n v="0"/>
    <n v="39"/>
    <n v="0.54981571751278091"/>
    <n v="0.45018428248721915"/>
    <n v="6.7722504069290819E-4"/>
    <s v="Remain"/>
  </r>
  <r>
    <n v="270"/>
    <x v="7"/>
    <x v="7"/>
    <s v="E07000180"/>
    <s v="Vale of White Horse"/>
    <n v="94487"/>
    <n v="76706"/>
    <n v="76706"/>
    <n v="0.81181538201022363"/>
    <n v="76706"/>
    <n v="76654"/>
    <n v="43462"/>
    <n v="33192"/>
    <n v="52"/>
    <n v="0"/>
    <n v="13"/>
    <n v="0"/>
    <n v="39"/>
    <n v="0.5669893286716936"/>
    <n v="0.4330106713283064"/>
    <n v="6.7791307068547444E-4"/>
    <s v="Remain"/>
  </r>
  <r>
    <n v="271"/>
    <x v="7"/>
    <x v="7"/>
    <s v="E07000181"/>
    <s v="West Oxfordshire"/>
    <n v="82441"/>
    <n v="65721"/>
    <n v="65719"/>
    <n v="0.79716403245957712"/>
    <n v="65719"/>
    <n v="65671"/>
    <n v="35236"/>
    <n v="30435"/>
    <n v="48"/>
    <n v="0"/>
    <n v="8"/>
    <n v="1"/>
    <n v="39"/>
    <n v="0.53655342540847561"/>
    <n v="0.46344657459152444"/>
    <n v="7.3038238561146703E-4"/>
    <s v="Remain"/>
  </r>
  <r>
    <n v="272"/>
    <x v="7"/>
    <x v="7"/>
    <s v="E07000207"/>
    <s v="Elmbridge"/>
    <n v="98613"/>
    <n v="77069"/>
    <n v="77063"/>
    <n v="0.78146897467879484"/>
    <n v="77058"/>
    <n v="77003"/>
    <n v="45841"/>
    <n v="31162"/>
    <n v="55"/>
    <n v="0"/>
    <n v="16"/>
    <n v="3"/>
    <n v="36"/>
    <n v="0.59531446826747014"/>
    <n v="0.40468553173252991"/>
    <n v="7.1374808585740609E-4"/>
    <s v="Remain"/>
  </r>
  <r>
    <n v="273"/>
    <x v="7"/>
    <x v="7"/>
    <s v="E07000208"/>
    <s v="Epsom and Ewell"/>
    <n v="56382"/>
    <n v="45348"/>
    <n v="45343"/>
    <n v="0.80421056365506727"/>
    <n v="45343"/>
    <n v="45303"/>
    <n v="23596"/>
    <n v="21707"/>
    <n v="40"/>
    <n v="0"/>
    <n v="11"/>
    <n v="5"/>
    <n v="24"/>
    <n v="0.52084850892876855"/>
    <n v="0.47915149107123151"/>
    <n v="8.8216483249895243E-4"/>
    <s v="Remain"/>
  </r>
  <r>
    <n v="274"/>
    <x v="7"/>
    <x v="7"/>
    <s v="E07000209"/>
    <s v="Guildford"/>
    <n v="102209"/>
    <n v="78672"/>
    <n v="78671"/>
    <n v="0.76970716864463995"/>
    <n v="78657"/>
    <n v="78613"/>
    <n v="44155"/>
    <n v="34458"/>
    <n v="44"/>
    <n v="0"/>
    <n v="19"/>
    <n v="6"/>
    <n v="19"/>
    <n v="0.56167554984544543"/>
    <n v="0.43832445015455457"/>
    <n v="5.5939077259493757E-4"/>
    <s v="Remain"/>
  </r>
  <r>
    <n v="275"/>
    <x v="7"/>
    <x v="7"/>
    <s v="E07000210"/>
    <s v="Mole Valley"/>
    <n v="66730"/>
    <n v="54832"/>
    <n v="54830"/>
    <n v="0.82166941405664617"/>
    <n v="54829"/>
    <n v="54796"/>
    <n v="29088"/>
    <n v="25708"/>
    <n v="33"/>
    <n v="0"/>
    <n v="11"/>
    <n v="0"/>
    <n v="22"/>
    <n v="0.53084166727498361"/>
    <n v="0.46915833272501645"/>
    <n v="6.0187127250177822E-4"/>
    <s v="Remain"/>
  </r>
  <r>
    <n v="276"/>
    <x v="7"/>
    <x v="7"/>
    <s v="E07000211"/>
    <s v="Reigate and Banstead"/>
    <n v="103731"/>
    <n v="81200"/>
    <n v="81200"/>
    <n v="0.78279395744762892"/>
    <n v="81200"/>
    <n v="81161"/>
    <n v="40181"/>
    <n v="40980"/>
    <n v="39"/>
    <n v="1"/>
    <n v="9"/>
    <n v="1"/>
    <n v="28"/>
    <n v="0.49507768509505795"/>
    <n v="0.50492231490494199"/>
    <n v="4.8029556650246304E-4"/>
    <s v="Leave"/>
  </r>
  <r>
    <n v="277"/>
    <x v="7"/>
    <x v="7"/>
    <s v="E07000212"/>
    <s v="Runnymede"/>
    <n v="58272"/>
    <n v="44328"/>
    <n v="44326"/>
    <n v="0.76067408017572757"/>
    <n v="44326"/>
    <n v="44294"/>
    <n v="20259"/>
    <n v="24035"/>
    <n v="32"/>
    <n v="0"/>
    <n v="10"/>
    <n v="2"/>
    <n v="20"/>
    <n v="0.45737571680137262"/>
    <n v="0.54262428319862732"/>
    <n v="7.2192392726616432E-4"/>
    <s v="Leave"/>
  </r>
  <r>
    <n v="278"/>
    <x v="7"/>
    <x v="7"/>
    <s v="E07000213"/>
    <s v="Spelthorne"/>
    <n v="72674"/>
    <n v="56635"/>
    <n v="56639"/>
    <n v="0.77935712909706356"/>
    <n v="56638"/>
    <n v="56609"/>
    <n v="22474"/>
    <n v="34135"/>
    <n v="29"/>
    <n v="0"/>
    <n v="13"/>
    <n v="2"/>
    <n v="14"/>
    <n v="0.39700400996308005"/>
    <n v="0.60299599003691995"/>
    <n v="5.1202372965147077E-4"/>
    <s v="Leave"/>
  </r>
  <r>
    <n v="279"/>
    <x v="7"/>
    <x v="7"/>
    <s v="E07000214"/>
    <s v="Surrey Heath"/>
    <n v="65569"/>
    <n v="52330"/>
    <n v="52330"/>
    <n v="0.79809056108831922"/>
    <n v="52330"/>
    <n v="52305"/>
    <n v="25638"/>
    <n v="26667"/>
    <n v="25"/>
    <n v="0"/>
    <n v="8"/>
    <n v="1"/>
    <n v="16"/>
    <n v="0.49016346429595642"/>
    <n v="0.50983653570404364"/>
    <n v="4.7773743550544621E-4"/>
    <s v="Leave"/>
  </r>
  <r>
    <n v="280"/>
    <x v="7"/>
    <x v="7"/>
    <s v="E07000215"/>
    <s v="Tandridge"/>
    <n v="64044"/>
    <n v="51468"/>
    <n v="51466"/>
    <n v="0.80360377240647052"/>
    <n v="51466"/>
    <n v="51420"/>
    <n v="24251"/>
    <n v="27169"/>
    <n v="46"/>
    <n v="0"/>
    <n v="16"/>
    <n v="0"/>
    <n v="30"/>
    <n v="0.47162582652664331"/>
    <n v="0.52837417347335669"/>
    <n v="8.937939610616718E-4"/>
    <s v="Leave"/>
  </r>
  <r>
    <n v="281"/>
    <x v="7"/>
    <x v="7"/>
    <s v="E07000216"/>
    <s v="Waverley"/>
    <n v="92291"/>
    <n v="75999"/>
    <n v="75999"/>
    <n v="0.8234714110801703"/>
    <n v="75999"/>
    <n v="75942"/>
    <n v="44341"/>
    <n v="31601"/>
    <n v="57"/>
    <n v="0"/>
    <n v="19"/>
    <n v="1"/>
    <n v="37"/>
    <n v="0.58387980300755837"/>
    <n v="0.41612019699244163"/>
    <n v="7.5000986855090204E-4"/>
    <s v="Remain"/>
  </r>
  <r>
    <n v="282"/>
    <x v="7"/>
    <x v="7"/>
    <s v="E07000217"/>
    <s v="Woking"/>
    <n v="71313"/>
    <n v="55261"/>
    <n v="55261"/>
    <n v="0.77490780082172961"/>
    <n v="55261"/>
    <n v="55221"/>
    <n v="31007"/>
    <n v="24214"/>
    <n v="40"/>
    <n v="0"/>
    <n v="18"/>
    <n v="1"/>
    <n v="21"/>
    <n v="0.56150739754803425"/>
    <n v="0.43849260245196575"/>
    <n v="7.2383778795172E-4"/>
    <s v="Remain"/>
  </r>
  <r>
    <n v="283"/>
    <x v="7"/>
    <x v="7"/>
    <s v="E07000223"/>
    <s v="Adur"/>
    <n v="48755"/>
    <n v="37253"/>
    <n v="37251"/>
    <n v="0.76404471336273205"/>
    <n v="37251"/>
    <n v="37229"/>
    <n v="16914"/>
    <n v="20315"/>
    <n v="22"/>
    <n v="0"/>
    <n v="8"/>
    <n v="0"/>
    <n v="14"/>
    <n v="0.45432324263343093"/>
    <n v="0.54567675736656907"/>
    <n v="5.905881721296073E-4"/>
    <s v="Leave"/>
  </r>
  <r>
    <n v="284"/>
    <x v="7"/>
    <x v="7"/>
    <s v="E07000224"/>
    <s v="Arun"/>
    <n v="117138"/>
    <n v="91203"/>
    <n v="91198"/>
    <n v="0.77855179361095461"/>
    <n v="91199"/>
    <n v="91129"/>
    <n v="34193"/>
    <n v="56936"/>
    <n v="70"/>
    <n v="0"/>
    <n v="22"/>
    <n v="2"/>
    <n v="46"/>
    <n v="0.3752153540585324"/>
    <n v="0.62478464594146754"/>
    <n v="7.6755227579249768E-4"/>
    <s v="Leave"/>
  </r>
  <r>
    <n v="285"/>
    <x v="7"/>
    <x v="7"/>
    <s v="E07000225"/>
    <s v="Chichester"/>
    <n v="91659"/>
    <n v="71411"/>
    <n v="71406"/>
    <n v="0.7790397015023075"/>
    <n v="71407"/>
    <n v="71337"/>
    <n v="35011"/>
    <n v="36326"/>
    <n v="70"/>
    <n v="3"/>
    <n v="27"/>
    <n v="1"/>
    <n v="39"/>
    <n v="0.49078318404194177"/>
    <n v="0.50921681595805823"/>
    <n v="9.802960494069209E-4"/>
    <s v="Leave"/>
  </r>
  <r>
    <n v="286"/>
    <x v="7"/>
    <x v="7"/>
    <s v="E07000226"/>
    <s v="Crawley"/>
    <n v="73575"/>
    <n v="53884"/>
    <n v="53883"/>
    <n v="0.73235474006116208"/>
    <n v="53884"/>
    <n v="53835"/>
    <n v="22388"/>
    <n v="31447"/>
    <n v="49"/>
    <n v="0"/>
    <n v="19"/>
    <n v="9"/>
    <n v="21"/>
    <n v="0.41586328596637873"/>
    <n v="0.58413671403362122"/>
    <n v="9.0936084923168292E-4"/>
    <s v="Leave"/>
  </r>
  <r>
    <n v="287"/>
    <x v="7"/>
    <x v="7"/>
    <s v="E07000227"/>
    <s v="Horsham"/>
    <n v="104270"/>
    <n v="85131"/>
    <n v="85133"/>
    <n v="0.81646686487004894"/>
    <n v="85132"/>
    <n v="85088"/>
    <n v="43785"/>
    <n v="41303"/>
    <n v="44"/>
    <n v="2"/>
    <n v="16"/>
    <n v="5"/>
    <n v="21"/>
    <n v="0.51458490033847315"/>
    <n v="0.48541509966152691"/>
    <n v="5.1684442982662224E-4"/>
    <s v="Remain"/>
  </r>
  <r>
    <n v="288"/>
    <x v="7"/>
    <x v="7"/>
    <s v="E07000228"/>
    <s v="Mid Sussex"/>
    <n v="108416"/>
    <n v="87588"/>
    <n v="87588"/>
    <n v="0.80788813459268005"/>
    <n v="87588"/>
    <n v="87528"/>
    <n v="46471"/>
    <n v="41057"/>
    <n v="60"/>
    <n v="0"/>
    <n v="40"/>
    <n v="2"/>
    <n v="18"/>
    <n v="0.53092724613837861"/>
    <n v="0.46907275386162145"/>
    <n v="6.850253459377997E-4"/>
    <s v="Remain"/>
  </r>
  <r>
    <n v="289"/>
    <x v="7"/>
    <x v="7"/>
    <s v="E07000229"/>
    <s v="Worthing"/>
    <n v="81384"/>
    <n v="61420"/>
    <n v="61416"/>
    <n v="0.75464464759657923"/>
    <n v="61416"/>
    <n v="61366"/>
    <n v="28851"/>
    <n v="32515"/>
    <n v="50"/>
    <n v="0"/>
    <n v="11"/>
    <n v="1"/>
    <n v="38"/>
    <n v="0.47014633510412934"/>
    <n v="0.52985366489587071"/>
    <n v="8.1412009899700405E-4"/>
    <s v="Leave"/>
  </r>
  <r>
    <n v="290"/>
    <x v="8"/>
    <x v="8"/>
    <s v="E06000022"/>
    <s v="Bath and North East Somerset"/>
    <n v="136522"/>
    <n v="105300"/>
    <n v="105298"/>
    <n v="0.77128960900074717"/>
    <n v="105300"/>
    <n v="105230"/>
    <n v="60878"/>
    <n v="44352"/>
    <n v="70"/>
    <n v="0"/>
    <n v="20"/>
    <n v="5"/>
    <n v="45"/>
    <n v="0.57852323481896795"/>
    <n v="0.421476765181032"/>
    <n v="6.6476733143399811E-4"/>
    <s v="Remain"/>
  </r>
  <r>
    <n v="291"/>
    <x v="8"/>
    <x v="8"/>
    <s v="E06000023"/>
    <s v="Bristol, City of"/>
    <n v="312465"/>
    <n v="228704"/>
    <n v="228678"/>
    <n v="0.73185156737554602"/>
    <n v="228646"/>
    <n v="228445"/>
    <n v="141027"/>
    <n v="87418"/>
    <n v="201"/>
    <n v="0"/>
    <n v="63"/>
    <n v="6"/>
    <n v="132"/>
    <n v="0.61733458819409481"/>
    <n v="0.38266541180590513"/>
    <n v="8.7908819747557364E-4"/>
    <s v="Remain"/>
  </r>
  <r>
    <n v="292"/>
    <x v="8"/>
    <x v="8"/>
    <s v="E06000024"/>
    <s v="North Somerset"/>
    <n v="160860"/>
    <n v="124637"/>
    <n v="124622"/>
    <n v="0.77472336192962821"/>
    <n v="124622"/>
    <n v="124548"/>
    <n v="59572"/>
    <n v="64976"/>
    <n v="74"/>
    <n v="0"/>
    <n v="33"/>
    <n v="0"/>
    <n v="41"/>
    <n v="0.47830555287921123"/>
    <n v="0.52169444712078872"/>
    <n v="5.9379563800934028E-4"/>
    <s v="Leave"/>
  </r>
  <r>
    <n v="293"/>
    <x v="8"/>
    <x v="8"/>
    <s v="E06000025"/>
    <s v="South Gloucestershire"/>
    <n v="207793"/>
    <n v="158444"/>
    <n v="158424"/>
    <n v="0.76241259330198807"/>
    <n v="158427"/>
    <n v="158333"/>
    <n v="74928"/>
    <n v="83405"/>
    <n v="94"/>
    <n v="0"/>
    <n v="28"/>
    <n v="4"/>
    <n v="62"/>
    <n v="0.47323046995888413"/>
    <n v="0.52676953004111593"/>
    <n v="5.9333320709222545E-4"/>
    <s v="Leave"/>
  </r>
  <r>
    <n v="294"/>
    <x v="8"/>
    <x v="8"/>
    <s v="E06000052"/>
    <s v="Cornwall"/>
    <n v="419755"/>
    <n v="323528"/>
    <n v="323491"/>
    <n v="0.77066622196281165"/>
    <n v="323442"/>
    <n v="323205"/>
    <n v="140540"/>
    <n v="182665"/>
    <n v="237"/>
    <n v="0"/>
    <n v="71"/>
    <n v="0"/>
    <n v="166"/>
    <n v="0.43483238192478457"/>
    <n v="0.56516761807521543"/>
    <n v="7.3274342849722674E-4"/>
    <s v="Leave"/>
  </r>
  <r>
    <n v="295"/>
    <x v="8"/>
    <x v="8"/>
    <s v="E06000053"/>
    <s v="Isles of Scilly"/>
    <n v="1799"/>
    <n v="1424"/>
    <n v="1424"/>
    <n v="0.79155086158977206"/>
    <n v="1424"/>
    <n v="1424"/>
    <n v="803"/>
    <n v="621"/>
    <n v="0"/>
    <n v="0"/>
    <n v="0"/>
    <n v="0"/>
    <n v="0"/>
    <n v="0.5639044943820225"/>
    <n v="0.43609550561797755"/>
    <n v="0"/>
    <s v="Remain"/>
  </r>
  <r>
    <n v="296"/>
    <x v="8"/>
    <x v="8"/>
    <s v="E06000026"/>
    <s v="Plymouth"/>
    <n v="186989"/>
    <n v="133537"/>
    <n v="133524"/>
    <n v="0.71407408991972787"/>
    <n v="133523"/>
    <n v="133455"/>
    <n v="53458"/>
    <n v="79997"/>
    <n v="68"/>
    <n v="1"/>
    <n v="18"/>
    <n v="1"/>
    <n v="48"/>
    <n v="0.40056948034918138"/>
    <n v="0.59943051965081862"/>
    <n v="5.0927555552226958E-4"/>
    <s v="Leave"/>
  </r>
  <r>
    <n v="297"/>
    <x v="8"/>
    <x v="8"/>
    <s v="E06000027"/>
    <s v="Torbay"/>
    <n v="102961"/>
    <n v="75873"/>
    <n v="75868"/>
    <n v="0.73686153009391908"/>
    <n v="75868"/>
    <n v="75824"/>
    <n v="27935"/>
    <n v="47889"/>
    <n v="44"/>
    <n v="0"/>
    <n v="18"/>
    <n v="0"/>
    <n v="26"/>
    <n v="0.36841897024688752"/>
    <n v="0.63158102975311248"/>
    <n v="5.799546580903675E-4"/>
    <s v="Leave"/>
  </r>
  <r>
    <n v="298"/>
    <x v="8"/>
    <x v="8"/>
    <s v="E06000028"/>
    <s v="Bournemouth"/>
    <n v="132752"/>
    <n v="92002"/>
    <n v="91998"/>
    <n v="0.69300650837652167"/>
    <n v="91997"/>
    <n v="91926"/>
    <n v="41473"/>
    <n v="50453"/>
    <n v="71"/>
    <n v="0"/>
    <n v="31"/>
    <n v="1"/>
    <n v="39"/>
    <n v="0.45115636490220395"/>
    <n v="0.5488436350977961"/>
    <n v="7.7176429666184763E-4"/>
    <s v="Leave"/>
  </r>
  <r>
    <n v="299"/>
    <x v="8"/>
    <x v="8"/>
    <s v="E06000029"/>
    <s v="Poole"/>
    <n v="113421"/>
    <n v="85500"/>
    <n v="85494"/>
    <n v="0.75377575581241574"/>
    <n v="85493"/>
    <n v="85448"/>
    <n v="35741"/>
    <n v="49707"/>
    <n v="45"/>
    <n v="2"/>
    <n v="12"/>
    <n v="0"/>
    <n v="31"/>
    <n v="0.41827778297912183"/>
    <n v="0.58172221702087823"/>
    <n v="5.2635888318341853E-4"/>
    <s v="Leave"/>
  </r>
  <r>
    <n v="300"/>
    <x v="8"/>
    <x v="8"/>
    <s v="E06000030"/>
    <s v="Swindon"/>
    <n v="148960"/>
    <n v="113064"/>
    <n v="113060"/>
    <n v="0.75899570354457568"/>
    <n v="113060"/>
    <n v="112965"/>
    <n v="51220"/>
    <n v="61745"/>
    <n v="95"/>
    <n v="0"/>
    <n v="33"/>
    <n v="5"/>
    <n v="57"/>
    <n v="0.4534147744876732"/>
    <n v="0.5465852255123268"/>
    <n v="8.4026180788961612E-4"/>
    <s v="Leave"/>
  </r>
  <r>
    <n v="301"/>
    <x v="8"/>
    <x v="8"/>
    <s v="E06000054"/>
    <s v="Wiltshire"/>
    <n v="366555"/>
    <n v="289110"/>
    <n v="289102"/>
    <n v="0.78870019505940447"/>
    <n v="289102"/>
    <n v="288895"/>
    <n v="137258"/>
    <n v="151637"/>
    <n v="207"/>
    <n v="0"/>
    <n v="70"/>
    <n v="9"/>
    <n v="128"/>
    <n v="0.47511379566970696"/>
    <n v="0.52488620433029298"/>
    <n v="7.1601026627280339E-4"/>
    <s v="Leave"/>
  </r>
  <r>
    <n v="302"/>
    <x v="8"/>
    <x v="8"/>
    <s v="E07000040"/>
    <s v="East Devon"/>
    <n v="112527"/>
    <n v="88831"/>
    <n v="88831"/>
    <n v="0.78941942822611466"/>
    <n v="88831"/>
    <n v="88783"/>
    <n v="40743"/>
    <n v="48040"/>
    <n v="48"/>
    <n v="0"/>
    <n v="23"/>
    <n v="0"/>
    <n v="25"/>
    <n v="0.45890542108286497"/>
    <n v="0.54109457891713508"/>
    <n v="5.4035190417759565E-4"/>
    <s v="Leave"/>
  </r>
  <r>
    <n v="303"/>
    <x v="8"/>
    <x v="8"/>
    <s v="E07000041"/>
    <s v="Exeter"/>
    <n v="86417"/>
    <n v="63888"/>
    <n v="63877"/>
    <n v="0.73917169075529121"/>
    <n v="63867"/>
    <n v="63803"/>
    <n v="35270"/>
    <n v="28533"/>
    <n v="64"/>
    <n v="0"/>
    <n v="19"/>
    <n v="3"/>
    <n v="42"/>
    <n v="0.55279532310392931"/>
    <n v="0.44720467689607074"/>
    <n v="1.0020824525968028E-3"/>
    <s v="Remain"/>
  </r>
  <r>
    <n v="304"/>
    <x v="8"/>
    <x v="8"/>
    <s v="E07000042"/>
    <s v="Mid Devon"/>
    <n v="60532"/>
    <n v="48049"/>
    <n v="48049"/>
    <n v="0.79377849732372963"/>
    <n v="48049"/>
    <n v="48006"/>
    <n v="22400"/>
    <n v="25606"/>
    <n v="43"/>
    <n v="0"/>
    <n v="7"/>
    <n v="3"/>
    <n v="33"/>
    <n v="0.46660834062408868"/>
    <n v="0.53339165937591138"/>
    <n v="8.9491976940206874E-4"/>
    <s v="Leave"/>
  </r>
  <r>
    <n v="305"/>
    <x v="8"/>
    <x v="8"/>
    <s v="E07000043"/>
    <s v="North Devon"/>
    <n v="75548"/>
    <n v="58054"/>
    <n v="58056"/>
    <n v="0.76846508180229789"/>
    <n v="58056"/>
    <n v="58031"/>
    <n v="24931"/>
    <n v="33100"/>
    <n v="25"/>
    <n v="0"/>
    <n v="10"/>
    <n v="1"/>
    <n v="14"/>
    <n v="0.42961520566593719"/>
    <n v="0.57038479433406286"/>
    <n v="4.3061871296679071E-4"/>
    <s v="Leave"/>
  </r>
  <r>
    <n v="306"/>
    <x v="8"/>
    <x v="8"/>
    <s v="E07000044"/>
    <s v="South Hams"/>
    <n v="69121"/>
    <n v="55488"/>
    <n v="55486"/>
    <n v="0.80273722891740573"/>
    <n v="55485"/>
    <n v="55450"/>
    <n v="29308"/>
    <n v="26142"/>
    <n v="35"/>
    <n v="0"/>
    <n v="15"/>
    <n v="0"/>
    <n v="20"/>
    <n v="0.52854824165915237"/>
    <n v="0.47145175834084763"/>
    <n v="6.3080111741912234E-4"/>
    <s v="Remain"/>
  </r>
  <r>
    <n v="307"/>
    <x v="8"/>
    <x v="8"/>
    <s v="E07000045"/>
    <s v="Teignbridge"/>
    <n v="103740"/>
    <n v="82383"/>
    <n v="82377"/>
    <n v="0.79407171775592833"/>
    <n v="82369"/>
    <n v="82312"/>
    <n v="37949"/>
    <n v="44363"/>
    <n v="57"/>
    <n v="0"/>
    <n v="19"/>
    <n v="0"/>
    <n v="38"/>
    <n v="0.46103848770531636"/>
    <n v="0.5389615122946837"/>
    <n v="6.9200791559931524E-4"/>
    <s v="Leave"/>
  </r>
  <r>
    <n v="308"/>
    <x v="8"/>
    <x v="8"/>
    <s v="E07000046"/>
    <s v="Torridge"/>
    <n v="52881"/>
    <n v="41462"/>
    <n v="41461"/>
    <n v="0.78404341824095614"/>
    <n v="41462"/>
    <n v="41429"/>
    <n v="16229"/>
    <n v="25200"/>
    <n v="33"/>
    <n v="0"/>
    <n v="11"/>
    <n v="1"/>
    <n v="21"/>
    <n v="0.39173043037485822"/>
    <n v="0.60826956962514178"/>
    <n v="7.9590950750084411E-4"/>
    <s v="Leave"/>
  </r>
  <r>
    <n v="309"/>
    <x v="8"/>
    <x v="8"/>
    <s v="E07000047"/>
    <s v="West Devon"/>
    <n v="43823"/>
    <n v="35613"/>
    <n v="35613"/>
    <n v="0.81265545489811286"/>
    <n v="35612"/>
    <n v="35595"/>
    <n v="16658"/>
    <n v="18937"/>
    <n v="17"/>
    <n v="0"/>
    <n v="5"/>
    <n v="1"/>
    <n v="11"/>
    <n v="0.46798707683663437"/>
    <n v="0.53201292316336568"/>
    <n v="4.7736717960238122E-4"/>
    <s v="Leave"/>
  </r>
  <r>
    <n v="310"/>
    <x v="8"/>
    <x v="8"/>
    <s v="E07000048"/>
    <s v="Christchurch"/>
    <n v="39176"/>
    <n v="31071"/>
    <n v="31066"/>
    <n v="0.79298550132734325"/>
    <n v="31066"/>
    <n v="31050"/>
    <n v="12782"/>
    <n v="18268"/>
    <n v="16"/>
    <n v="0"/>
    <n v="6"/>
    <n v="2"/>
    <n v="8"/>
    <n v="0.41165861513687602"/>
    <n v="0.58834138486312404"/>
    <n v="5.1503251142728389E-4"/>
    <s v="Leave"/>
  </r>
  <r>
    <n v="311"/>
    <x v="8"/>
    <x v="8"/>
    <s v="E07000049"/>
    <s v="East Dorset"/>
    <n v="71966"/>
    <n v="58530"/>
    <n v="58530"/>
    <n v="0.81330072534252285"/>
    <n v="58530"/>
    <n v="58488"/>
    <n v="24786"/>
    <n v="33702"/>
    <n v="42"/>
    <n v="0"/>
    <n v="12"/>
    <n v="2"/>
    <n v="28"/>
    <n v="0.42377923676651619"/>
    <n v="0.57622076323348381"/>
    <n v="7.1758072783188113E-4"/>
    <s v="Leave"/>
  </r>
  <r>
    <n v="312"/>
    <x v="8"/>
    <x v="8"/>
    <s v="E07000050"/>
    <s v="North Dorset"/>
    <n v="52980"/>
    <n v="42228"/>
    <n v="42223"/>
    <n v="0.79696111740279352"/>
    <n v="42228"/>
    <n v="42201"/>
    <n v="18399"/>
    <n v="23802"/>
    <n v="27"/>
    <n v="0"/>
    <n v="0"/>
    <n v="0"/>
    <n v="27"/>
    <n v="0.43598492926707899"/>
    <n v="0.56401507073292101"/>
    <n v="6.3938618925831207E-4"/>
    <s v="Leave"/>
  </r>
  <r>
    <n v="313"/>
    <x v="8"/>
    <x v="8"/>
    <s v="E07000051"/>
    <s v="Purbeck"/>
    <n v="36418"/>
    <n v="28736"/>
    <n v="28736"/>
    <n v="0.78906035476961944"/>
    <n v="28736"/>
    <n v="28720"/>
    <n v="11754"/>
    <n v="16966"/>
    <n v="16"/>
    <n v="0"/>
    <n v="6"/>
    <n v="0"/>
    <n v="10"/>
    <n v="0.40926183844011144"/>
    <n v="0.59073816155988856"/>
    <n v="5.5679287305122492E-4"/>
    <s v="Leave"/>
  </r>
  <r>
    <n v="314"/>
    <x v="8"/>
    <x v="8"/>
    <s v="E07000052"/>
    <s v="West Dorset"/>
    <n v="82071"/>
    <n v="65237"/>
    <n v="65237"/>
    <n v="0.79488491671845107"/>
    <n v="65237"/>
    <n v="65191"/>
    <n v="31924"/>
    <n v="33267"/>
    <n v="46"/>
    <n v="0"/>
    <n v="14"/>
    <n v="1"/>
    <n v="31"/>
    <n v="0.48969949839701798"/>
    <n v="0.51030050160298202"/>
    <n v="7.0512132685439247E-4"/>
    <s v="Leave"/>
  </r>
  <r>
    <n v="315"/>
    <x v="8"/>
    <x v="8"/>
    <s v="E07000053"/>
    <s v="Weymouth and Portland"/>
    <n v="50442"/>
    <n v="38273"/>
    <n v="38271"/>
    <n v="0.75871297728083742"/>
    <n v="38271"/>
    <n v="38255"/>
    <n v="14903"/>
    <n v="23352"/>
    <n v="16"/>
    <n v="0"/>
    <n v="6"/>
    <n v="0"/>
    <n v="10"/>
    <n v="0.38956999085086919"/>
    <n v="0.61043000914913081"/>
    <n v="4.1807112435003006E-4"/>
    <s v="Leave"/>
  </r>
  <r>
    <n v="316"/>
    <x v="8"/>
    <x v="8"/>
    <s v="E07000078"/>
    <s v="Cheltenham"/>
    <n v="87060"/>
    <n v="66060"/>
    <n v="66059"/>
    <n v="0.75877555708706634"/>
    <n v="66057"/>
    <n v="66013"/>
    <n v="37081"/>
    <n v="28932"/>
    <n v="44"/>
    <n v="0"/>
    <n v="18"/>
    <n v="2"/>
    <n v="24"/>
    <n v="0.56172269098510896"/>
    <n v="0.43827730901489098"/>
    <n v="6.6609140590701964E-4"/>
    <s v="Remain"/>
  </r>
  <r>
    <n v="317"/>
    <x v="8"/>
    <x v="8"/>
    <s v="E07000079"/>
    <s v="Cotswold"/>
    <n v="68734"/>
    <n v="54847"/>
    <n v="54847"/>
    <n v="0.79796025256787029"/>
    <n v="54847"/>
    <n v="54821"/>
    <n v="28015"/>
    <n v="26806"/>
    <n v="26"/>
    <n v="0"/>
    <n v="10"/>
    <n v="2"/>
    <n v="14"/>
    <n v="0.5110267963006877"/>
    <n v="0.4889732036993123"/>
    <n v="4.7404598246029864E-4"/>
    <s v="Remain"/>
  </r>
  <r>
    <n v="318"/>
    <x v="8"/>
    <x v="8"/>
    <s v="E07000080"/>
    <s v="Forest of Dean"/>
    <n v="66705"/>
    <n v="51679"/>
    <n v="51678"/>
    <n v="0.77472453339329883"/>
    <n v="51677"/>
    <n v="51643"/>
    <n v="21392"/>
    <n v="30251"/>
    <n v="34"/>
    <n v="0"/>
    <n v="17"/>
    <n v="1"/>
    <n v="16"/>
    <n v="0.41422845303332495"/>
    <n v="0.58577154696667511"/>
    <n v="6.5793292954312364E-4"/>
    <s v="Leave"/>
  </r>
  <r>
    <n v="319"/>
    <x v="8"/>
    <x v="8"/>
    <s v="E07000081"/>
    <s v="Gloucester"/>
    <n v="89661"/>
    <n v="64605"/>
    <n v="64608"/>
    <n v="0.72058085455214638"/>
    <n v="64606"/>
    <n v="64577"/>
    <n v="26801"/>
    <n v="37776"/>
    <n v="29"/>
    <n v="0"/>
    <n v="14"/>
    <n v="1"/>
    <n v="14"/>
    <n v="0.41502392492683154"/>
    <n v="0.58497607507316851"/>
    <n v="4.4887471751849675E-4"/>
    <s v="Leave"/>
  </r>
  <r>
    <n v="320"/>
    <x v="8"/>
    <x v="8"/>
    <s v="E07000082"/>
    <s v="Stroud"/>
    <n v="92631"/>
    <n v="74129"/>
    <n v="74128"/>
    <n v="0.80025045611080525"/>
    <n v="74128"/>
    <n v="74064"/>
    <n v="40446"/>
    <n v="33618"/>
    <n v="64"/>
    <n v="0"/>
    <n v="20"/>
    <n v="5"/>
    <n v="39"/>
    <n v="0.54609526895657812"/>
    <n v="0.45390473104342188"/>
    <n v="8.6337146557306278E-4"/>
    <s v="Remain"/>
  </r>
  <r>
    <n v="321"/>
    <x v="8"/>
    <x v="8"/>
    <s v="E07000083"/>
    <s v="Tewkesbury"/>
    <n v="67831"/>
    <n v="53687"/>
    <n v="53686"/>
    <n v="0.79146702834986948"/>
    <n v="53686"/>
    <n v="53652"/>
    <n v="25084"/>
    <n v="28568"/>
    <n v="34"/>
    <n v="0"/>
    <n v="16"/>
    <n v="2"/>
    <n v="16"/>
    <n v="0.46753149929173188"/>
    <n v="0.53246850070826812"/>
    <n v="6.3331222292590248E-4"/>
    <s v="Leave"/>
  </r>
  <r>
    <n v="322"/>
    <x v="8"/>
    <x v="8"/>
    <s v="E07000187"/>
    <s v="Mendip"/>
    <n v="85068"/>
    <n v="65529"/>
    <n v="65509"/>
    <n v="0.77007805520289652"/>
    <n v="65509"/>
    <n v="65455"/>
    <n v="33427"/>
    <n v="32028"/>
    <n v="54"/>
    <n v="0"/>
    <n v="16"/>
    <n v="5"/>
    <n v="33"/>
    <n v="0.51068673134214349"/>
    <n v="0.48931326865785651"/>
    <n v="8.2431421636721671E-4"/>
    <s v="Remain"/>
  </r>
  <r>
    <n v="323"/>
    <x v="8"/>
    <x v="8"/>
    <s v="E07000188"/>
    <s v="Sedgemoor"/>
    <n v="89714"/>
    <n v="68451"/>
    <n v="68448"/>
    <n v="0.76295784381478926"/>
    <n v="68450"/>
    <n v="68414"/>
    <n v="26545"/>
    <n v="41869"/>
    <n v="36"/>
    <n v="1"/>
    <n v="13"/>
    <n v="1"/>
    <n v="21"/>
    <n v="0.38800537901599086"/>
    <n v="0.61199462098400914"/>
    <n v="5.259313367421475E-4"/>
    <s v="Leave"/>
  </r>
  <r>
    <n v="324"/>
    <x v="8"/>
    <x v="8"/>
    <s v="E07000189"/>
    <s v="South Somerset"/>
    <n v="126495"/>
    <n v="99535"/>
    <n v="99535"/>
    <n v="0.78686904620735998"/>
    <n v="99535"/>
    <n v="99467"/>
    <n v="42527"/>
    <n v="56940"/>
    <n v="68"/>
    <n v="0"/>
    <n v="22"/>
    <n v="0"/>
    <n v="46"/>
    <n v="0.42754883529210691"/>
    <n v="0.57245116470789303"/>
    <n v="6.8317677198975236E-4"/>
    <s v="Leave"/>
  </r>
  <r>
    <n v="325"/>
    <x v="8"/>
    <x v="8"/>
    <s v="E07000190"/>
    <s v="Taunton Deane"/>
    <n v="84164"/>
    <n v="65789"/>
    <n v="65785"/>
    <n v="0.78162872487049095"/>
    <n v="65786"/>
    <n v="65733"/>
    <n v="30944"/>
    <n v="34789"/>
    <n v="53"/>
    <n v="0"/>
    <n v="21"/>
    <n v="1"/>
    <n v="31"/>
    <n v="0.47075289428445377"/>
    <n v="0.52924710571554623"/>
    <n v="8.0564253792600254E-4"/>
    <s v="Leave"/>
  </r>
  <r>
    <n v="326"/>
    <x v="8"/>
    <x v="8"/>
    <s v="E07000191"/>
    <s v="West Somerset"/>
    <n v="27478"/>
    <n v="21755"/>
    <n v="21752"/>
    <n v="0.79161511027003417"/>
    <n v="21753"/>
    <n v="21734"/>
    <n v="8566"/>
    <n v="13168"/>
    <n v="19"/>
    <n v="1"/>
    <n v="10"/>
    <n v="0"/>
    <n v="8"/>
    <n v="0.39412901444740961"/>
    <n v="0.60587098555259045"/>
    <n v="8.7344274352962805E-4"/>
    <s v="Leave"/>
  </r>
  <r>
    <n v="327"/>
    <x v="8"/>
    <x v="8"/>
    <s v="GI"/>
    <s v="Gibraltar"/>
    <n v="24119"/>
    <n v="20172"/>
    <n v="20172"/>
    <n v="0.83635308263194996"/>
    <n v="20172"/>
    <n v="20145"/>
    <n v="19322"/>
    <n v="823"/>
    <n v="27"/>
    <n v="0"/>
    <n v="8"/>
    <n v="0"/>
    <n v="19"/>
    <n v="0.95914619012161828"/>
    <n v="4.0853809878381733E-2"/>
    <n v="1.338488994646044E-3"/>
    <s v="Remain"/>
  </r>
  <r>
    <n v="328"/>
    <x v="9"/>
    <x v="9"/>
    <s v="N92000002"/>
    <s v="Northern Ireland"/>
    <n v="1260955"/>
    <n v="790647"/>
    <n v="790523"/>
    <n v="0.62692403773330529"/>
    <n v="790523"/>
    <n v="790149"/>
    <n v="440707"/>
    <n v="349442"/>
    <n v="374"/>
    <n v="18"/>
    <n v="148"/>
    <n v="1"/>
    <n v="207"/>
    <n v="0.55775176580619601"/>
    <n v="0.44224823419380394"/>
    <n v="4.7310451435315606E-4"/>
    <s v="Remain"/>
  </r>
  <r>
    <n v="329"/>
    <x v="10"/>
    <x v="10"/>
    <s v="S12000033"/>
    <s v="Aberdeen City"/>
    <n v="154266"/>
    <n v="104809"/>
    <n v="104809"/>
    <n v="0.67940440537772417"/>
    <n v="104809"/>
    <n v="104714"/>
    <n v="63985"/>
    <n v="40729"/>
    <n v="95"/>
    <n v="0"/>
    <n v="34"/>
    <n v="2"/>
    <n v="59"/>
    <n v="0.61104532345245144"/>
    <n v="0.38895467654754856"/>
    <n v="9.0641070900399773E-4"/>
    <s v="Remain"/>
  </r>
  <r>
    <n v="330"/>
    <x v="10"/>
    <x v="10"/>
    <s v="S12000034"/>
    <s v="Aberdeenshire"/>
    <n v="196809"/>
    <n v="139014"/>
    <n v="139014"/>
    <n v="0.706339649101413"/>
    <n v="139014"/>
    <n v="138961"/>
    <n v="76445"/>
    <n v="62516"/>
    <n v="53"/>
    <n v="0"/>
    <n v="19"/>
    <n v="1"/>
    <n v="33"/>
    <n v="0.55011837853786316"/>
    <n v="0.44988162146213684"/>
    <n v="3.8125656408707036E-4"/>
    <s v="Remain"/>
  </r>
  <r>
    <n v="331"/>
    <x v="10"/>
    <x v="10"/>
    <s v="S12000041"/>
    <s v="Angus"/>
    <n v="87137"/>
    <n v="59295"/>
    <n v="59282"/>
    <n v="0.6803309730654028"/>
    <n v="59282"/>
    <n v="59258"/>
    <n v="32747"/>
    <n v="26511"/>
    <n v="24"/>
    <n v="0"/>
    <n v="9"/>
    <n v="1"/>
    <n v="14"/>
    <n v="0.55261736811907258"/>
    <n v="0.44738263188092747"/>
    <n v="4.0484464086906649E-4"/>
    <s v="Remain"/>
  </r>
  <r>
    <n v="332"/>
    <x v="10"/>
    <x v="10"/>
    <s v="S12000035"/>
    <s v="Argyll and Bute"/>
    <n v="66642"/>
    <n v="48734"/>
    <n v="48734"/>
    <n v="0.7312805738123106"/>
    <n v="48734"/>
    <n v="48696"/>
    <n v="29494"/>
    <n v="19202"/>
    <n v="38"/>
    <n v="0"/>
    <n v="16"/>
    <n v="1"/>
    <n v="21"/>
    <n v="0.60567603088549371"/>
    <n v="0.39432396911450635"/>
    <n v="7.7974309516969673E-4"/>
    <s v="Remain"/>
  </r>
  <r>
    <n v="333"/>
    <x v="10"/>
    <x v="10"/>
    <s v="S12000026"/>
    <s v="Scottish Borders"/>
    <n v="88440"/>
    <n v="64953"/>
    <n v="64953"/>
    <n v="0.73443012211668923"/>
    <n v="64953"/>
    <n v="64914"/>
    <n v="37952"/>
    <n v="26962"/>
    <n v="39"/>
    <n v="0"/>
    <n v="14"/>
    <n v="0"/>
    <n v="25"/>
    <n v="0.58465046060942172"/>
    <n v="0.41534953939057828"/>
    <n v="6.004341600849845E-4"/>
    <s v="Remain"/>
  </r>
  <r>
    <n v="334"/>
    <x v="10"/>
    <x v="10"/>
    <s v="S12000005"/>
    <s v="Clackmannanshire"/>
    <n v="37841"/>
    <n v="25439"/>
    <n v="25439"/>
    <n v="0.67226024682222985"/>
    <n v="25439"/>
    <n v="25427"/>
    <n v="14691"/>
    <n v="10736"/>
    <n v="12"/>
    <n v="0"/>
    <n v="6"/>
    <n v="0"/>
    <n v="6"/>
    <n v="0.57777166004640734"/>
    <n v="0.42222833995359266"/>
    <n v="4.717166555289123E-4"/>
    <s v="Remain"/>
  </r>
  <r>
    <n v="335"/>
    <x v="10"/>
    <x v="10"/>
    <s v="S12000039"/>
    <s v="West Dunbartonshire"/>
    <n v="67595"/>
    <n v="43250"/>
    <n v="43245"/>
    <n v="0.63976625490051042"/>
    <n v="43245"/>
    <n v="43220"/>
    <n v="26794"/>
    <n v="16426"/>
    <n v="25"/>
    <n v="0"/>
    <n v="9"/>
    <n v="0"/>
    <n v="16"/>
    <n v="0.61994447015270704"/>
    <n v="0.38005552984729291"/>
    <n v="5.7810151462596828E-4"/>
    <s v="Remain"/>
  </r>
  <r>
    <n v="336"/>
    <x v="10"/>
    <x v="10"/>
    <s v="S12000006"/>
    <s v="Dumfries and Galloway"/>
    <n v="115837"/>
    <n v="82718"/>
    <n v="82715"/>
    <n v="0.71406372747913016"/>
    <n v="82715"/>
    <n v="82667"/>
    <n v="43864"/>
    <n v="38803"/>
    <n v="48"/>
    <n v="0"/>
    <n v="13"/>
    <n v="1"/>
    <n v="34"/>
    <n v="0.53061076366627558"/>
    <n v="0.46938923633372448"/>
    <n v="5.8030586955207643E-4"/>
    <s v="Remain"/>
  </r>
  <r>
    <n v="337"/>
    <x v="10"/>
    <x v="10"/>
    <s v="S12000042"/>
    <s v="Dundee City"/>
    <n v="105554"/>
    <n v="66418"/>
    <n v="66418"/>
    <n v="0.62923243079371693"/>
    <n v="66418"/>
    <n v="66385"/>
    <n v="39688"/>
    <n v="26697"/>
    <n v="33"/>
    <n v="0"/>
    <n v="12"/>
    <n v="0"/>
    <n v="21"/>
    <n v="0.59784589892294948"/>
    <n v="0.40215410107705052"/>
    <n v="4.9685326266975824E-4"/>
    <s v="Remain"/>
  </r>
  <r>
    <n v="338"/>
    <x v="10"/>
    <x v="10"/>
    <s v="S12000008"/>
    <s v="East Ayrshire"/>
    <n v="91977"/>
    <n v="57859"/>
    <n v="57859"/>
    <n v="0.62905943877273662"/>
    <n v="57859"/>
    <n v="57833"/>
    <n v="33891"/>
    <n v="23942"/>
    <n v="26"/>
    <n v="0"/>
    <n v="8"/>
    <n v="0"/>
    <n v="18"/>
    <n v="0.58601490498504316"/>
    <n v="0.41398509501495684"/>
    <n v="4.4936829188198897E-4"/>
    <s v="Remain"/>
  </r>
  <r>
    <n v="339"/>
    <x v="10"/>
    <x v="10"/>
    <s v="S12000045"/>
    <s v="East Dunbartonshire"/>
    <n v="83031"/>
    <n v="62418"/>
    <n v="62418"/>
    <n v="0.75174332478231021"/>
    <n v="62418"/>
    <n v="62374"/>
    <n v="44534"/>
    <n v="17840"/>
    <n v="44"/>
    <n v="0"/>
    <n v="7"/>
    <n v="0"/>
    <n v="37"/>
    <n v="0.71398339051527882"/>
    <n v="0.28601660948472118"/>
    <n v="7.049248614181806E-4"/>
    <s v="Remain"/>
  </r>
  <r>
    <n v="340"/>
    <x v="10"/>
    <x v="10"/>
    <s v="S12000010"/>
    <s v="East Lothian"/>
    <n v="77788"/>
    <n v="55822"/>
    <n v="55800"/>
    <n v="0.71733429320717845"/>
    <n v="55800"/>
    <n v="55764"/>
    <n v="36026"/>
    <n v="19738"/>
    <n v="36"/>
    <n v="0"/>
    <n v="12"/>
    <n v="0"/>
    <n v="24"/>
    <n v="0.64604404275159599"/>
    <n v="0.35395595724840401"/>
    <n v="6.4516129032258064E-4"/>
    <s v="Remain"/>
  </r>
  <r>
    <n v="341"/>
    <x v="10"/>
    <x v="10"/>
    <s v="S12000011"/>
    <s v="East Renfrewshire"/>
    <n v="69575"/>
    <n v="52970"/>
    <n v="52969"/>
    <n v="0.76132231404958672"/>
    <n v="52969"/>
    <n v="52941"/>
    <n v="39345"/>
    <n v="13596"/>
    <n v="28"/>
    <n v="0"/>
    <n v="7"/>
    <n v="0"/>
    <n v="21"/>
    <n v="0.74318581061936873"/>
    <n v="0.25681418938063127"/>
    <n v="5.2861107440200876E-4"/>
    <s v="Remain"/>
  </r>
  <r>
    <n v="342"/>
    <x v="10"/>
    <x v="10"/>
    <s v="S12000036"/>
    <s v="City of Edinburgh"/>
    <n v="346073"/>
    <n v="252490"/>
    <n v="252481"/>
    <n v="0.72955994833459992"/>
    <n v="252481"/>
    <n v="252294"/>
    <n v="187796"/>
    <n v="64498"/>
    <n v="187"/>
    <n v="0"/>
    <n v="71"/>
    <n v="1"/>
    <n v="115"/>
    <n v="0.74435380944453688"/>
    <n v="0.25564619055546306"/>
    <n v="7.4064979146945716E-4"/>
    <s v="Remain"/>
  </r>
  <r>
    <n v="343"/>
    <x v="10"/>
    <x v="10"/>
    <s v="S12000014"/>
    <s v="Falkirk"/>
    <n v="117392"/>
    <n v="79304"/>
    <n v="79302"/>
    <n v="0.67553155240561535"/>
    <n v="79302"/>
    <n v="79258"/>
    <n v="44987"/>
    <n v="34271"/>
    <n v="44"/>
    <n v="0"/>
    <n v="7"/>
    <n v="2"/>
    <n v="35"/>
    <n v="0.56760200863004362"/>
    <n v="0.43239799136995632"/>
    <n v="5.5484098761695796E-4"/>
    <s v="Remain"/>
  </r>
  <r>
    <n v="344"/>
    <x v="10"/>
    <x v="10"/>
    <s v="S12000015"/>
    <s v="Fife"/>
    <n v="272995"/>
    <n v="182307"/>
    <n v="182307"/>
    <n v="0.66780343962343636"/>
    <n v="182307"/>
    <n v="182220"/>
    <n v="106754"/>
    <n v="75466"/>
    <n v="87"/>
    <n v="2"/>
    <n v="29"/>
    <n v="4"/>
    <n v="52"/>
    <n v="0.58585226649105482"/>
    <n v="0.41414773350894524"/>
    <n v="4.7721700208988138E-4"/>
    <s v="Remain"/>
  </r>
  <r>
    <n v="345"/>
    <x v="10"/>
    <x v="10"/>
    <s v="S12000046"/>
    <s v="Glasgow City"/>
    <n v="449806"/>
    <n v="253000"/>
    <n v="253000"/>
    <n v="0.56246470700702078"/>
    <n v="253000"/>
    <n v="252809"/>
    <n v="168335"/>
    <n v="84474"/>
    <n v="191"/>
    <n v="1"/>
    <n v="67"/>
    <n v="7"/>
    <n v="116"/>
    <n v="0.66585841485073716"/>
    <n v="0.3341415851492629"/>
    <n v="7.5494071146245065E-4"/>
    <s v="Remain"/>
  </r>
  <r>
    <n v="346"/>
    <x v="10"/>
    <x v="10"/>
    <s v="S12000017"/>
    <s v="Highland"/>
    <n v="175563"/>
    <n v="125728"/>
    <n v="125728"/>
    <n v="0.71614178386106409"/>
    <n v="125728"/>
    <n v="125657"/>
    <n v="70308"/>
    <n v="55349"/>
    <n v="71"/>
    <n v="0"/>
    <n v="27"/>
    <n v="2"/>
    <n v="42"/>
    <n v="0.55952314634282208"/>
    <n v="0.44047685365717787"/>
    <n v="5.6471112242300844E-4"/>
    <s v="Remain"/>
  </r>
  <r>
    <n v="347"/>
    <x v="10"/>
    <x v="10"/>
    <s v="S12000018"/>
    <s v="Inverclyde"/>
    <n v="58624"/>
    <n v="38722"/>
    <n v="38722"/>
    <n v="0.66051446506550215"/>
    <n v="38722"/>
    <n v="38698"/>
    <n v="24688"/>
    <n v="14010"/>
    <n v="24"/>
    <n v="0"/>
    <n v="6"/>
    <n v="0"/>
    <n v="18"/>
    <n v="0.63796578634554757"/>
    <n v="0.36203421365445243"/>
    <n v="6.1980269614172816E-4"/>
    <s v="Remain"/>
  </r>
  <r>
    <n v="348"/>
    <x v="10"/>
    <x v="10"/>
    <s v="S12000019"/>
    <s v="Midlothian"/>
    <n v="66758"/>
    <n v="45505"/>
    <n v="45497"/>
    <n v="0.68152131579735764"/>
    <n v="45497"/>
    <n v="45468"/>
    <n v="28217"/>
    <n v="17251"/>
    <n v="29"/>
    <n v="0"/>
    <n v="8"/>
    <n v="0"/>
    <n v="21"/>
    <n v="0.62059030526964021"/>
    <n v="0.37940969473035979"/>
    <n v="6.3740466404378312E-4"/>
    <s v="Remain"/>
  </r>
  <r>
    <n v="349"/>
    <x v="10"/>
    <x v="10"/>
    <s v="S12000020"/>
    <s v="Moray"/>
    <n v="71370"/>
    <n v="48148"/>
    <n v="48139"/>
    <n v="0.67449908925318758"/>
    <n v="48139"/>
    <n v="48106"/>
    <n v="24114"/>
    <n v="23992"/>
    <n v="33"/>
    <n v="0"/>
    <n v="16"/>
    <n v="3"/>
    <n v="14"/>
    <n v="0.50126803309358503"/>
    <n v="0.49873196690641503"/>
    <n v="6.8551486320862505E-4"/>
    <s v="Remain"/>
  </r>
  <r>
    <n v="350"/>
    <x v="10"/>
    <x v="10"/>
    <s v="S12000021"/>
    <s v="North Ayrshire"/>
    <n v="104572"/>
    <n v="67548"/>
    <n v="67548"/>
    <n v="0.64594728990551964"/>
    <n v="67548"/>
    <n v="67504"/>
    <n v="38394"/>
    <n v="29110"/>
    <n v="44"/>
    <n v="0"/>
    <n v="16"/>
    <n v="0"/>
    <n v="28"/>
    <n v="0.56876629533064704"/>
    <n v="0.4312337046693529"/>
    <n v="6.5138864215076684E-4"/>
    <s v="Remain"/>
  </r>
  <r>
    <n v="351"/>
    <x v="10"/>
    <x v="10"/>
    <s v="S12000044"/>
    <s v="North Lanarkshire"/>
    <n v="254567"/>
    <n v="155045"/>
    <n v="155045"/>
    <n v="0.60905380508864071"/>
    <n v="155045"/>
    <n v="154949"/>
    <n v="95549"/>
    <n v="59400"/>
    <n v="96"/>
    <n v="2"/>
    <n v="19"/>
    <n v="2"/>
    <n v="73"/>
    <n v="0.61664805839340686"/>
    <n v="0.38335194160659314"/>
    <n v="6.1917507820310233E-4"/>
    <s v="Remain"/>
  </r>
  <r>
    <n v="352"/>
    <x v="10"/>
    <x v="10"/>
    <s v="S12000023"/>
    <s v="Orkney Islands"/>
    <n v="16658"/>
    <n v="11402"/>
    <n v="11402"/>
    <n v="0.6844759274822908"/>
    <n v="11402"/>
    <n v="11382"/>
    <n v="7189"/>
    <n v="4193"/>
    <n v="20"/>
    <n v="0"/>
    <n v="8"/>
    <n v="0"/>
    <n v="12"/>
    <n v="0.63161131611316113"/>
    <n v="0.36838868388683887"/>
    <n v="1.7540782318891423E-3"/>
    <s v="Remain"/>
  </r>
  <r>
    <n v="353"/>
    <x v="10"/>
    <x v="10"/>
    <s v="S12000024"/>
    <s v="Perth and Kinross"/>
    <n v="110224"/>
    <n v="81294"/>
    <n v="81294"/>
    <n v="0.73753447525039917"/>
    <n v="81294"/>
    <n v="81255"/>
    <n v="49641"/>
    <n v="31614"/>
    <n v="39"/>
    <n v="1"/>
    <n v="14"/>
    <n v="0"/>
    <n v="24"/>
    <n v="0.61092855824256964"/>
    <n v="0.3890714417574303"/>
    <n v="4.7974020222894679E-4"/>
    <s v="Remain"/>
  </r>
  <r>
    <n v="354"/>
    <x v="10"/>
    <x v="10"/>
    <s v="S12000038"/>
    <s v="Renfrewshire"/>
    <n v="127294"/>
    <n v="88203"/>
    <n v="88197"/>
    <n v="0.69286062186748787"/>
    <n v="88197"/>
    <n v="88129"/>
    <n v="57119"/>
    <n v="31010"/>
    <n v="68"/>
    <n v="0"/>
    <n v="17"/>
    <n v="5"/>
    <n v="46"/>
    <n v="0.64812944660667882"/>
    <n v="0.35187055339332113"/>
    <n v="7.7100128122271731E-4"/>
    <s v="Remain"/>
  </r>
  <r>
    <n v="355"/>
    <x v="10"/>
    <x v="10"/>
    <s v="S12000027"/>
    <s v="Shetland Islands"/>
    <n v="17375"/>
    <n v="12231"/>
    <n v="12231"/>
    <n v="0.70394244604316547"/>
    <n v="12231"/>
    <n v="12222"/>
    <n v="6907"/>
    <n v="5315"/>
    <n v="9"/>
    <n v="0"/>
    <n v="2"/>
    <n v="0"/>
    <n v="7"/>
    <n v="0.56512845688103419"/>
    <n v="0.43487154311896581"/>
    <n v="7.3583517292126564E-4"/>
    <s v="Remain"/>
  </r>
  <r>
    <n v="356"/>
    <x v="10"/>
    <x v="10"/>
    <s v="S12000028"/>
    <s v="South Ayrshire"/>
    <n v="88116"/>
    <n v="61542"/>
    <n v="61542"/>
    <n v="0.69842026419719461"/>
    <n v="61542"/>
    <n v="61506"/>
    <n v="36265"/>
    <n v="25241"/>
    <n v="36"/>
    <n v="0"/>
    <n v="14"/>
    <n v="2"/>
    <n v="20"/>
    <n v="0.58961727311156631"/>
    <n v="0.41038272688843364"/>
    <n v="5.8496636443404503E-4"/>
    <s v="Remain"/>
  </r>
  <r>
    <n v="357"/>
    <x v="10"/>
    <x v="10"/>
    <s v="S12000029"/>
    <s v="South Lanarkshire"/>
    <n v="248949"/>
    <n v="162691"/>
    <n v="162683"/>
    <n v="0.65347922666891611"/>
    <n v="162683"/>
    <n v="162592"/>
    <n v="102568"/>
    <n v="60024"/>
    <n v="91"/>
    <n v="0"/>
    <n v="30"/>
    <n v="1"/>
    <n v="60"/>
    <n v="0.63083054516827397"/>
    <n v="0.36916945483172603"/>
    <n v="5.5937006325184561E-4"/>
    <s v="Remain"/>
  </r>
  <r>
    <n v="358"/>
    <x v="10"/>
    <x v="10"/>
    <s v="S12000030"/>
    <s v="Stirling"/>
    <n v="66100"/>
    <n v="48931"/>
    <n v="48931"/>
    <n v="0.74025718608169444"/>
    <n v="48931"/>
    <n v="48899"/>
    <n v="33112"/>
    <n v="15787"/>
    <n v="32"/>
    <n v="0"/>
    <n v="11"/>
    <n v="1"/>
    <n v="20"/>
    <n v="0.67715086198081764"/>
    <n v="0.32284913801918241"/>
    <n v="6.5398213811285275E-4"/>
    <s v="Remain"/>
  </r>
  <r>
    <n v="359"/>
    <x v="10"/>
    <x v="10"/>
    <s v="S12000040"/>
    <s v="West Lothian"/>
    <n v="130925"/>
    <n v="88556"/>
    <n v="88556"/>
    <n v="0.67638724460569033"/>
    <n v="88556"/>
    <n v="88508"/>
    <n v="51560"/>
    <n v="36948"/>
    <n v="48"/>
    <n v="0"/>
    <n v="22"/>
    <n v="2"/>
    <n v="24"/>
    <n v="0.58254621051204414"/>
    <n v="0.41745378948795592"/>
    <n v="5.4202990198292604E-4"/>
    <s v="Remain"/>
  </r>
  <r>
    <n v="360"/>
    <x v="10"/>
    <x v="10"/>
    <s v="S12000013"/>
    <s v="Eilean Siar"/>
    <n v="21259"/>
    <n v="14919"/>
    <n v="14919"/>
    <n v="0.70177336657415679"/>
    <n v="14919"/>
    <n v="14903"/>
    <n v="8232"/>
    <n v="6671"/>
    <n v="16"/>
    <n v="0"/>
    <n v="3"/>
    <n v="0"/>
    <n v="13"/>
    <n v="0.55237200563644906"/>
    <n v="0.44762799436355094"/>
    <n v="1.0724579395401837E-3"/>
    <s v="Remain"/>
  </r>
  <r>
    <n v="361"/>
    <x v="11"/>
    <x v="11"/>
    <s v="W06000001"/>
    <s v="Isle of Anglesey"/>
    <n v="51445"/>
    <n v="37980"/>
    <n v="37981"/>
    <n v="0.73828360384877056"/>
    <n v="37978"/>
    <n v="37951"/>
    <n v="18618"/>
    <n v="19333"/>
    <n v="27"/>
    <n v="0"/>
    <n v="11"/>
    <n v="0"/>
    <n v="16"/>
    <n v="0.49057995836736845"/>
    <n v="0.50942004163263155"/>
    <n v="7.1093791142240242E-4"/>
    <s v="Leave"/>
  </r>
  <r>
    <n v="362"/>
    <x v="11"/>
    <x v="11"/>
    <s v="W06000002"/>
    <s v="Gwynedd"/>
    <n v="84575"/>
    <n v="61245"/>
    <n v="61245"/>
    <n v="0.7241501625775939"/>
    <n v="61245"/>
    <n v="61182"/>
    <n v="35517"/>
    <n v="25665"/>
    <n v="63"/>
    <n v="14"/>
    <n v="17"/>
    <n v="2"/>
    <n v="30"/>
    <n v="0.58051387663038145"/>
    <n v="0.41948612336961849"/>
    <n v="1.0286554004408524E-3"/>
    <s v="Remain"/>
  </r>
  <r>
    <n v="363"/>
    <x v="11"/>
    <x v="11"/>
    <s v="W06000003"/>
    <s v="Conwy"/>
    <n v="91368"/>
    <n v="65558"/>
    <n v="65558"/>
    <n v="0.71751597933631028"/>
    <n v="65554"/>
    <n v="65504"/>
    <n v="30147"/>
    <n v="35357"/>
    <n v="50"/>
    <n v="0"/>
    <n v="19"/>
    <n v="0"/>
    <n v="31"/>
    <n v="0.46023143624816804"/>
    <n v="0.53976856375183191"/>
    <n v="7.6272996308386978E-4"/>
    <s v="Leave"/>
  </r>
  <r>
    <n v="364"/>
    <x v="11"/>
    <x v="11"/>
    <s v="W06000004"/>
    <s v="Denbighshire"/>
    <n v="75362"/>
    <n v="52108"/>
    <n v="52108"/>
    <n v="0.69143600222924018"/>
    <n v="52108"/>
    <n v="52072"/>
    <n v="23955"/>
    <n v="28117"/>
    <n v="36"/>
    <n v="1"/>
    <n v="10"/>
    <n v="0"/>
    <n v="25"/>
    <n v="0.46003610385619909"/>
    <n v="0.53996389614380091"/>
    <n v="6.9087280264066935E-4"/>
    <s v="Leave"/>
  </r>
  <r>
    <n v="365"/>
    <x v="11"/>
    <x v="11"/>
    <s v="W06000005"/>
    <s v="Flintshire"/>
    <n v="115964"/>
    <n v="86857"/>
    <n v="86854"/>
    <n v="0.74897381946121211"/>
    <n v="86854"/>
    <n v="86797"/>
    <n v="37867"/>
    <n v="48930"/>
    <n v="57"/>
    <n v="0"/>
    <n v="22"/>
    <n v="2"/>
    <n v="33"/>
    <n v="0.43627083885387746"/>
    <n v="0.56372916114612259"/>
    <n v="6.5627374674741517E-4"/>
    <s v="Leave"/>
  </r>
  <r>
    <n v="366"/>
    <x v="11"/>
    <x v="11"/>
    <s v="W06000006"/>
    <s v="Wrexham"/>
    <n v="98384"/>
    <n v="70409"/>
    <n v="70407"/>
    <n v="0.71563465604163279"/>
    <n v="70407"/>
    <n v="70366"/>
    <n v="28822"/>
    <n v="41544"/>
    <n v="41"/>
    <n v="0"/>
    <n v="17"/>
    <n v="0"/>
    <n v="24"/>
    <n v="0.40960122786573061"/>
    <n v="0.59039877213426939"/>
    <n v="5.8232846165864188E-4"/>
    <s v="Leave"/>
  </r>
  <r>
    <n v="367"/>
    <x v="11"/>
    <x v="11"/>
    <s v="W06000023"/>
    <s v="Powys"/>
    <n v="103270"/>
    <n v="79519"/>
    <n v="79517"/>
    <n v="0.76999128498111746"/>
    <n v="79515"/>
    <n v="79469"/>
    <n v="36762"/>
    <n v="42707"/>
    <n v="46"/>
    <n v="0"/>
    <n v="17"/>
    <n v="7"/>
    <n v="22"/>
    <n v="0.46259547748178537"/>
    <n v="0.53740452251821469"/>
    <n v="5.7850719989939003E-4"/>
    <s v="Leave"/>
  </r>
  <r>
    <n v="368"/>
    <x v="11"/>
    <x v="11"/>
    <s v="W06000008"/>
    <s v="Ceredigion"/>
    <n v="53400"/>
    <n v="39775"/>
    <n v="39772"/>
    <n v="0.74479400749063673"/>
    <n v="39772"/>
    <n v="39742"/>
    <n v="21711"/>
    <n v="18031"/>
    <n v="30"/>
    <n v="0"/>
    <n v="8"/>
    <n v="1"/>
    <n v="21"/>
    <n v="0.54629862613859392"/>
    <n v="0.45370137386140608"/>
    <n v="7.5429950719098859E-4"/>
    <s v="Remain"/>
  </r>
  <r>
    <n v="369"/>
    <x v="11"/>
    <x v="11"/>
    <s v="W06000009"/>
    <s v="Pembrokeshire"/>
    <n v="92155"/>
    <n v="68556"/>
    <n v="68555"/>
    <n v="0.74390971732407363"/>
    <n v="68555"/>
    <n v="68522"/>
    <n v="29367"/>
    <n v="39155"/>
    <n v="33"/>
    <n v="0"/>
    <n v="15"/>
    <n v="0"/>
    <n v="18"/>
    <n v="0.42857768307988675"/>
    <n v="0.57142231692011325"/>
    <n v="4.8136532710962003E-4"/>
    <s v="Leave"/>
  </r>
  <r>
    <n v="370"/>
    <x v="11"/>
    <x v="11"/>
    <s v="W06000010"/>
    <s v="Carmarthenshire"/>
    <n v="139227"/>
    <n v="103129"/>
    <n v="103126"/>
    <n v="0.74070403010910235"/>
    <n v="103126"/>
    <n v="103035"/>
    <n v="47654"/>
    <n v="55381"/>
    <n v="91"/>
    <n v="0"/>
    <n v="30"/>
    <n v="0"/>
    <n v="61"/>
    <n v="0.46250303294996847"/>
    <n v="0.53749696705003158"/>
    <n v="8.8241568566607839E-4"/>
    <s v="Leave"/>
  </r>
  <r>
    <n v="371"/>
    <x v="11"/>
    <x v="11"/>
    <s v="W06000011"/>
    <s v="Swansea"/>
    <n v="172941"/>
    <n v="120371"/>
    <n v="120362"/>
    <n v="0.69597145847427733"/>
    <n v="120362"/>
    <n v="120243"/>
    <n v="58307"/>
    <n v="61936"/>
    <n v="119"/>
    <n v="0"/>
    <n v="52"/>
    <n v="3"/>
    <n v="64"/>
    <n v="0.48490972447460556"/>
    <n v="0.51509027552539444"/>
    <n v="9.8868413618916269E-4"/>
    <s v="Leave"/>
  </r>
  <r>
    <n v="372"/>
    <x v="11"/>
    <x v="11"/>
    <s v="W06000012"/>
    <s v="Neath Port Talbot"/>
    <n v="105766"/>
    <n v="75695"/>
    <n v="75694"/>
    <n v="0.71567422423084925"/>
    <n v="75694"/>
    <n v="75652"/>
    <n v="32651"/>
    <n v="43001"/>
    <n v="42"/>
    <n v="1"/>
    <n v="17"/>
    <n v="0"/>
    <n v="24"/>
    <n v="0.43159467033257548"/>
    <n v="0.56840532966742452"/>
    <n v="5.5486564324781361E-4"/>
    <s v="Leave"/>
  </r>
  <r>
    <n v="373"/>
    <x v="11"/>
    <x v="11"/>
    <s v="W06000013"/>
    <s v="Bridgend"/>
    <n v="104492"/>
    <n v="74379"/>
    <n v="74380"/>
    <n v="0.71182482869501973"/>
    <n v="74378"/>
    <n v="74345"/>
    <n v="33723"/>
    <n v="40622"/>
    <n v="33"/>
    <n v="0"/>
    <n v="12"/>
    <n v="1"/>
    <n v="20"/>
    <n v="0.45360145268679802"/>
    <n v="0.54639854731320192"/>
    <n v="4.4367958267229555E-4"/>
    <s v="Leave"/>
  </r>
  <r>
    <n v="374"/>
    <x v="11"/>
    <x v="11"/>
    <s v="W06000014"/>
    <s v="Vale of Glamorgan"/>
    <n v="95011"/>
    <n v="72348"/>
    <n v="72347"/>
    <n v="0.76145919946111507"/>
    <n v="72348"/>
    <n v="72309"/>
    <n v="36681"/>
    <n v="35628"/>
    <n v="39"/>
    <n v="0"/>
    <n v="12"/>
    <n v="0"/>
    <n v="27"/>
    <n v="0.50728125129651913"/>
    <n v="0.49271874870348087"/>
    <n v="5.390612041797976E-4"/>
    <s v="Remain"/>
  </r>
  <r>
    <n v="375"/>
    <x v="11"/>
    <x v="11"/>
    <s v="W06000016"/>
    <s v="Rhondda Cynon Taf"/>
    <n v="172890"/>
    <n v="116645"/>
    <n v="116645"/>
    <n v="0.6746775406327723"/>
    <n v="116645"/>
    <n v="116563"/>
    <n v="53973"/>
    <n v="62590"/>
    <n v="82"/>
    <n v="0"/>
    <n v="34"/>
    <n v="0"/>
    <n v="48"/>
    <n v="0.46303715587278982"/>
    <n v="0.53696284412721018"/>
    <n v="7.0298769771529003E-4"/>
    <s v="Leave"/>
  </r>
  <r>
    <n v="376"/>
    <x v="11"/>
    <x v="11"/>
    <s v="W06000024"/>
    <s v="Merthyr Tydfil"/>
    <n v="42855"/>
    <n v="28881"/>
    <n v="28881"/>
    <n v="0.6739236961848093"/>
    <n v="28881"/>
    <n v="28865"/>
    <n v="12574"/>
    <n v="16291"/>
    <n v="16"/>
    <n v="0"/>
    <n v="7"/>
    <n v="1"/>
    <n v="8"/>
    <n v="0.43561406547722153"/>
    <n v="0.56438593452277841"/>
    <n v="5.539974377618504E-4"/>
    <s v="Leave"/>
  </r>
  <r>
    <n v="377"/>
    <x v="11"/>
    <x v="11"/>
    <s v="W06000018"/>
    <s v="Caerphilly"/>
    <n v="130801"/>
    <n v="92531"/>
    <n v="92528"/>
    <n v="0.70739520340058559"/>
    <n v="92525"/>
    <n v="92473"/>
    <n v="39178"/>
    <n v="53295"/>
    <n v="52"/>
    <n v="1"/>
    <n v="19"/>
    <n v="3"/>
    <n v="29"/>
    <n v="0.42366961167043354"/>
    <n v="0.57633038832956651"/>
    <n v="5.6201026749527153E-4"/>
    <s v="Leave"/>
  </r>
  <r>
    <n v="378"/>
    <x v="11"/>
    <x v="11"/>
    <s v="W06000019"/>
    <s v="Blaenau Gwent"/>
    <n v="51136"/>
    <n v="34812"/>
    <n v="34812"/>
    <n v="0.68077284105131419"/>
    <n v="34812"/>
    <n v="34802"/>
    <n v="13215"/>
    <n v="21587"/>
    <n v="10"/>
    <n v="0"/>
    <n v="3"/>
    <n v="0"/>
    <n v="7"/>
    <n v="0.37971955634733634"/>
    <n v="0.62028044365266366"/>
    <n v="2.8725726760887052E-4"/>
    <s v="Leave"/>
  </r>
  <r>
    <n v="379"/>
    <x v="11"/>
    <x v="11"/>
    <s v="W06000020"/>
    <s v="Torfaen"/>
    <n v="68957"/>
    <n v="48177"/>
    <n v="48172"/>
    <n v="0.69858027466392103"/>
    <n v="48172"/>
    <n v="48144"/>
    <n v="19363"/>
    <n v="28781"/>
    <n v="28"/>
    <n v="0"/>
    <n v="11"/>
    <n v="2"/>
    <n v="15"/>
    <n v="0.40218926553672318"/>
    <n v="0.59781073446327682"/>
    <n v="5.8125051897367768E-4"/>
    <s v="Leave"/>
  </r>
  <r>
    <n v="380"/>
    <x v="11"/>
    <x v="11"/>
    <s v="W06000021"/>
    <s v="Monmouthshire"/>
    <n v="71607"/>
    <n v="55670"/>
    <n v="55670"/>
    <n v="0.77743795997597998"/>
    <n v="55670"/>
    <n v="55630"/>
    <n v="28061"/>
    <n v="27569"/>
    <n v="40"/>
    <n v="19"/>
    <n v="0"/>
    <n v="0"/>
    <n v="21"/>
    <n v="0.50442207442027687"/>
    <n v="0.49557792557972319"/>
    <n v="7.1851984911083171E-4"/>
    <s v="Remain"/>
  </r>
  <r>
    <n v="381"/>
    <x v="11"/>
    <x v="11"/>
    <s v="W06000022"/>
    <s v="Newport"/>
    <n v="104977"/>
    <n v="73708"/>
    <n v="73708"/>
    <n v="0.70213475332691921"/>
    <n v="73708"/>
    <n v="73649"/>
    <n v="32413"/>
    <n v="41236"/>
    <n v="59"/>
    <n v="3"/>
    <n v="29"/>
    <n v="2"/>
    <n v="25"/>
    <n v="0.44010101970155741"/>
    <n v="0.55989898029844265"/>
    <n v="8.0045585282465946E-4"/>
    <s v="Leave"/>
  </r>
  <r>
    <n v="382"/>
    <x v="11"/>
    <x v="11"/>
    <s v="W06000015"/>
    <s v="Cardiff"/>
    <n v="243689"/>
    <n v="169762"/>
    <n v="169753"/>
    <n v="0.69659689194013685"/>
    <n v="169745"/>
    <n v="169604"/>
    <n v="101788"/>
    <n v="67816"/>
    <n v="141"/>
    <n v="0"/>
    <n v="56"/>
    <n v="3"/>
    <n v="82"/>
    <n v="0.60015093983632462"/>
    <n v="0.39984906016367538"/>
    <n v="8.3065775133288171E-4"/>
    <s v="Remai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56CE0-C869-44D2-8114-69949E4C47D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egion ID">
  <location ref="A3:G16" firstHeaderRow="0" firstDataRow="1" firstDataCol="2"/>
  <pivotFields count="22">
    <pivotField showAll="0" defaultSubtotal="0"/>
    <pivotField axis="axisRow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outline="0" showAll="0" defaultSubtotal="0">
      <items count="12">
        <item x="5"/>
        <item x="3"/>
        <item x="6"/>
        <item x="0"/>
        <item x="1"/>
        <item x="9"/>
        <item x="10"/>
        <item x="7"/>
        <item x="8"/>
        <item x="11"/>
        <item x="4"/>
        <item x="2"/>
      </items>
    </pivotField>
    <pivotField showAll="0" defaultSubtotal="0"/>
    <pivotField showAll="0" defaultSubtotal="0"/>
    <pivotField numFmtId="3" showAll="0" defaultSubtotal="0"/>
    <pivotField numFmtId="3" showAll="0" defaultSubtotal="0"/>
    <pivotField numFmtId="3" showAll="0" defaultSubtotal="0"/>
    <pivotField dataField="1" showAll="0" defaultSubtotal="0"/>
    <pivotField numFmtId="3" showAll="0" defaultSubtotal="0"/>
    <pivotField numFmtId="3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ubtotalTop="0" showAll="0" defaultSubtotal="0"/>
  </pivotFields>
  <rowFields count="2">
    <field x="1"/>
    <field x="2"/>
  </rowFields>
  <rowItems count="13">
    <i>
      <x/>
      <x v="3"/>
    </i>
    <i>
      <x v="1"/>
      <x v="4"/>
    </i>
    <i>
      <x v="2"/>
      <x v="11"/>
    </i>
    <i>
      <x v="3"/>
      <x v="1"/>
    </i>
    <i>
      <x v="4"/>
      <x v="10"/>
    </i>
    <i>
      <x v="5"/>
      <x/>
    </i>
    <i>
      <x v="6"/>
      <x v="2"/>
    </i>
    <i>
      <x v="7"/>
      <x v="7"/>
    </i>
    <i>
      <x v="8"/>
      <x v="8"/>
    </i>
    <i>
      <x v="9"/>
      <x v="5"/>
    </i>
    <i>
      <x v="10"/>
      <x v="6"/>
    </i>
    <i>
      <x v="11"/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ercent Remainers" fld="18" subtotal="average" baseField="2" baseItem="3" numFmtId="10"/>
    <dataField name="Total Remain Votes" fld="11" baseField="2" baseItem="5" numFmtId="3"/>
    <dataField name="Percent Leavers" fld="19" subtotal="average" baseField="2" baseItem="3" numFmtId="10"/>
    <dataField name="Total Leave Votes" fld="12" baseField="2" baseItem="5" numFmtId="3"/>
    <dataField name="Turnout" fld="8" subtotal="average" baseField="2" baseItem="5" numFmtId="10"/>
  </dataField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384973-44E6-4C13-AC42-26D3FE3A4D8D}" name="Table1" displayName="Table1" ref="A1:Y384" totalsRowCount="1">
  <autoFilter ref="A1:Y383" xr:uid="{54384973-44E6-4C13-AC42-26D3FE3A4D8D}">
    <filterColumn colId="2">
      <filters>
        <filter val="East"/>
      </filters>
    </filterColumn>
  </autoFilter>
  <tableColumns count="25">
    <tableColumn id="1" xr3:uid="{A0E37DD6-BE7E-4103-9956-410A6C6D4A87}" name="ID"/>
    <tableColumn id="2" xr3:uid="{D440C184-1600-4BD1-A908-B63444C6CE68}" name="Region Code"/>
    <tableColumn id="3" xr3:uid="{E714C094-1016-44B5-9916-83D694E17B11}" name="Region" totalsRowLabel="Totals"/>
    <tableColumn id="4" xr3:uid="{376A9890-0A6C-43AC-BF0C-9DC7B1F243F3}" name="Area Code"/>
    <tableColumn id="5" xr3:uid="{E73A1C24-DFC9-4B27-B709-AA38EE2738DA}" name="Area"/>
    <tableColumn id="6" xr3:uid="{B8416F91-84F2-4CFB-8C22-8433E03F9D15}" name=" Electorate " totalsRowFunction="custom" dataDxfId="58" totalsRowDxfId="20">
      <totalsRowFormula>SUM(Table1[[ Electorate ]])</totalsRowFormula>
    </tableColumn>
    <tableColumn id="7" xr3:uid="{DA7D65DB-AC10-49CD-BE7C-A393767F5EDB}" name=" Expected Ballots " totalsRowFunction="custom" dataDxfId="57" totalsRowDxfId="19">
      <totalsRowFormula>SUM(Table1[[ Expected Ballots ]])</totalsRowFormula>
    </tableColumn>
    <tableColumn id="8" xr3:uid="{4D411DD7-266B-47A2-A37C-FF57EF0EC299}" name=" Verified Ballot Papers " totalsRowFunction="sum" dataDxfId="56" totalsRowDxfId="18"/>
    <tableColumn id="9" xr3:uid="{792176A9-FB8C-4420-98BA-3B7A28B68953}" name="Percent Turnout" totalsRowFunction="average" totalsRowDxfId="17">
      <calculatedColumnFormula>Table1[[#This Row],[ Verified Ballot Papers ]]/Table1[[#This Row],[ Electorate ]]</calculatedColumnFormula>
    </tableColumn>
    <tableColumn id="10" xr3:uid="{25922695-B11F-465E-AAE2-E27E035817CF}" name=" Votes Cast " totalsRowFunction="custom" dataDxfId="55" totalsRowDxfId="16">
      <totalsRowFormula>SUM(J1:J383)</totalsRowFormula>
    </tableColumn>
    <tableColumn id="11" xr3:uid="{174164C7-059A-48A4-A165-7F8D536DC32C}" name=" Valid Votes " totalsRowFunction="custom" dataDxfId="54" totalsRowDxfId="15">
      <totalsRowFormula>SUM(K1:K383)</totalsRowFormula>
    </tableColumn>
    <tableColumn id="12" xr3:uid="{893CED48-DC85-429B-9E36-A560DF7F1579}" name=" Remain " totalsRowFunction="custom" dataDxfId="53" totalsRowDxfId="14">
      <totalsRowFormula>SUM(L1:L383)</totalsRowFormula>
    </tableColumn>
    <tableColumn id="13" xr3:uid="{D8DB4253-6652-4A0F-B415-DCE4B2A04BCE}" name=" Leave " totalsRowFunction="custom" dataDxfId="52" totalsRowDxfId="13">
      <totalsRowFormula>SUM(M1:M383)</totalsRowFormula>
    </tableColumn>
    <tableColumn id="14" xr3:uid="{5F73A90D-8D9A-4DA8-9D73-6D8264D552EE}" name=" Rejected Ballots " totalsRowFunction="custom" totalsRowDxfId="12">
      <totalsRowFormula>SUM(N1:N383)</totalsRowFormula>
    </tableColumn>
    <tableColumn id="15" xr3:uid="{D275AF01-308E-4DF9-8362-F475AC9C7436}" name=" No Official Mark " totalsRowFunction="custom" totalsRowDxfId="11">
      <totalsRowFormula>SUM(O1:O383)</totalsRowFormula>
    </tableColumn>
    <tableColumn id="16" xr3:uid="{132BC32C-2EFF-4BFA-87A4-E588727116A1}" name=" Multiple Marks " totalsRowFunction="custom" totalsRowDxfId="10">
      <totalsRowFormula>SUM(P1:P383)</totalsRowFormula>
    </tableColumn>
    <tableColumn id="17" xr3:uid="{96EEDD5F-702A-4C46-8BE3-51D86DD9B26A}" name=" Writing or Mark " totalsRowFunction="custom" totalsRowDxfId="9">
      <totalsRowFormula>SUM(Q1:Q383)</totalsRowFormula>
    </tableColumn>
    <tableColumn id="18" xr3:uid="{4455B3F7-B5C0-4EC7-A6D1-574FE6D489EC}" name=" Unmarked or Void " totalsRowFunction="custom" totalsRowDxfId="8">
      <totalsRowFormula>SUM(R1:R383)</totalsRowFormula>
    </tableColumn>
    <tableColumn id="19" xr3:uid="{5DFAA1C1-F0EA-452C-8F11-FE0497B592DF}" name="Percent Remain" totalsRowFunction="custom" dataDxfId="51" totalsRowDxfId="7" dataCellStyle="Percent">
      <calculatedColumnFormula>Table1[[#This Row],[ Remain ]]/Table1[[#This Row],[ Valid Votes ]]</calculatedColumnFormula>
      <totalsRowFormula>AVERAGE(S1:S383)</totalsRowFormula>
    </tableColumn>
    <tableColumn id="20" xr3:uid="{7364245C-BC51-4580-8CBE-95487AA60AB5}" name="Percent Leave" totalsRowFunction="custom" dataDxfId="50" totalsRowDxfId="6" dataCellStyle="Percent">
      <calculatedColumnFormula>Table1[[#This Row],[ Leave ]]/Table1[[#This Row],[ Valid Votes ]]</calculatedColumnFormula>
      <totalsRowFormula>AVERAGE(T1:T383)</totalsRowFormula>
    </tableColumn>
    <tableColumn id="21" xr3:uid="{E15F44B2-8AF8-4761-B6A5-CF34A97A3F24}" name="Percent Rejected" totalsRowFunction="average" dataDxfId="49" totalsRowDxfId="5" dataCellStyle="Percent">
      <calculatedColumnFormula>Table1[[#This Row],[ Rejected Ballots ]]/Table1[[#This Row],[ Votes Cast ]]</calculatedColumnFormula>
    </tableColumn>
    <tableColumn id="22" xr3:uid="{688C8664-5A46-483D-A16C-5157A5F15219}" name="Resoluton" dataDxfId="48" totalsRowDxfId="4">
      <calculatedColumnFormula>IF(Table1[[#This Row],[Percent Leave]]&gt;Table1[[#This Row],[Percent Remain]],"Leave", "Remain")</calculatedColumnFormula>
    </tableColumn>
    <tableColumn id="23" xr3:uid="{E2EC99BD-820B-421F-8C1D-7E29BD57F3ED}" name="Latitude" dataDxfId="47" totalsRowDxfId="3"/>
    <tableColumn id="24" xr3:uid="{69077AD1-79FB-4AB7-98B9-5CAB94F4352C}" name="Longitude" dataDxfId="46" totalsRowDxfId="2"/>
    <tableColumn id="25" xr3:uid="{F64B46FF-7734-4D53-96FF-FACC4D914F30}" name="2011 Residents" dataDxfId="0" totalsRowDxfId="1">
      <calculatedColumnFormula>_xlfn.XLOOKUP(Table1[[#This Row],[Area]],Table2[Area],Table2[All Residents])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B2A351-F6D3-4162-B02A-8229394667D7}" name="Table2" displayName="Table2" ref="A1:AC382" totalsRowShown="0">
  <autoFilter ref="A1:AC382" xr:uid="{34B2A351-F6D3-4162-B02A-8229394667D7}"/>
  <sortState xmlns:xlrd2="http://schemas.microsoft.com/office/spreadsheetml/2017/richdata2" ref="A3:AC382">
    <sortCondition ref="C1:C382"/>
  </sortState>
  <tableColumns count="29">
    <tableColumn id="1" xr3:uid="{4A247674-F374-4223-91D0-DC0FC40A9690}" name="Type"/>
    <tableColumn id="2" xr3:uid="{A80034C1-9A2E-4932-9242-A077015EB45E}" name="Code"/>
    <tableColumn id="3" xr3:uid="{777B7E97-88AB-4683-86C9-040FDA1E49E5}" name="Area"/>
    <tableColumn id="4" xr3:uid="{3B043F67-DD6B-4018-BEDF-5D86EB2015ED}" name="All Residents" dataDxfId="45"/>
    <tableColumn id="5" xr3:uid="{3267CBB8-B7A8-497F-B743-DC82D30B6938}" name="Age 0 to 4" dataDxfId="44"/>
    <tableColumn id="6" xr3:uid="{D6625433-ACF0-404C-93F0-2F27203BB49B}" name="Age 5 to 9" dataDxfId="43"/>
    <tableColumn id="7" xr3:uid="{9A2E5C36-BC5F-4D2C-9768-AEFEA0093636}" name="Age 10 to 14" dataDxfId="42"/>
    <tableColumn id="8" xr3:uid="{7A4B9A82-5BA6-4FA9-BA7E-003313C01216}" name="Age 15 to 19" dataDxfId="41"/>
    <tableColumn id="9" xr3:uid="{FB41B195-FB13-4799-97D4-AEE57854FC0F}" name="Age 20 to 24" dataDxfId="40"/>
    <tableColumn id="10" xr3:uid="{6C6F0459-C872-4ABA-ADB1-A108820868B1}" name="Age 25 to 29" dataDxfId="39"/>
    <tableColumn id="11" xr3:uid="{3D467B56-272C-47BA-B8F4-4936FF539A18}" name="Age 30 to 34" dataDxfId="38"/>
    <tableColumn id="12" xr3:uid="{D0F45D10-33CF-42AA-95A0-58F610AE756B}" name="Age 35 to 39" dataDxfId="37"/>
    <tableColumn id="13" xr3:uid="{7FDC35AB-6FF1-45D6-8305-AE30BF3A2365}" name="Age 40 to 44" dataDxfId="36"/>
    <tableColumn id="14" xr3:uid="{93C41A1B-202A-4E6E-9689-2CA8DA071DFF}" name="Age 45 to 49" dataDxfId="35"/>
    <tableColumn id="15" xr3:uid="{53FACDA9-F57F-4923-95E4-A244D654A946}" name="Age 50 to 54" dataDxfId="34"/>
    <tableColumn id="16" xr3:uid="{C7D25EE4-A015-4D80-B383-A72E0C7B0811}" name="Age 55 to 59" dataDxfId="33"/>
    <tableColumn id="17" xr3:uid="{B44DF867-E36F-4863-8974-112A0DC8A4C8}" name="Age 60 to 64" dataDxfId="32"/>
    <tableColumn id="18" xr3:uid="{BD01A36C-6FA5-475F-AF97-236A36981C9E}" name="Age 65 to 69" dataDxfId="31"/>
    <tableColumn id="19" xr3:uid="{874082A3-3B6B-461B-96A3-254E53765793}" name="Age 70 to 74" dataDxfId="30"/>
    <tableColumn id="20" xr3:uid="{77F27AA8-9E9F-428B-8DF5-2E5E5C865BB0}" name="Age 75 to 79" dataDxfId="29"/>
    <tableColumn id="21" xr3:uid="{ECDB3D90-E83A-4888-A673-907100047A4F}" name="Age 80 to 84" dataDxfId="28"/>
    <tableColumn id="22" xr3:uid="{A2CE7562-760A-491E-B0A7-E30FFD3DC202}" name="Age 85 to 89" dataDxfId="27"/>
    <tableColumn id="23" xr3:uid="{3149B0E5-8D33-40AF-B32B-F94E81F9C8F1}" name="Age 90 and Over"/>
    <tableColumn id="26" xr3:uid="{CBCA3575-193C-4F12-A5DD-B1782E5E4574}" name="Residents Age &gt;=20" dataDxfId="26">
      <calculatedColumnFormula>SUM(Table2[[#This Row],[Age 20 to 24]:[Age 90 and Over]])</calculatedColumnFormula>
    </tableColumn>
    <tableColumn id="24" xr3:uid="{40628781-0A89-4AD7-8614-4C650A661D3E}" name="Remain Votes" dataDxfId="25">
      <calculatedColumnFormula>_xlfn.XLOOKUP(Table2[[#This Row],[Area]],Referendum!E:E,Referendum!L:L,"")</calculatedColumnFormula>
    </tableColumn>
    <tableColumn id="25" xr3:uid="{08C4A4C6-7828-4359-86A4-F4BC0590B3B3}" name="Leave Votes" dataDxfId="24">
      <calculatedColumnFormula>_xlfn.XLOOKUP(Table2[[#This Row],[Area]],Referendum!E:E,Referendum!M:M,"")</calculatedColumnFormula>
    </tableColumn>
    <tableColumn id="29" xr3:uid="{05122C53-A355-42A7-AF1F-7431AFFD24F3}" name="% Vote Turnout" dataDxfId="23">
      <calculatedColumnFormula>(Table2[[#This Row],[Leave Votes]]+Table2[[#This Row],[Remain Votes]])/Table2[[#This Row],[Residents Age &gt;=20]]</calculatedColumnFormula>
    </tableColumn>
    <tableColumn id="27" xr3:uid="{A6CDF20D-588C-4AD0-B347-6F881DC69389}" name="%  Remain Votes" dataDxfId="22">
      <calculatedColumnFormula>Table2[[#This Row],[Remain Votes]]/Table2[[#This Row],[Residents Age &gt;=20]]</calculatedColumnFormula>
    </tableColumn>
    <tableColumn id="28" xr3:uid="{745C6B6F-B8C4-409B-AA89-9F3841FE78C8}" name="% Leave Votes" dataDxfId="21">
      <calculatedColumnFormula>Table2[[#This Row],[Leave Votes]]/Table2[[#This Row],[Residents Age &gt;=20]]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3925-10EE-4B0F-ADBE-0D7073993A3E}">
  <dimension ref="A1:G21"/>
  <sheetViews>
    <sheetView workbookViewId="0">
      <selection activeCell="A23" sqref="A23"/>
    </sheetView>
  </sheetViews>
  <sheetFormatPr defaultRowHeight="14.25" x14ac:dyDescent="0.45"/>
  <cols>
    <col min="1" max="1" width="12.265625" bestFit="1" customWidth="1"/>
    <col min="2" max="2" width="21.73046875" bestFit="1" customWidth="1"/>
    <col min="3" max="3" width="16.06640625" bestFit="1" customWidth="1"/>
    <col min="4" max="4" width="16.59765625" bestFit="1" customWidth="1"/>
    <col min="5" max="5" width="13.59765625" bestFit="1" customWidth="1"/>
    <col min="6" max="6" width="15.1328125" bestFit="1" customWidth="1"/>
    <col min="7" max="7" width="16.53125" customWidth="1"/>
  </cols>
  <sheetData>
    <row r="1" spans="1:7" ht="29.25" customHeight="1" x14ac:dyDescent="0.45">
      <c r="A1" s="12" t="s">
        <v>850</v>
      </c>
      <c r="B1" s="13"/>
      <c r="C1" s="13"/>
      <c r="D1" s="13"/>
      <c r="E1" s="13"/>
      <c r="F1" s="13"/>
      <c r="G1" s="13"/>
    </row>
    <row r="3" spans="1:7" x14ac:dyDescent="0.45">
      <c r="A3" s="2" t="s">
        <v>846</v>
      </c>
      <c r="B3" s="2" t="s">
        <v>2</v>
      </c>
      <c r="C3" t="s">
        <v>851</v>
      </c>
      <c r="D3" t="s">
        <v>848</v>
      </c>
      <c r="E3" t="s">
        <v>852</v>
      </c>
      <c r="F3" t="s">
        <v>847</v>
      </c>
      <c r="G3" t="s">
        <v>849</v>
      </c>
    </row>
    <row r="4" spans="1:7" x14ac:dyDescent="0.45">
      <c r="A4" t="s">
        <v>21</v>
      </c>
      <c r="B4" t="s">
        <v>22</v>
      </c>
      <c r="C4" s="4">
        <v>0.40522511974733716</v>
      </c>
      <c r="D4" s="1">
        <v>562595</v>
      </c>
      <c r="E4" s="4">
        <v>0.59477488025266279</v>
      </c>
      <c r="F4" s="1">
        <v>778103</v>
      </c>
      <c r="G4" s="4">
        <v>0.69130567898541839</v>
      </c>
    </row>
    <row r="5" spans="1:7" x14ac:dyDescent="0.45">
      <c r="A5" t="s">
        <v>47</v>
      </c>
      <c r="B5" t="s">
        <v>48</v>
      </c>
      <c r="C5" s="4">
        <v>0.4408494839498972</v>
      </c>
      <c r="D5" s="1">
        <v>1699020</v>
      </c>
      <c r="E5" s="4">
        <v>0.55915051605010269</v>
      </c>
      <c r="F5" s="1">
        <v>1966925</v>
      </c>
      <c r="G5" s="4">
        <v>0.70738897281755608</v>
      </c>
    </row>
    <row r="6" spans="1:7" x14ac:dyDescent="0.45">
      <c r="A6" t="s">
        <v>127</v>
      </c>
      <c r="B6" t="s">
        <v>128</v>
      </c>
      <c r="C6" s="4">
        <v>0.41351051930901711</v>
      </c>
      <c r="D6" s="1">
        <v>1158298</v>
      </c>
      <c r="E6" s="4">
        <v>0.58648948069098283</v>
      </c>
      <c r="F6" s="1">
        <v>1580937</v>
      </c>
      <c r="G6" s="4">
        <v>0.72323575533685636</v>
      </c>
    </row>
    <row r="7" spans="1:7" x14ac:dyDescent="0.45">
      <c r="A7" t="s">
        <v>171</v>
      </c>
      <c r="B7" t="s">
        <v>172</v>
      </c>
      <c r="C7" s="4">
        <v>0.40424943697818544</v>
      </c>
      <c r="D7" s="1">
        <v>1033036</v>
      </c>
      <c r="E7" s="4">
        <v>0.59575056302181484</v>
      </c>
      <c r="F7" s="1">
        <v>1475479</v>
      </c>
      <c r="G7" s="4">
        <v>0.75454419855471155</v>
      </c>
    </row>
    <row r="8" spans="1:7" x14ac:dyDescent="0.45">
      <c r="A8" t="s">
        <v>253</v>
      </c>
      <c r="B8" t="s">
        <v>254</v>
      </c>
      <c r="C8" s="4">
        <v>0.39684894771583118</v>
      </c>
      <c r="D8" s="1">
        <v>1207175</v>
      </c>
      <c r="E8" s="4">
        <v>0.60315105228416899</v>
      </c>
      <c r="F8" s="1">
        <v>1755687</v>
      </c>
      <c r="G8" s="4">
        <v>0.74534729596119143</v>
      </c>
    </row>
    <row r="9" spans="1:7" x14ac:dyDescent="0.45">
      <c r="A9" t="s">
        <v>315</v>
      </c>
      <c r="B9" t="s">
        <v>316</v>
      </c>
      <c r="C9" s="4">
        <v>0.43037316475621923</v>
      </c>
      <c r="D9" s="1">
        <v>1448616</v>
      </c>
      <c r="E9" s="4">
        <v>0.56962683524378055</v>
      </c>
      <c r="F9" s="1">
        <v>1880367</v>
      </c>
      <c r="G9" s="4">
        <v>0.75744348729010325</v>
      </c>
    </row>
    <row r="10" spans="1:7" x14ac:dyDescent="0.45">
      <c r="A10" t="s">
        <v>411</v>
      </c>
      <c r="B10" t="s">
        <v>412</v>
      </c>
      <c r="C10" s="4">
        <v>0.60909296072801478</v>
      </c>
      <c r="D10" s="1">
        <v>2263519</v>
      </c>
      <c r="E10" s="4">
        <v>0.39090703927198522</v>
      </c>
      <c r="F10" s="1">
        <v>1513232</v>
      </c>
      <c r="G10" s="4">
        <v>0.6981844747193906</v>
      </c>
    </row>
    <row r="11" spans="1:7" x14ac:dyDescent="0.45">
      <c r="A11" t="s">
        <v>479</v>
      </c>
      <c r="B11" t="s">
        <v>480</v>
      </c>
      <c r="C11" s="4">
        <v>0.47829704524866584</v>
      </c>
      <c r="D11" s="1">
        <v>2391718</v>
      </c>
      <c r="E11" s="4">
        <v>0.5217029547513341</v>
      </c>
      <c r="F11" s="1">
        <v>2567965</v>
      </c>
      <c r="G11" s="4">
        <v>0.77051109182737731</v>
      </c>
    </row>
    <row r="12" spans="1:7" x14ac:dyDescent="0.45">
      <c r="A12" t="s">
        <v>615</v>
      </c>
      <c r="B12" t="s">
        <v>616</v>
      </c>
      <c r="C12" s="4">
        <v>0.47621479486057833</v>
      </c>
      <c r="D12" s="1">
        <v>1503019</v>
      </c>
      <c r="E12" s="4">
        <v>0.52378520513942173</v>
      </c>
      <c r="F12" s="1">
        <v>1669711</v>
      </c>
      <c r="G12" s="4">
        <v>0.77503728036281694</v>
      </c>
    </row>
    <row r="13" spans="1:7" x14ac:dyDescent="0.45">
      <c r="A13" t="s">
        <v>693</v>
      </c>
      <c r="B13" t="s">
        <v>694</v>
      </c>
      <c r="C13" s="4">
        <v>0.55775176580619601</v>
      </c>
      <c r="D13" s="1">
        <v>440707</v>
      </c>
      <c r="E13" s="4">
        <v>0.44224823419380394</v>
      </c>
      <c r="F13" s="1">
        <v>349442</v>
      </c>
      <c r="G13" s="4">
        <v>0.62692403773330529</v>
      </c>
    </row>
    <row r="14" spans="1:7" x14ac:dyDescent="0.45">
      <c r="A14" t="s">
        <v>695</v>
      </c>
      <c r="B14" t="s">
        <v>696</v>
      </c>
      <c r="C14" s="4">
        <v>0.60863285317839211</v>
      </c>
      <c r="D14" s="1">
        <v>1661191</v>
      </c>
      <c r="E14" s="4">
        <v>0.39136714682160795</v>
      </c>
      <c r="F14" s="1">
        <v>1018322</v>
      </c>
      <c r="G14" s="4">
        <v>0.68621049716855864</v>
      </c>
    </row>
    <row r="15" spans="1:7" x14ac:dyDescent="0.45">
      <c r="A15" t="s">
        <v>761</v>
      </c>
      <c r="B15" t="s">
        <v>762</v>
      </c>
      <c r="C15" s="4">
        <v>0.46652268405114194</v>
      </c>
      <c r="D15" s="1">
        <v>772347</v>
      </c>
      <c r="E15" s="4">
        <v>0.53347731594885806</v>
      </c>
      <c r="F15" s="1">
        <v>854572</v>
      </c>
      <c r="G15" s="4">
        <v>0.71962918797442699</v>
      </c>
    </row>
    <row r="16" spans="1:7" x14ac:dyDescent="0.45">
      <c r="A16" t="s">
        <v>841</v>
      </c>
      <c r="C16" s="4">
        <v>0.47011039509862523</v>
      </c>
      <c r="D16" s="1">
        <v>16141241</v>
      </c>
      <c r="E16" s="4">
        <v>0.52988960490137482</v>
      </c>
      <c r="F16" s="1">
        <v>17410742</v>
      </c>
      <c r="G16" s="4">
        <v>0.7375577728480851</v>
      </c>
    </row>
    <row r="19" spans="1:7" x14ac:dyDescent="0.45">
      <c r="A19" s="7" t="s">
        <v>853</v>
      </c>
      <c r="B19" s="7"/>
      <c r="C19" s="7"/>
      <c r="D19" s="7"/>
      <c r="E19" s="7"/>
      <c r="F19" s="7"/>
      <c r="G19" s="7"/>
    </row>
    <row r="20" spans="1:7" x14ac:dyDescent="0.45">
      <c r="A20" t="s">
        <v>843</v>
      </c>
      <c r="B20" t="s">
        <v>844</v>
      </c>
      <c r="C20" s="7">
        <f>COUNTIF(Table1[Resoluton],"Leave")</f>
        <v>263</v>
      </c>
    </row>
    <row r="21" spans="1:7" x14ac:dyDescent="0.45">
      <c r="B21" t="s">
        <v>845</v>
      </c>
      <c r="C21" s="7">
        <f>COUNTIF(Table1[Resoluton],"Remain")</f>
        <v>119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1"/>
  <sheetViews>
    <sheetView tabSelected="1" topLeftCell="A153" workbookViewId="0">
      <selection activeCell="D178" sqref="D178"/>
    </sheetView>
  </sheetViews>
  <sheetFormatPr defaultRowHeight="14.25" x14ac:dyDescent="0.45"/>
  <cols>
    <col min="2" max="2" width="12.3984375" customWidth="1"/>
    <col min="3" max="3" width="21.73046875" bestFit="1" customWidth="1"/>
    <col min="4" max="4" width="10.6640625" customWidth="1"/>
    <col min="5" max="5" width="24.59765625" bestFit="1" customWidth="1"/>
    <col min="6" max="6" width="11.53125" customWidth="1"/>
    <col min="7" max="7" width="16.46484375" customWidth="1"/>
    <col min="8" max="8" width="20.46484375" customWidth="1"/>
    <col min="9" max="9" width="15.33203125" customWidth="1"/>
    <col min="10" max="10" width="11.73046875" customWidth="1"/>
    <col min="11" max="11" width="12.33203125" customWidth="1"/>
    <col min="12" max="12" width="10" bestFit="1" customWidth="1"/>
    <col min="13" max="13" width="9.6640625" bestFit="1" customWidth="1"/>
    <col min="14" max="14" width="16.1328125" customWidth="1"/>
    <col min="15" max="15" width="16.46484375" customWidth="1"/>
    <col min="16" max="16" width="15.53125" customWidth="1"/>
    <col min="17" max="17" width="16.19921875" customWidth="1"/>
    <col min="18" max="18" width="17.86328125" customWidth="1"/>
    <col min="19" max="19" width="15" customWidth="1"/>
    <col min="20" max="20" width="13.53125" customWidth="1"/>
    <col min="21" max="21" width="15.86328125" customWidth="1"/>
    <col min="22" max="22" width="15.06640625" customWidth="1"/>
    <col min="25" max="25" width="15.53125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842</v>
      </c>
      <c r="W1" t="s">
        <v>860</v>
      </c>
      <c r="X1" t="s">
        <v>861</v>
      </c>
      <c r="Y1" t="s">
        <v>862</v>
      </c>
    </row>
    <row r="2" spans="1:25" hidden="1" x14ac:dyDescent="0.45">
      <c r="A2">
        <v>1</v>
      </c>
      <c r="B2" t="s">
        <v>21</v>
      </c>
      <c r="C2" t="s">
        <v>22</v>
      </c>
      <c r="D2" t="s">
        <v>23</v>
      </c>
      <c r="E2" t="s">
        <v>24</v>
      </c>
      <c r="F2" s="1">
        <v>145866</v>
      </c>
      <c r="G2" s="1">
        <v>103009</v>
      </c>
      <c r="H2" s="1">
        <v>103007</v>
      </c>
      <c r="I2" s="5">
        <f>Table1[[#This Row],[ Verified Ballot Papers ]]/Table1[[#This Row],[ Electorate ]]</f>
        <v>0.70617553096677776</v>
      </c>
      <c r="J2" s="1">
        <v>103007</v>
      </c>
      <c r="K2" s="1">
        <v>102958</v>
      </c>
      <c r="L2" s="1">
        <v>44429</v>
      </c>
      <c r="M2" s="1">
        <v>58529</v>
      </c>
      <c r="N2">
        <v>49</v>
      </c>
      <c r="O2">
        <v>0</v>
      </c>
      <c r="P2">
        <v>13</v>
      </c>
      <c r="Q2">
        <v>3</v>
      </c>
      <c r="R2">
        <v>33</v>
      </c>
      <c r="S2" s="5">
        <f>Table1[[#This Row],[ Remain ]]/Table1[[#This Row],[ Valid Votes ]]</f>
        <v>0.43152547640785566</v>
      </c>
      <c r="T2" s="5">
        <f>Table1[[#This Row],[ Leave ]]/Table1[[#This Row],[ Valid Votes ]]</f>
        <v>0.56847452359214434</v>
      </c>
      <c r="U2" s="5">
        <f>Table1[[#This Row],[ Rejected Ballots ]]/Table1[[#This Row],[ Votes Cast ]]</f>
        <v>4.7569582649722834E-4</v>
      </c>
      <c r="V2" t="str">
        <f>IF(Table1[[#This Row],[Percent Leave]]&gt;Table1[[#This Row],[Percent Remain]],"Leave", "Remain")</f>
        <v>Leave</v>
      </c>
      <c r="W2">
        <v>54.931148999999998</v>
      </c>
      <c r="X2">
        <v>-1.6869400000000001</v>
      </c>
      <c r="Y2" s="1">
        <f>_xlfn.XLOOKUP(Table1[[#This Row],[Area]],Table2[Area],Table2[All Residents])</f>
        <v>200214</v>
      </c>
    </row>
    <row r="3" spans="1:25" hidden="1" x14ac:dyDescent="0.45">
      <c r="A3">
        <v>2</v>
      </c>
      <c r="B3" t="s">
        <v>21</v>
      </c>
      <c r="C3" t="s">
        <v>22</v>
      </c>
      <c r="D3" t="s">
        <v>25</v>
      </c>
      <c r="E3" t="s">
        <v>26</v>
      </c>
      <c r="F3" s="1">
        <v>190735</v>
      </c>
      <c r="G3" s="1">
        <v>129072</v>
      </c>
      <c r="H3" s="1">
        <v>129072</v>
      </c>
      <c r="I3" s="5">
        <f>Table1[[#This Row],[ Verified Ballot Papers ]]/Table1[[#This Row],[ Electorate ]]</f>
        <v>0.67670852229533118</v>
      </c>
      <c r="J3" s="1">
        <v>129072</v>
      </c>
      <c r="K3" s="1">
        <v>129003</v>
      </c>
      <c r="L3" s="1">
        <v>65405</v>
      </c>
      <c r="M3" s="1">
        <v>63598</v>
      </c>
      <c r="N3">
        <v>69</v>
      </c>
      <c r="O3">
        <v>0</v>
      </c>
      <c r="P3">
        <v>20</v>
      </c>
      <c r="Q3">
        <v>5</v>
      </c>
      <c r="R3">
        <v>44</v>
      </c>
      <c r="S3" s="5">
        <f>Table1[[#This Row],[ Remain ]]/Table1[[#This Row],[ Valid Votes ]]</f>
        <v>0.50700371309194359</v>
      </c>
      <c r="T3" s="5">
        <f>Table1[[#This Row],[ Leave ]]/Table1[[#This Row],[ Valid Votes ]]</f>
        <v>0.49299628690805641</v>
      </c>
      <c r="U3" s="5">
        <f>Table1[[#This Row],[ Rejected Ballots ]]/Table1[[#This Row],[ Votes Cast ]]</f>
        <v>5.3458534771290444E-4</v>
      </c>
      <c r="V3" t="str">
        <f>IF(Table1[[#This Row],[Percent Leave]]&gt;Table1[[#This Row],[Percent Remain]],"Leave", "Remain")</f>
        <v>Remain</v>
      </c>
      <c r="W3">
        <v>55.021000000000001</v>
      </c>
      <c r="X3">
        <v>-1.6529700000000001</v>
      </c>
      <c r="Y3" s="1">
        <f>_xlfn.XLOOKUP(Table1[[#This Row],[Area]],Table2[Area],Table2[All Residents])</f>
        <v>280177</v>
      </c>
    </row>
    <row r="4" spans="1:25" hidden="1" x14ac:dyDescent="0.45">
      <c r="A4">
        <v>3</v>
      </c>
      <c r="B4" t="s">
        <v>21</v>
      </c>
      <c r="C4" t="s">
        <v>22</v>
      </c>
      <c r="D4" t="s">
        <v>27</v>
      </c>
      <c r="E4" t="s">
        <v>28</v>
      </c>
      <c r="F4" s="1">
        <v>156993</v>
      </c>
      <c r="G4" s="1">
        <v>113527</v>
      </c>
      <c r="H4" s="1">
        <v>113507</v>
      </c>
      <c r="I4" s="5">
        <f>Table1[[#This Row],[ Verified Ballot Papers ]]/Table1[[#This Row],[ Electorate ]]</f>
        <v>0.72300675826310723</v>
      </c>
      <c r="J4" s="1">
        <v>113507</v>
      </c>
      <c r="K4" s="1">
        <v>113462</v>
      </c>
      <c r="L4" s="1">
        <v>52873</v>
      </c>
      <c r="M4" s="1">
        <v>60589</v>
      </c>
      <c r="N4">
        <v>45</v>
      </c>
      <c r="O4">
        <v>0</v>
      </c>
      <c r="P4">
        <v>17</v>
      </c>
      <c r="Q4">
        <v>3</v>
      </c>
      <c r="R4">
        <v>25</v>
      </c>
      <c r="S4" s="5">
        <f>Table1[[#This Row],[ Remain ]]/Table1[[#This Row],[ Valid Votes ]]</f>
        <v>0.46599742645114661</v>
      </c>
      <c r="T4" s="5">
        <f>Table1[[#This Row],[ Leave ]]/Table1[[#This Row],[ Valid Votes ]]</f>
        <v>0.53400257354885339</v>
      </c>
      <c r="U4" s="5">
        <f>Table1[[#This Row],[ Rejected Ballots ]]/Table1[[#This Row],[ Votes Cast ]]</f>
        <v>3.9645132018289623E-4</v>
      </c>
      <c r="V4" t="str">
        <f>IF(Table1[[#This Row],[Percent Leave]]&gt;Table1[[#This Row],[Percent Remain]],"Leave", "Remain")</f>
        <v>Leave</v>
      </c>
      <c r="W4">
        <v>55.028961000000002</v>
      </c>
      <c r="X4">
        <v>-1.5092300000000001</v>
      </c>
      <c r="Y4" s="1">
        <f>_xlfn.XLOOKUP(Table1[[#This Row],[Area]],Table2[Area],Table2[All Residents])</f>
        <v>200801</v>
      </c>
    </row>
    <row r="5" spans="1:25" hidden="1" x14ac:dyDescent="0.45">
      <c r="A5">
        <v>4</v>
      </c>
      <c r="B5" t="s">
        <v>21</v>
      </c>
      <c r="C5" t="s">
        <v>22</v>
      </c>
      <c r="D5" t="s">
        <v>29</v>
      </c>
      <c r="E5" t="s">
        <v>30</v>
      </c>
      <c r="F5" s="1">
        <v>115893</v>
      </c>
      <c r="G5" s="1">
        <v>79126</v>
      </c>
      <c r="H5" s="1">
        <v>79117</v>
      </c>
      <c r="I5" s="5">
        <f>Table1[[#This Row],[ Verified Ballot Papers ]]/Table1[[#This Row],[ Electorate ]]</f>
        <v>0.68267281026464066</v>
      </c>
      <c r="J5" s="1">
        <v>79117</v>
      </c>
      <c r="K5" s="1">
        <v>79079</v>
      </c>
      <c r="L5" s="1">
        <v>30014</v>
      </c>
      <c r="M5" s="1">
        <v>49065</v>
      </c>
      <c r="N5">
        <v>38</v>
      </c>
      <c r="O5">
        <v>0</v>
      </c>
      <c r="P5">
        <v>10</v>
      </c>
      <c r="Q5">
        <v>1</v>
      </c>
      <c r="R5">
        <v>27</v>
      </c>
      <c r="S5" s="5">
        <f>Table1[[#This Row],[ Remain ]]/Table1[[#This Row],[ Valid Votes ]]</f>
        <v>0.37954450612678459</v>
      </c>
      <c r="T5" s="5">
        <f>Table1[[#This Row],[ Leave ]]/Table1[[#This Row],[ Valid Votes ]]</f>
        <v>0.62045549387321541</v>
      </c>
      <c r="U5" s="5">
        <f>Table1[[#This Row],[ Rejected Ballots ]]/Table1[[#This Row],[ Votes Cast ]]</f>
        <v>4.8030132588444961E-4</v>
      </c>
      <c r="V5" t="str">
        <f>IF(Table1[[#This Row],[Percent Leave]]&gt;Table1[[#This Row],[Percent Remain]],"Leave", "Remain")</f>
        <v>Leave</v>
      </c>
      <c r="W5">
        <v>54.969878999999999</v>
      </c>
      <c r="X5">
        <v>-1.44679</v>
      </c>
      <c r="Y5" s="1">
        <f>_xlfn.XLOOKUP(Table1[[#This Row],[Area]],Table2[Area],Table2[All Residents])</f>
        <v>148127</v>
      </c>
    </row>
    <row r="6" spans="1:25" hidden="1" x14ac:dyDescent="0.45">
      <c r="A6">
        <v>5</v>
      </c>
      <c r="B6" t="s">
        <v>21</v>
      </c>
      <c r="C6" t="s">
        <v>22</v>
      </c>
      <c r="D6" t="s">
        <v>31</v>
      </c>
      <c r="E6" t="s">
        <v>32</v>
      </c>
      <c r="F6" s="1">
        <v>207221</v>
      </c>
      <c r="G6" s="1">
        <v>134404</v>
      </c>
      <c r="H6" s="1">
        <v>134400</v>
      </c>
      <c r="I6" s="5">
        <f>Table1[[#This Row],[ Verified Ballot Papers ]]/Table1[[#This Row],[ Electorate ]]</f>
        <v>0.64858291389386213</v>
      </c>
      <c r="J6" s="1">
        <v>134400</v>
      </c>
      <c r="K6" s="1">
        <v>134324</v>
      </c>
      <c r="L6" s="1">
        <v>51930</v>
      </c>
      <c r="M6" s="1">
        <v>82394</v>
      </c>
      <c r="N6">
        <v>76</v>
      </c>
      <c r="O6">
        <v>0</v>
      </c>
      <c r="P6">
        <v>13</v>
      </c>
      <c r="Q6">
        <v>2</v>
      </c>
      <c r="R6">
        <v>61</v>
      </c>
      <c r="S6" s="5">
        <f>Table1[[#This Row],[ Remain ]]/Table1[[#This Row],[ Valid Votes ]]</f>
        <v>0.38660254310473186</v>
      </c>
      <c r="T6" s="5">
        <f>Table1[[#This Row],[ Leave ]]/Table1[[#This Row],[ Valid Votes ]]</f>
        <v>0.61339745689526814</v>
      </c>
      <c r="U6" s="5">
        <f>Table1[[#This Row],[ Rejected Ballots ]]/Table1[[#This Row],[ Votes Cast ]]</f>
        <v>5.6547619047619046E-4</v>
      </c>
      <c r="V6" t="str">
        <f>IF(Table1[[#This Row],[Percent Leave]]&gt;Table1[[#This Row],[Percent Remain]],"Leave", "Remain")</f>
        <v>Leave</v>
      </c>
      <c r="W6">
        <v>54.857188999999998</v>
      </c>
      <c r="X6">
        <v>-1.43344</v>
      </c>
      <c r="Y6" s="1">
        <f>_xlfn.XLOOKUP(Table1[[#This Row],[Area]],Table2[Area],Table2[All Residents])</f>
        <v>275506</v>
      </c>
    </row>
    <row r="7" spans="1:25" hidden="1" x14ac:dyDescent="0.45">
      <c r="A7">
        <v>6</v>
      </c>
      <c r="B7" t="s">
        <v>21</v>
      </c>
      <c r="C7" t="s">
        <v>22</v>
      </c>
      <c r="D7" t="s">
        <v>33</v>
      </c>
      <c r="E7" t="s">
        <v>34</v>
      </c>
      <c r="F7" s="1">
        <v>70341</v>
      </c>
      <c r="G7" s="1">
        <v>46137</v>
      </c>
      <c r="H7" s="1">
        <v>46134</v>
      </c>
      <c r="I7" s="5">
        <f>Table1[[#This Row],[ Verified Ballot Papers ]]/Table1[[#This Row],[ Electorate ]]</f>
        <v>0.65586215720561269</v>
      </c>
      <c r="J7" s="1">
        <v>46134</v>
      </c>
      <c r="K7" s="1">
        <v>46100</v>
      </c>
      <c r="L7" s="1">
        <v>14029</v>
      </c>
      <c r="M7" s="1">
        <v>32071</v>
      </c>
      <c r="N7">
        <v>34</v>
      </c>
      <c r="O7">
        <v>0</v>
      </c>
      <c r="P7">
        <v>12</v>
      </c>
      <c r="Q7">
        <v>6</v>
      </c>
      <c r="R7">
        <v>16</v>
      </c>
      <c r="S7" s="5">
        <f>Table1[[#This Row],[ Remain ]]/Table1[[#This Row],[ Valid Votes ]]</f>
        <v>0.3043167028199566</v>
      </c>
      <c r="T7" s="5">
        <f>Table1[[#This Row],[ Leave ]]/Table1[[#This Row],[ Valid Votes ]]</f>
        <v>0.6956832971800434</v>
      </c>
      <c r="U7" s="5">
        <f>Table1[[#This Row],[ Rejected Ballots ]]/Table1[[#This Row],[ Votes Cast ]]</f>
        <v>7.3698356960159536E-4</v>
      </c>
      <c r="V7" t="str">
        <f>IF(Table1[[#This Row],[Percent Leave]]&gt;Table1[[#This Row],[Percent Remain]],"Leave", "Remain")</f>
        <v>Leave</v>
      </c>
      <c r="W7">
        <v>54.676139999999997</v>
      </c>
      <c r="X7">
        <v>-1.2701800000000001</v>
      </c>
      <c r="Y7" s="1">
        <f>_xlfn.XLOOKUP(Table1[[#This Row],[Area]],Table2[Area],Table2[All Residents])</f>
        <v>92028</v>
      </c>
    </row>
    <row r="8" spans="1:25" hidden="1" x14ac:dyDescent="0.45">
      <c r="A8">
        <v>7</v>
      </c>
      <c r="B8" t="s">
        <v>21</v>
      </c>
      <c r="C8" t="s">
        <v>22</v>
      </c>
      <c r="D8" t="s">
        <v>35</v>
      </c>
      <c r="E8" t="s">
        <v>36</v>
      </c>
      <c r="F8" s="1">
        <v>94612</v>
      </c>
      <c r="G8" s="1">
        <v>61395</v>
      </c>
      <c r="H8" s="1">
        <v>61393</v>
      </c>
      <c r="I8" s="5">
        <f>Table1[[#This Row],[ Verified Ballot Papers ]]/Table1[[#This Row],[ Electorate ]]</f>
        <v>0.64889231809918402</v>
      </c>
      <c r="J8" s="1">
        <v>61393</v>
      </c>
      <c r="K8" s="1">
        <v>61358</v>
      </c>
      <c r="L8" s="1">
        <v>21181</v>
      </c>
      <c r="M8" s="1">
        <v>40177</v>
      </c>
      <c r="N8">
        <v>35</v>
      </c>
      <c r="O8">
        <v>0</v>
      </c>
      <c r="P8">
        <v>16</v>
      </c>
      <c r="Q8">
        <v>1</v>
      </c>
      <c r="R8">
        <v>18</v>
      </c>
      <c r="S8" s="5">
        <f>Table1[[#This Row],[ Remain ]]/Table1[[#This Row],[ Valid Votes ]]</f>
        <v>0.34520355943805209</v>
      </c>
      <c r="T8" s="5">
        <f>Table1[[#This Row],[ Leave ]]/Table1[[#This Row],[ Valid Votes ]]</f>
        <v>0.65479644056194797</v>
      </c>
      <c r="U8" s="5">
        <f>Table1[[#This Row],[ Rejected Ballots ]]/Table1[[#This Row],[ Votes Cast ]]</f>
        <v>5.7009756812665942E-4</v>
      </c>
      <c r="V8" t="str">
        <f>IF(Table1[[#This Row],[Percent Leave]]&gt;Table1[[#This Row],[Percent Remain]],"Leave", "Remain")</f>
        <v>Leave</v>
      </c>
      <c r="W8">
        <v>54.544670000000004</v>
      </c>
      <c r="X8">
        <v>-1.21099</v>
      </c>
      <c r="Y8" s="1">
        <f>_xlfn.XLOOKUP(Table1[[#This Row],[Area]],Table2[Area],Table2[All Residents])</f>
        <v>138412</v>
      </c>
    </row>
    <row r="9" spans="1:25" hidden="1" x14ac:dyDescent="0.45">
      <c r="A9">
        <v>8</v>
      </c>
      <c r="B9" t="s">
        <v>21</v>
      </c>
      <c r="C9" t="s">
        <v>22</v>
      </c>
      <c r="D9" t="s">
        <v>37</v>
      </c>
      <c r="E9" t="s">
        <v>38</v>
      </c>
      <c r="F9" s="1">
        <v>103529</v>
      </c>
      <c r="G9" s="1">
        <v>72741</v>
      </c>
      <c r="H9" s="1">
        <v>72741</v>
      </c>
      <c r="I9" s="5">
        <f>Table1[[#This Row],[ Verified Ballot Papers ]]/Table1[[#This Row],[ Electorate ]]</f>
        <v>0.70261472630857058</v>
      </c>
      <c r="J9" s="1">
        <v>72741</v>
      </c>
      <c r="K9" s="1">
        <v>72714</v>
      </c>
      <c r="L9" s="1">
        <v>24586</v>
      </c>
      <c r="M9" s="1">
        <v>48128</v>
      </c>
      <c r="N9">
        <v>27</v>
      </c>
      <c r="O9">
        <v>0</v>
      </c>
      <c r="P9">
        <v>6</v>
      </c>
      <c r="Q9">
        <v>0</v>
      </c>
      <c r="R9">
        <v>21</v>
      </c>
      <c r="S9" s="5">
        <f>Table1[[#This Row],[ Remain ]]/Table1[[#This Row],[ Valid Votes ]]</f>
        <v>0.33811920675523283</v>
      </c>
      <c r="T9" s="5">
        <f>Table1[[#This Row],[ Leave ]]/Table1[[#This Row],[ Valid Votes ]]</f>
        <v>0.66188079324476712</v>
      </c>
      <c r="U9" s="5">
        <f>Table1[[#This Row],[ Rejected Ballots ]]/Table1[[#This Row],[ Votes Cast ]]</f>
        <v>3.7117993978636534E-4</v>
      </c>
      <c r="V9" t="str">
        <f>IF(Table1[[#This Row],[Percent Leave]]&gt;Table1[[#This Row],[Percent Remain]],"Leave", "Remain")</f>
        <v>Leave</v>
      </c>
      <c r="W9">
        <v>54.567520000000002</v>
      </c>
      <c r="X9">
        <v>-1.0060800000000001</v>
      </c>
      <c r="Y9" s="1">
        <f>_xlfn.XLOOKUP(Table1[[#This Row],[Area]],Table2[Area],Table2[All Residents])</f>
        <v>135177</v>
      </c>
    </row>
    <row r="10" spans="1:25" hidden="1" x14ac:dyDescent="0.45">
      <c r="A10">
        <v>9</v>
      </c>
      <c r="B10" t="s">
        <v>21</v>
      </c>
      <c r="C10" t="s">
        <v>22</v>
      </c>
      <c r="D10" t="s">
        <v>39</v>
      </c>
      <c r="E10" t="s">
        <v>40</v>
      </c>
      <c r="F10" s="1">
        <v>141486</v>
      </c>
      <c r="G10" s="1">
        <v>100462</v>
      </c>
      <c r="H10" s="1">
        <v>100460</v>
      </c>
      <c r="I10" s="5">
        <f>Table1[[#This Row],[ Verified Ballot Papers ]]/Table1[[#This Row],[ Electorate ]]</f>
        <v>0.71003491511527639</v>
      </c>
      <c r="J10" s="1">
        <v>100460</v>
      </c>
      <c r="K10" s="1">
        <v>100415</v>
      </c>
      <c r="L10" s="1">
        <v>38433</v>
      </c>
      <c r="M10" s="1">
        <v>61982</v>
      </c>
      <c r="N10">
        <v>45</v>
      </c>
      <c r="O10">
        <v>2</v>
      </c>
      <c r="P10">
        <v>13</v>
      </c>
      <c r="Q10">
        <v>2</v>
      </c>
      <c r="R10">
        <v>28</v>
      </c>
      <c r="S10" s="5">
        <f>Table1[[#This Row],[ Remain ]]/Table1[[#This Row],[ Valid Votes ]]</f>
        <v>0.38274162226758951</v>
      </c>
      <c r="T10" s="5">
        <f>Table1[[#This Row],[ Leave ]]/Table1[[#This Row],[ Valid Votes ]]</f>
        <v>0.61725837773241055</v>
      </c>
      <c r="U10" s="5">
        <f>Table1[[#This Row],[ Rejected Ballots ]]/Table1[[#This Row],[ Votes Cast ]]</f>
        <v>4.4793947839936294E-4</v>
      </c>
      <c r="V10" t="str">
        <f>IF(Table1[[#This Row],[Percent Leave]]&gt;Table1[[#This Row],[Percent Remain]],"Leave", "Remain")</f>
        <v>Leave</v>
      </c>
      <c r="W10">
        <v>54.556910999999999</v>
      </c>
      <c r="X10">
        <v>-1.30664</v>
      </c>
      <c r="Y10" s="1">
        <f>_xlfn.XLOOKUP(Table1[[#This Row],[Area]],Table2[Area],Table2[All Residents])</f>
        <v>191610</v>
      </c>
    </row>
    <row r="11" spans="1:25" hidden="1" x14ac:dyDescent="0.45">
      <c r="A11">
        <v>10</v>
      </c>
      <c r="B11" t="s">
        <v>21</v>
      </c>
      <c r="C11" t="s">
        <v>22</v>
      </c>
      <c r="D11" t="s">
        <v>41</v>
      </c>
      <c r="E11" t="s">
        <v>42</v>
      </c>
      <c r="F11" s="1">
        <v>77662</v>
      </c>
      <c r="G11" s="1">
        <v>55194</v>
      </c>
      <c r="H11" s="1">
        <v>55195</v>
      </c>
      <c r="I11" s="5">
        <f>Table1[[#This Row],[ Verified Ballot Papers ]]/Table1[[#This Row],[ Electorate ]]</f>
        <v>0.7107079395328475</v>
      </c>
      <c r="J11" s="1">
        <v>55195</v>
      </c>
      <c r="K11" s="1">
        <v>55166</v>
      </c>
      <c r="L11" s="1">
        <v>24172</v>
      </c>
      <c r="M11" s="1">
        <v>30994</v>
      </c>
      <c r="N11">
        <v>29</v>
      </c>
      <c r="O11">
        <v>0</v>
      </c>
      <c r="P11">
        <v>0</v>
      </c>
      <c r="Q11">
        <v>0</v>
      </c>
      <c r="R11">
        <v>29</v>
      </c>
      <c r="S11" s="5">
        <f>Table1[[#This Row],[ Remain ]]/Table1[[#This Row],[ Valid Votes ]]</f>
        <v>0.43816843708081066</v>
      </c>
      <c r="T11" s="5">
        <f>Table1[[#This Row],[ Leave ]]/Table1[[#This Row],[ Valid Votes ]]</f>
        <v>0.56183156291918934</v>
      </c>
      <c r="U11" s="5">
        <f>Table1[[#This Row],[ Rejected Ballots ]]/Table1[[#This Row],[ Votes Cast ]]</f>
        <v>5.254099103179636E-4</v>
      </c>
      <c r="V11" t="str">
        <f>IF(Table1[[#This Row],[Percent Leave]]&gt;Table1[[#This Row],[Percent Remain]],"Leave", "Remain")</f>
        <v>Leave</v>
      </c>
      <c r="W11">
        <v>54.535339</v>
      </c>
      <c r="X11">
        <v>-1.5683499999999999</v>
      </c>
      <c r="Y11" s="1">
        <f>_xlfn.XLOOKUP(Table1[[#This Row],[Area]],Table2[Area],Table2[All Residents])</f>
        <v>105564</v>
      </c>
    </row>
    <row r="12" spans="1:25" hidden="1" x14ac:dyDescent="0.45">
      <c r="A12">
        <v>11</v>
      </c>
      <c r="B12" t="s">
        <v>21</v>
      </c>
      <c r="C12" t="s">
        <v>22</v>
      </c>
      <c r="D12" t="s">
        <v>43</v>
      </c>
      <c r="E12" t="s">
        <v>44</v>
      </c>
      <c r="F12" s="1">
        <v>389507</v>
      </c>
      <c r="G12" s="1">
        <v>267577</v>
      </c>
      <c r="H12" s="1">
        <v>267546</v>
      </c>
      <c r="I12" s="5">
        <f>Table1[[#This Row],[ Verified Ballot Papers ]]/Table1[[#This Row],[ Electorate ]]</f>
        <v>0.68688367603149625</v>
      </c>
      <c r="J12" s="1">
        <v>267546</v>
      </c>
      <c r="K12" s="1">
        <v>267398</v>
      </c>
      <c r="L12" s="1">
        <v>113521</v>
      </c>
      <c r="M12" s="1">
        <v>153877</v>
      </c>
      <c r="N12">
        <v>148</v>
      </c>
      <c r="O12">
        <v>3</v>
      </c>
      <c r="P12">
        <v>35</v>
      </c>
      <c r="Q12">
        <v>1</v>
      </c>
      <c r="R12">
        <v>109</v>
      </c>
      <c r="S12" s="5">
        <f>Table1[[#This Row],[ Remain ]]/Table1[[#This Row],[ Valid Votes ]]</f>
        <v>0.42453945055684783</v>
      </c>
      <c r="T12" s="5">
        <f>Table1[[#This Row],[ Leave ]]/Table1[[#This Row],[ Valid Votes ]]</f>
        <v>0.57546054944315217</v>
      </c>
      <c r="U12" s="5">
        <f>Table1[[#This Row],[ Rejected Ballots ]]/Table1[[#This Row],[ Votes Cast ]]</f>
        <v>5.5317590246163281E-4</v>
      </c>
      <c r="V12" t="str">
        <f>IF(Table1[[#This Row],[Percent Leave]]&gt;Table1[[#This Row],[Percent Remain]],"Leave", "Remain")</f>
        <v>Leave</v>
      </c>
      <c r="W12">
        <v>54.685130999999998</v>
      </c>
      <c r="X12">
        <v>-1.8405</v>
      </c>
      <c r="Y12" s="1">
        <f>_xlfn.XLOOKUP(Table1[[#This Row],[Area]],Table2[Area],Table2[All Residents])</f>
        <v>513242</v>
      </c>
    </row>
    <row r="13" spans="1:25" hidden="1" x14ac:dyDescent="0.45">
      <c r="A13">
        <v>12</v>
      </c>
      <c r="B13" t="s">
        <v>21</v>
      </c>
      <c r="C13" t="s">
        <v>22</v>
      </c>
      <c r="D13" t="s">
        <v>45</v>
      </c>
      <c r="E13" t="s">
        <v>46</v>
      </c>
      <c r="F13" s="1">
        <v>240496</v>
      </c>
      <c r="G13" s="1">
        <v>178830</v>
      </c>
      <c r="H13" s="1">
        <v>178815</v>
      </c>
      <c r="I13" s="5">
        <f>Table1[[#This Row],[ Verified Ballot Papers ]]/Table1[[#This Row],[ Electorate ]]</f>
        <v>0.74352587984831353</v>
      </c>
      <c r="J13" s="1">
        <v>178815</v>
      </c>
      <c r="K13" s="1">
        <v>178721</v>
      </c>
      <c r="L13" s="1">
        <v>82022</v>
      </c>
      <c r="M13" s="1">
        <v>96699</v>
      </c>
      <c r="N13">
        <v>94</v>
      </c>
      <c r="O13">
        <v>3</v>
      </c>
      <c r="P13">
        <v>30</v>
      </c>
      <c r="Q13">
        <v>6</v>
      </c>
      <c r="R13">
        <v>55</v>
      </c>
      <c r="S13" s="5">
        <f>Table1[[#This Row],[ Remain ]]/Table1[[#This Row],[ Valid Votes ]]</f>
        <v>0.45893879286709455</v>
      </c>
      <c r="T13" s="5">
        <f>Table1[[#This Row],[ Leave ]]/Table1[[#This Row],[ Valid Votes ]]</f>
        <v>0.54106120713290551</v>
      </c>
      <c r="U13" s="5">
        <f>Table1[[#This Row],[ Rejected Ballots ]]/Table1[[#This Row],[ Votes Cast ]]</f>
        <v>5.2568296843106003E-4</v>
      </c>
      <c r="V13" t="str">
        <f>IF(Table1[[#This Row],[Percent Leave]]&gt;Table1[[#This Row],[Percent Remain]],"Leave", "Remain")</f>
        <v>Leave</v>
      </c>
      <c r="W13">
        <v>55.300369000000003</v>
      </c>
      <c r="X13">
        <v>-2.0752299000000001</v>
      </c>
      <c r="Y13" s="1">
        <f>_xlfn.XLOOKUP(Table1[[#This Row],[Area]],Table2[Area],Table2[All Residents])</f>
        <v>316028</v>
      </c>
    </row>
    <row r="14" spans="1:25" hidden="1" x14ac:dyDescent="0.45">
      <c r="A14">
        <v>13</v>
      </c>
      <c r="B14" t="s">
        <v>47</v>
      </c>
      <c r="C14" t="s">
        <v>48</v>
      </c>
      <c r="D14" t="s">
        <v>49</v>
      </c>
      <c r="E14" t="s">
        <v>50</v>
      </c>
      <c r="F14" s="1">
        <v>197109</v>
      </c>
      <c r="G14" s="1">
        <v>138206</v>
      </c>
      <c r="H14" s="1">
        <v>138180</v>
      </c>
      <c r="I14" s="5">
        <f>Table1[[#This Row],[ Verified Ballot Papers ]]/Table1[[#This Row],[ Electorate ]]</f>
        <v>0.701033438351369</v>
      </c>
      <c r="J14" s="1">
        <v>138180</v>
      </c>
      <c r="K14" s="1">
        <v>138080</v>
      </c>
      <c r="L14" s="1">
        <v>57589</v>
      </c>
      <c r="M14" s="1">
        <v>80491</v>
      </c>
      <c r="N14">
        <v>100</v>
      </c>
      <c r="O14">
        <v>2</v>
      </c>
      <c r="P14">
        <v>43</v>
      </c>
      <c r="Q14">
        <v>2</v>
      </c>
      <c r="R14">
        <v>53</v>
      </c>
      <c r="S14" s="5">
        <f>Table1[[#This Row],[ Remain ]]/Table1[[#This Row],[ Valid Votes ]]</f>
        <v>0.41706981460023174</v>
      </c>
      <c r="T14" s="5">
        <f>Table1[[#This Row],[ Leave ]]/Table1[[#This Row],[ Valid Votes ]]</f>
        <v>0.58293018539976826</v>
      </c>
      <c r="U14" s="5">
        <f>Table1[[#This Row],[ Rejected Ballots ]]/Table1[[#This Row],[ Votes Cast ]]</f>
        <v>7.2369373281227383E-4</v>
      </c>
      <c r="V14" t="str">
        <f>IF(Table1[[#This Row],[Percent Leave]]&gt;Table1[[#This Row],[Percent Remain]],"Leave", "Remain")</f>
        <v>Leave</v>
      </c>
      <c r="W14">
        <v>53.584491999999997</v>
      </c>
      <c r="X14">
        <v>-2.4795200999999998</v>
      </c>
      <c r="Y14" s="1">
        <f>_xlfn.XLOOKUP(Table1[[#This Row],[Area]],Table2[Area],Table2[All Residents])</f>
        <v>276786</v>
      </c>
    </row>
    <row r="15" spans="1:25" hidden="1" x14ac:dyDescent="0.45">
      <c r="A15">
        <v>14</v>
      </c>
      <c r="B15" t="s">
        <v>47</v>
      </c>
      <c r="C15" t="s">
        <v>48</v>
      </c>
      <c r="D15" t="s">
        <v>51</v>
      </c>
      <c r="E15" t="s">
        <v>52</v>
      </c>
      <c r="F15" s="1">
        <v>141600</v>
      </c>
      <c r="G15" s="1">
        <v>101153</v>
      </c>
      <c r="H15" s="1">
        <v>101144</v>
      </c>
      <c r="I15" s="5">
        <f>Table1[[#This Row],[ Verified Ballot Papers ]]/Table1[[#This Row],[ Electorate ]]</f>
        <v>0.71429378531073451</v>
      </c>
      <c r="J15" s="1">
        <v>101144</v>
      </c>
      <c r="K15" s="1">
        <v>101028</v>
      </c>
      <c r="L15" s="1">
        <v>46354</v>
      </c>
      <c r="M15" s="1">
        <v>54674</v>
      </c>
      <c r="N15">
        <v>116</v>
      </c>
      <c r="O15">
        <v>0</v>
      </c>
      <c r="P15">
        <v>34</v>
      </c>
      <c r="Q15">
        <v>10</v>
      </c>
      <c r="R15">
        <v>72</v>
      </c>
      <c r="S15" s="5">
        <f>Table1[[#This Row],[ Remain ]]/Table1[[#This Row],[ Valid Votes ]]</f>
        <v>0.4588232965118581</v>
      </c>
      <c r="T15" s="5">
        <f>Table1[[#This Row],[ Leave ]]/Table1[[#This Row],[ Valid Votes ]]</f>
        <v>0.54117670348814195</v>
      </c>
      <c r="U15" s="5">
        <f>Table1[[#This Row],[ Rejected Ballots ]]/Table1[[#This Row],[ Votes Cast ]]</f>
        <v>1.1468796962746184E-3</v>
      </c>
      <c r="V15" t="str">
        <f>IF(Table1[[#This Row],[Percent Leave]]&gt;Table1[[#This Row],[Percent Remain]],"Leave", "Remain")</f>
        <v>Leave</v>
      </c>
      <c r="W15">
        <v>53.593102000000002</v>
      </c>
      <c r="X15">
        <v>-2.3088000000000002</v>
      </c>
      <c r="Y15" s="1">
        <f>_xlfn.XLOOKUP(Table1[[#This Row],[Area]],Table2[Area],Table2[All Residents])</f>
        <v>185060</v>
      </c>
    </row>
    <row r="16" spans="1:25" hidden="1" x14ac:dyDescent="0.45">
      <c r="A16">
        <v>15</v>
      </c>
      <c r="B16" t="s">
        <v>47</v>
      </c>
      <c r="C16" t="s">
        <v>48</v>
      </c>
      <c r="D16" t="s">
        <v>53</v>
      </c>
      <c r="E16" t="s">
        <v>54</v>
      </c>
      <c r="F16" s="1">
        <v>338064</v>
      </c>
      <c r="G16" s="1">
        <v>202073</v>
      </c>
      <c r="H16" s="1">
        <v>202067</v>
      </c>
      <c r="I16" s="5">
        <f>Table1[[#This Row],[ Verified Ballot Papers ]]/Table1[[#This Row],[ Electorate ]]</f>
        <v>0.59771818353921147</v>
      </c>
      <c r="J16" s="1">
        <v>202067</v>
      </c>
      <c r="K16" s="1">
        <v>201814</v>
      </c>
      <c r="L16" s="1">
        <v>121823</v>
      </c>
      <c r="M16" s="1">
        <v>79991</v>
      </c>
      <c r="N16">
        <v>253</v>
      </c>
      <c r="O16">
        <v>0</v>
      </c>
      <c r="P16">
        <v>78</v>
      </c>
      <c r="Q16">
        <v>0</v>
      </c>
      <c r="R16">
        <v>175</v>
      </c>
      <c r="S16" s="5">
        <f>Table1[[#This Row],[ Remain ]]/Table1[[#This Row],[ Valid Votes ]]</f>
        <v>0.60363998533302943</v>
      </c>
      <c r="T16" s="5">
        <f>Table1[[#This Row],[ Leave ]]/Table1[[#This Row],[ Valid Votes ]]</f>
        <v>0.39636001466697057</v>
      </c>
      <c r="U16" s="5">
        <f>Table1[[#This Row],[ Rejected Ballots ]]/Table1[[#This Row],[ Votes Cast ]]</f>
        <v>1.2520599603101942E-3</v>
      </c>
      <c r="V16" t="str">
        <f>IF(Table1[[#This Row],[Percent Leave]]&gt;Table1[[#This Row],[Percent Remain]],"Leave", "Remain")</f>
        <v>Remain</v>
      </c>
      <c r="W16">
        <v>53.470089000000002</v>
      </c>
      <c r="X16">
        <v>-2.2335899000000001</v>
      </c>
      <c r="Y16" s="1">
        <f>_xlfn.XLOOKUP(Table1[[#This Row],[Area]],Table2[Area],Table2[All Residents])</f>
        <v>503127</v>
      </c>
    </row>
    <row r="17" spans="1:25" hidden="1" x14ac:dyDescent="0.45">
      <c r="A17">
        <v>16</v>
      </c>
      <c r="B17" t="s">
        <v>47</v>
      </c>
      <c r="C17" t="s">
        <v>48</v>
      </c>
      <c r="D17" t="s">
        <v>55</v>
      </c>
      <c r="E17" t="s">
        <v>56</v>
      </c>
      <c r="F17" s="1">
        <v>158084</v>
      </c>
      <c r="G17" s="1">
        <v>107493</v>
      </c>
      <c r="H17" s="1">
        <v>107493</v>
      </c>
      <c r="I17" s="5">
        <f>Table1[[#This Row],[ Verified Ballot Papers ]]/Table1[[#This Row],[ Electorate ]]</f>
        <v>0.67997393790642946</v>
      </c>
      <c r="J17" s="1">
        <v>107493</v>
      </c>
      <c r="K17" s="1">
        <v>107403</v>
      </c>
      <c r="L17" s="1">
        <v>42034</v>
      </c>
      <c r="M17" s="1">
        <v>65369</v>
      </c>
      <c r="N17">
        <v>90</v>
      </c>
      <c r="O17">
        <v>0</v>
      </c>
      <c r="P17">
        <v>24</v>
      </c>
      <c r="Q17">
        <v>2</v>
      </c>
      <c r="R17">
        <v>64</v>
      </c>
      <c r="S17" s="5">
        <f>Table1[[#This Row],[ Remain ]]/Table1[[#This Row],[ Valid Votes ]]</f>
        <v>0.39136709402903086</v>
      </c>
      <c r="T17" s="5">
        <f>Table1[[#This Row],[ Leave ]]/Table1[[#This Row],[ Valid Votes ]]</f>
        <v>0.6086329059709692</v>
      </c>
      <c r="U17" s="5">
        <f>Table1[[#This Row],[ Rejected Ballots ]]/Table1[[#This Row],[ Votes Cast ]]</f>
        <v>8.3726382183025867E-4</v>
      </c>
      <c r="V17" t="str">
        <f>IF(Table1[[#This Row],[Percent Leave]]&gt;Table1[[#This Row],[Percent Remain]],"Leave", "Remain")</f>
        <v>Leave</v>
      </c>
      <c r="W17">
        <v>53.557678000000003</v>
      </c>
      <c r="X17">
        <v>-2.0527400999999998</v>
      </c>
      <c r="Y17" s="1">
        <f>_xlfn.XLOOKUP(Table1[[#This Row],[Area]],Table2[Area],Table2[All Residents])</f>
        <v>224897</v>
      </c>
    </row>
    <row r="18" spans="1:25" hidden="1" x14ac:dyDescent="0.45">
      <c r="A18">
        <v>17</v>
      </c>
      <c r="B18" t="s">
        <v>47</v>
      </c>
      <c r="C18" t="s">
        <v>48</v>
      </c>
      <c r="D18" t="s">
        <v>57</v>
      </c>
      <c r="E18" t="s">
        <v>58</v>
      </c>
      <c r="F18" s="1">
        <v>156621</v>
      </c>
      <c r="G18" s="1">
        <v>103319</v>
      </c>
      <c r="H18" s="1">
        <v>103319</v>
      </c>
      <c r="I18" s="5">
        <f>Table1[[#This Row],[ Verified Ballot Papers ]]/Table1[[#This Row],[ Electorate ]]</f>
        <v>0.65967526704592616</v>
      </c>
      <c r="J18" s="1">
        <v>103319</v>
      </c>
      <c r="K18" s="1">
        <v>103231</v>
      </c>
      <c r="L18" s="1">
        <v>41217</v>
      </c>
      <c r="M18" s="1">
        <v>62014</v>
      </c>
      <c r="N18">
        <v>88</v>
      </c>
      <c r="O18">
        <v>0</v>
      </c>
      <c r="P18">
        <v>48</v>
      </c>
      <c r="Q18">
        <v>2</v>
      </c>
      <c r="R18">
        <v>38</v>
      </c>
      <c r="S18" s="5">
        <f>Table1[[#This Row],[ Remain ]]/Table1[[#This Row],[ Valid Votes ]]</f>
        <v>0.39926959924828781</v>
      </c>
      <c r="T18" s="5">
        <f>Table1[[#This Row],[ Leave ]]/Table1[[#This Row],[ Valid Votes ]]</f>
        <v>0.60073040075171213</v>
      </c>
      <c r="U18" s="5">
        <f>Table1[[#This Row],[ Rejected Ballots ]]/Table1[[#This Row],[ Votes Cast ]]</f>
        <v>8.517310465645235E-4</v>
      </c>
      <c r="V18" t="str">
        <f>IF(Table1[[#This Row],[Percent Leave]]&gt;Table1[[#This Row],[Percent Remain]],"Leave", "Remain")</f>
        <v>Leave</v>
      </c>
      <c r="W18">
        <v>53.607410000000002</v>
      </c>
      <c r="X18">
        <v>-2.14784</v>
      </c>
      <c r="Y18" s="1">
        <f>_xlfn.XLOOKUP(Table1[[#This Row],[Area]],Table2[Area],Table2[All Residents])</f>
        <v>211699</v>
      </c>
    </row>
    <row r="19" spans="1:25" hidden="1" x14ac:dyDescent="0.45">
      <c r="A19">
        <v>18</v>
      </c>
      <c r="B19" t="s">
        <v>47</v>
      </c>
      <c r="C19" t="s">
        <v>48</v>
      </c>
      <c r="D19" t="s">
        <v>59</v>
      </c>
      <c r="E19" t="s">
        <v>60</v>
      </c>
      <c r="F19" s="1">
        <v>173668</v>
      </c>
      <c r="G19" s="1">
        <v>109926</v>
      </c>
      <c r="H19" s="1">
        <v>109926</v>
      </c>
      <c r="I19" s="5">
        <f>Table1[[#This Row],[ Verified Ballot Papers ]]/Table1[[#This Row],[ Electorate ]]</f>
        <v>0.6329663495865675</v>
      </c>
      <c r="J19" s="1">
        <v>109926</v>
      </c>
      <c r="K19" s="1">
        <v>109815</v>
      </c>
      <c r="L19" s="1">
        <v>47430</v>
      </c>
      <c r="M19" s="1">
        <v>62385</v>
      </c>
      <c r="N19">
        <v>111</v>
      </c>
      <c r="O19">
        <v>0</v>
      </c>
      <c r="P19">
        <v>34</v>
      </c>
      <c r="Q19">
        <v>4</v>
      </c>
      <c r="R19">
        <v>73</v>
      </c>
      <c r="S19" s="5">
        <f>Table1[[#This Row],[ Remain ]]/Table1[[#This Row],[ Valid Votes ]]</f>
        <v>0.43190820926102991</v>
      </c>
      <c r="T19" s="5">
        <f>Table1[[#This Row],[ Leave ]]/Table1[[#This Row],[ Valid Votes ]]</f>
        <v>0.56809179073897009</v>
      </c>
      <c r="U19" s="5">
        <f>Table1[[#This Row],[ Rejected Ballots ]]/Table1[[#This Row],[ Votes Cast ]]</f>
        <v>1.0097702090497243E-3</v>
      </c>
      <c r="V19" t="str">
        <f>IF(Table1[[#This Row],[Percent Leave]]&gt;Table1[[#This Row],[Percent Remain]],"Leave", "Remain")</f>
        <v>Leave</v>
      </c>
      <c r="W19">
        <v>53.479270999999997</v>
      </c>
      <c r="X19">
        <v>-2.3848500000000001</v>
      </c>
      <c r="Y19" s="1">
        <f>_xlfn.XLOOKUP(Table1[[#This Row],[Area]],Table2[Area],Table2[All Residents])</f>
        <v>233933</v>
      </c>
    </row>
    <row r="20" spans="1:25" hidden="1" x14ac:dyDescent="0.45">
      <c r="A20">
        <v>19</v>
      </c>
      <c r="B20" t="s">
        <v>47</v>
      </c>
      <c r="C20" t="s">
        <v>48</v>
      </c>
      <c r="D20" t="s">
        <v>61</v>
      </c>
      <c r="E20" t="s">
        <v>62</v>
      </c>
      <c r="F20" s="1">
        <v>221162</v>
      </c>
      <c r="G20" s="1">
        <v>163586</v>
      </c>
      <c r="H20" s="1">
        <v>163584</v>
      </c>
      <c r="I20" s="5">
        <f>Table1[[#This Row],[ Verified Ballot Papers ]]/Table1[[#This Row],[ Electorate ]]</f>
        <v>0.73965690308461673</v>
      </c>
      <c r="J20" s="1">
        <v>163584</v>
      </c>
      <c r="K20" s="1">
        <v>163489</v>
      </c>
      <c r="L20" s="1">
        <v>85559</v>
      </c>
      <c r="M20" s="1">
        <v>77930</v>
      </c>
      <c r="N20">
        <v>95</v>
      </c>
      <c r="O20">
        <v>0</v>
      </c>
      <c r="P20">
        <v>27</v>
      </c>
      <c r="Q20">
        <v>4</v>
      </c>
      <c r="R20">
        <v>64</v>
      </c>
      <c r="S20" s="5">
        <f>Table1[[#This Row],[ Remain ]]/Table1[[#This Row],[ Valid Votes ]]</f>
        <v>0.52333184495592977</v>
      </c>
      <c r="T20" s="5">
        <f>Table1[[#This Row],[ Leave ]]/Table1[[#This Row],[ Valid Votes ]]</f>
        <v>0.47666815504407023</v>
      </c>
      <c r="U20" s="5">
        <f>Table1[[#This Row],[ Rejected Ballots ]]/Table1[[#This Row],[ Votes Cast ]]</f>
        <v>5.8074139280125199E-4</v>
      </c>
      <c r="V20" t="str">
        <f>IF(Table1[[#This Row],[Percent Leave]]&gt;Table1[[#This Row],[Percent Remain]],"Leave", "Remain")</f>
        <v>Remain</v>
      </c>
      <c r="W20">
        <v>53.391159000000002</v>
      </c>
      <c r="X20">
        <v>-2.1246700000000001</v>
      </c>
      <c r="Y20" s="1">
        <f>_xlfn.XLOOKUP(Table1[[#This Row],[Area]],Table2[Area],Table2[All Residents])</f>
        <v>283275</v>
      </c>
    </row>
    <row r="21" spans="1:25" hidden="1" x14ac:dyDescent="0.45">
      <c r="A21">
        <v>20</v>
      </c>
      <c r="B21" t="s">
        <v>47</v>
      </c>
      <c r="C21" t="s">
        <v>48</v>
      </c>
      <c r="D21" t="s">
        <v>63</v>
      </c>
      <c r="E21" t="s">
        <v>64</v>
      </c>
      <c r="F21" s="1">
        <v>168047</v>
      </c>
      <c r="G21" s="1">
        <v>111018</v>
      </c>
      <c r="H21" s="1">
        <v>111016</v>
      </c>
      <c r="I21" s="5">
        <f>Table1[[#This Row],[ Verified Ballot Papers ]]/Table1[[#This Row],[ Electorate ]]</f>
        <v>0.6606247061833892</v>
      </c>
      <c r="J21" s="1">
        <v>111016</v>
      </c>
      <c r="K21" s="1">
        <v>110947</v>
      </c>
      <c r="L21" s="1">
        <v>43118</v>
      </c>
      <c r="M21" s="1">
        <v>67829</v>
      </c>
      <c r="N21">
        <v>69</v>
      </c>
      <c r="O21">
        <v>0</v>
      </c>
      <c r="P21">
        <v>14</v>
      </c>
      <c r="Q21">
        <v>5</v>
      </c>
      <c r="R21">
        <v>50</v>
      </c>
      <c r="S21" s="5">
        <f>Table1[[#This Row],[ Remain ]]/Table1[[#This Row],[ Valid Votes ]]</f>
        <v>0.38863601539473802</v>
      </c>
      <c r="T21" s="5">
        <f>Table1[[#This Row],[ Leave ]]/Table1[[#This Row],[ Valid Votes ]]</f>
        <v>0.61136398460526198</v>
      </c>
      <c r="U21" s="5">
        <f>Table1[[#This Row],[ Rejected Ballots ]]/Table1[[#This Row],[ Votes Cast ]]</f>
        <v>6.2153203141889456E-4</v>
      </c>
      <c r="V21" t="str">
        <f>IF(Table1[[#This Row],[Percent Leave]]&gt;Table1[[#This Row],[Percent Remain]],"Leave", "Remain")</f>
        <v>Leave</v>
      </c>
      <c r="W21">
        <v>53.478667999999999</v>
      </c>
      <c r="X21">
        <v>-2.0769999000000001</v>
      </c>
      <c r="Y21" s="1">
        <f>_xlfn.XLOOKUP(Table1[[#This Row],[Area]],Table2[Area],Table2[All Residents])</f>
        <v>219324</v>
      </c>
    </row>
    <row r="22" spans="1:25" hidden="1" x14ac:dyDescent="0.45">
      <c r="A22">
        <v>21</v>
      </c>
      <c r="B22" t="s">
        <v>47</v>
      </c>
      <c r="C22" t="s">
        <v>48</v>
      </c>
      <c r="D22" t="s">
        <v>65</v>
      </c>
      <c r="E22" t="s">
        <v>66</v>
      </c>
      <c r="F22" s="1">
        <v>165294</v>
      </c>
      <c r="G22" s="1">
        <v>125400</v>
      </c>
      <c r="H22" s="1">
        <v>125400</v>
      </c>
      <c r="I22" s="5">
        <f>Table1[[#This Row],[ Verified Ballot Papers ]]/Table1[[#This Row],[ Electorate ]]</f>
        <v>0.75864822679589095</v>
      </c>
      <c r="J22" s="1">
        <v>125400</v>
      </c>
      <c r="K22" s="1">
        <v>125311</v>
      </c>
      <c r="L22" s="1">
        <v>72293</v>
      </c>
      <c r="M22" s="1">
        <v>53018</v>
      </c>
      <c r="N22">
        <v>89</v>
      </c>
      <c r="O22">
        <v>0</v>
      </c>
      <c r="P22">
        <v>23</v>
      </c>
      <c r="Q22">
        <v>5</v>
      </c>
      <c r="R22">
        <v>61</v>
      </c>
      <c r="S22" s="5">
        <f>Table1[[#This Row],[ Remain ]]/Table1[[#This Row],[ Valid Votes ]]</f>
        <v>0.57690865127562629</v>
      </c>
      <c r="T22" s="5">
        <f>Table1[[#This Row],[ Leave ]]/Table1[[#This Row],[ Valid Votes ]]</f>
        <v>0.42309134872437376</v>
      </c>
      <c r="U22" s="5">
        <f>Table1[[#This Row],[ Rejected Ballots ]]/Table1[[#This Row],[ Votes Cast ]]</f>
        <v>7.0972886762360444E-4</v>
      </c>
      <c r="V22" t="str">
        <f>IF(Table1[[#This Row],[Percent Leave]]&gt;Table1[[#This Row],[Percent Remain]],"Leave", "Remain")</f>
        <v>Remain</v>
      </c>
      <c r="W22">
        <v>53.416710000000002</v>
      </c>
      <c r="X22">
        <v>-2.36572</v>
      </c>
      <c r="Y22" s="1">
        <f>_xlfn.XLOOKUP(Table1[[#This Row],[Area]],Table2[Area],Table2[All Residents])</f>
        <v>226578</v>
      </c>
    </row>
    <row r="23" spans="1:25" hidden="1" x14ac:dyDescent="0.45">
      <c r="A23">
        <v>22</v>
      </c>
      <c r="B23" t="s">
        <v>47</v>
      </c>
      <c r="C23" t="s">
        <v>48</v>
      </c>
      <c r="D23" t="s">
        <v>67</v>
      </c>
      <c r="E23" t="s">
        <v>68</v>
      </c>
      <c r="F23" s="1">
        <v>235982</v>
      </c>
      <c r="G23" s="1">
        <v>163381</v>
      </c>
      <c r="H23" s="1">
        <v>163381</v>
      </c>
      <c r="I23" s="5">
        <f>Table1[[#This Row],[ Verified Ballot Papers ]]/Table1[[#This Row],[ Electorate ]]</f>
        <v>0.69234517886957481</v>
      </c>
      <c r="J23" s="1">
        <v>163381</v>
      </c>
      <c r="K23" s="1">
        <v>163273</v>
      </c>
      <c r="L23" s="1">
        <v>58942</v>
      </c>
      <c r="M23" s="1">
        <v>104331</v>
      </c>
      <c r="N23">
        <v>108</v>
      </c>
      <c r="O23">
        <v>7</v>
      </c>
      <c r="P23">
        <v>32</v>
      </c>
      <c r="Q23">
        <v>2</v>
      </c>
      <c r="R23">
        <v>67</v>
      </c>
      <c r="S23" s="5">
        <f>Table1[[#This Row],[ Remain ]]/Table1[[#This Row],[ Valid Votes ]]</f>
        <v>0.36100273774598374</v>
      </c>
      <c r="T23" s="5">
        <f>Table1[[#This Row],[ Leave ]]/Table1[[#This Row],[ Valid Votes ]]</f>
        <v>0.63899726225401632</v>
      </c>
      <c r="U23" s="5">
        <f>Table1[[#This Row],[ Rejected Ballots ]]/Table1[[#This Row],[ Votes Cast ]]</f>
        <v>6.610315764991033E-4</v>
      </c>
      <c r="V23" t="str">
        <f>IF(Table1[[#This Row],[Percent Leave]]&gt;Table1[[#This Row],[Percent Remain]],"Leave", "Remain")</f>
        <v>Leave</v>
      </c>
      <c r="W23">
        <v>53.514449999999997</v>
      </c>
      <c r="X23">
        <v>-2.5724699000000002</v>
      </c>
      <c r="Y23" s="1">
        <f>_xlfn.XLOOKUP(Table1[[#This Row],[Area]],Table2[Area],Table2[All Residents])</f>
        <v>317849</v>
      </c>
    </row>
    <row r="24" spans="1:25" hidden="1" x14ac:dyDescent="0.45">
      <c r="A24">
        <v>23</v>
      </c>
      <c r="B24" t="s">
        <v>47</v>
      </c>
      <c r="C24" t="s">
        <v>48</v>
      </c>
      <c r="D24" t="s">
        <v>69</v>
      </c>
      <c r="E24" t="s">
        <v>70</v>
      </c>
      <c r="F24" s="1">
        <v>111647</v>
      </c>
      <c r="G24" s="1">
        <v>70939</v>
      </c>
      <c r="H24" s="1">
        <v>70937</v>
      </c>
      <c r="I24" s="5">
        <f>Table1[[#This Row],[ Verified Ballot Papers ]]/Table1[[#This Row],[ Electorate ]]</f>
        <v>0.63536861715944004</v>
      </c>
      <c r="J24" s="1">
        <v>70937</v>
      </c>
      <c r="K24" s="1">
        <v>70903</v>
      </c>
      <c r="L24" s="1">
        <v>34345</v>
      </c>
      <c r="M24" s="1">
        <v>36558</v>
      </c>
      <c r="N24">
        <v>34</v>
      </c>
      <c r="O24">
        <v>4</v>
      </c>
      <c r="P24">
        <v>14</v>
      </c>
      <c r="Q24">
        <v>1</v>
      </c>
      <c r="R24">
        <v>15</v>
      </c>
      <c r="S24" s="5">
        <f>Table1[[#This Row],[ Remain ]]/Table1[[#This Row],[ Valid Votes ]]</f>
        <v>0.48439417231993004</v>
      </c>
      <c r="T24" s="5">
        <f>Table1[[#This Row],[ Leave ]]/Table1[[#This Row],[ Valid Votes ]]</f>
        <v>0.51560582768006991</v>
      </c>
      <c r="U24" s="5">
        <f>Table1[[#This Row],[ Rejected Ballots ]]/Table1[[#This Row],[ Votes Cast ]]</f>
        <v>4.7929853250066961E-4</v>
      </c>
      <c r="V24" t="str">
        <f>IF(Table1[[#This Row],[Percent Leave]]&gt;Table1[[#This Row],[Percent Remain]],"Leave", "Remain")</f>
        <v>Leave</v>
      </c>
      <c r="W24">
        <v>53.437880999999997</v>
      </c>
      <c r="X24">
        <v>-2.8329699000000002</v>
      </c>
      <c r="Y24" s="1">
        <f>_xlfn.XLOOKUP(Table1[[#This Row],[Area]],Table2[Area],Table2[All Residents])</f>
        <v>145893</v>
      </c>
    </row>
    <row r="25" spans="1:25" hidden="1" x14ac:dyDescent="0.45">
      <c r="A25">
        <v>24</v>
      </c>
      <c r="B25" t="s">
        <v>47</v>
      </c>
      <c r="C25" t="s">
        <v>48</v>
      </c>
      <c r="D25" t="s">
        <v>71</v>
      </c>
      <c r="E25" t="s">
        <v>72</v>
      </c>
      <c r="F25" s="1">
        <v>317924</v>
      </c>
      <c r="G25" s="1">
        <v>203733</v>
      </c>
      <c r="H25" s="1">
        <v>203728</v>
      </c>
      <c r="I25" s="5">
        <f>Table1[[#This Row],[ Verified Ballot Papers ]]/Table1[[#This Row],[ Electorate ]]</f>
        <v>0.6408072369497112</v>
      </c>
      <c r="J25" s="1">
        <v>203728</v>
      </c>
      <c r="K25" s="1">
        <v>203554</v>
      </c>
      <c r="L25" s="1">
        <v>118453</v>
      </c>
      <c r="M25" s="1">
        <v>85101</v>
      </c>
      <c r="N25">
        <v>174</v>
      </c>
      <c r="O25">
        <v>0</v>
      </c>
      <c r="P25">
        <v>60</v>
      </c>
      <c r="Q25">
        <v>4</v>
      </c>
      <c r="R25">
        <v>110</v>
      </c>
      <c r="S25" s="5">
        <f>Table1[[#This Row],[ Remain ]]/Table1[[#This Row],[ Valid Votes ]]</f>
        <v>0.5819242068443754</v>
      </c>
      <c r="T25" s="5">
        <f>Table1[[#This Row],[ Leave ]]/Table1[[#This Row],[ Valid Votes ]]</f>
        <v>0.41807579315562454</v>
      </c>
      <c r="U25" s="5">
        <f>Table1[[#This Row],[ Rejected Ballots ]]/Table1[[#This Row],[ Votes Cast ]]</f>
        <v>8.5407994973690413E-4</v>
      </c>
      <c r="V25" t="str">
        <f>IF(Table1[[#This Row],[Percent Leave]]&gt;Table1[[#This Row],[Percent Remain]],"Leave", "Remain")</f>
        <v>Remain</v>
      </c>
      <c r="W25">
        <v>53.408298000000002</v>
      </c>
      <c r="X25">
        <v>-2.91364</v>
      </c>
      <c r="Y25" s="1">
        <f>_xlfn.XLOOKUP(Table1[[#This Row],[Area]],Table2[Area],Table2[All Residents])</f>
        <v>466415</v>
      </c>
    </row>
    <row r="26" spans="1:25" hidden="1" x14ac:dyDescent="0.45">
      <c r="A26">
        <v>25</v>
      </c>
      <c r="B26" t="s">
        <v>47</v>
      </c>
      <c r="C26" t="s">
        <v>48</v>
      </c>
      <c r="D26" t="s">
        <v>73</v>
      </c>
      <c r="E26" t="s">
        <v>74</v>
      </c>
      <c r="F26" s="1">
        <v>136096</v>
      </c>
      <c r="G26" s="1">
        <v>93730</v>
      </c>
      <c r="H26" s="1">
        <v>93721</v>
      </c>
      <c r="I26" s="5">
        <f>Table1[[#This Row],[ Verified Ballot Papers ]]/Table1[[#This Row],[ Electorate ]]</f>
        <v>0.68863890195156363</v>
      </c>
      <c r="J26" s="1">
        <v>93721</v>
      </c>
      <c r="K26" s="1">
        <v>93679</v>
      </c>
      <c r="L26" s="1">
        <v>39322</v>
      </c>
      <c r="M26" s="1">
        <v>54357</v>
      </c>
      <c r="N26">
        <v>42</v>
      </c>
      <c r="O26">
        <v>0</v>
      </c>
      <c r="P26">
        <v>13</v>
      </c>
      <c r="Q26">
        <v>3</v>
      </c>
      <c r="R26">
        <v>26</v>
      </c>
      <c r="S26" s="5">
        <f>Table1[[#This Row],[ Remain ]]/Table1[[#This Row],[ Valid Votes ]]</f>
        <v>0.41975255927155497</v>
      </c>
      <c r="T26" s="5">
        <f>Table1[[#This Row],[ Leave ]]/Table1[[#This Row],[ Valid Votes ]]</f>
        <v>0.58024744072844503</v>
      </c>
      <c r="U26" s="5">
        <f>Table1[[#This Row],[ Rejected Ballots ]]/Table1[[#This Row],[ Votes Cast ]]</f>
        <v>4.4813862421442364E-4</v>
      </c>
      <c r="V26" t="str">
        <f>IF(Table1[[#This Row],[Percent Leave]]&gt;Table1[[#This Row],[Percent Remain]],"Leave", "Remain")</f>
        <v>Leave</v>
      </c>
      <c r="W26">
        <v>53.458618000000001</v>
      </c>
      <c r="X26">
        <v>-2.7031000000000001</v>
      </c>
      <c r="Y26" s="1">
        <f>_xlfn.XLOOKUP(Table1[[#This Row],[Area]],Table2[Area],Table2[All Residents])</f>
        <v>175308</v>
      </c>
    </row>
    <row r="27" spans="1:25" hidden="1" x14ac:dyDescent="0.45">
      <c r="A27">
        <v>26</v>
      </c>
      <c r="B27" t="s">
        <v>47</v>
      </c>
      <c r="C27" t="s">
        <v>48</v>
      </c>
      <c r="D27" t="s">
        <v>75</v>
      </c>
      <c r="E27" t="s">
        <v>76</v>
      </c>
      <c r="F27" s="1">
        <v>206298</v>
      </c>
      <c r="G27" s="1">
        <v>147970</v>
      </c>
      <c r="H27" s="1">
        <v>147970</v>
      </c>
      <c r="I27" s="5">
        <f>Table1[[#This Row],[ Verified Ballot Papers ]]/Table1[[#This Row],[ Electorate ]]</f>
        <v>0.71726337628091397</v>
      </c>
      <c r="J27" s="1">
        <v>147970</v>
      </c>
      <c r="K27" s="1">
        <v>147878</v>
      </c>
      <c r="L27" s="1">
        <v>76702</v>
      </c>
      <c r="M27" s="1">
        <v>71176</v>
      </c>
      <c r="N27">
        <v>92</v>
      </c>
      <c r="O27">
        <v>0</v>
      </c>
      <c r="P27">
        <v>26</v>
      </c>
      <c r="Q27">
        <v>0</v>
      </c>
      <c r="R27">
        <v>66</v>
      </c>
      <c r="S27" s="5">
        <f>Table1[[#This Row],[ Remain ]]/Table1[[#This Row],[ Valid Votes ]]</f>
        <v>0.51868432085908656</v>
      </c>
      <c r="T27" s="5">
        <f>Table1[[#This Row],[ Leave ]]/Table1[[#This Row],[ Valid Votes ]]</f>
        <v>0.48131567914091344</v>
      </c>
      <c r="U27" s="5">
        <f>Table1[[#This Row],[ Rejected Ballots ]]/Table1[[#This Row],[ Votes Cast ]]</f>
        <v>6.217476515509901E-4</v>
      </c>
      <c r="V27" t="str">
        <f>IF(Table1[[#This Row],[Percent Leave]]&gt;Table1[[#This Row],[Percent Remain]],"Leave", "Remain")</f>
        <v>Remain</v>
      </c>
      <c r="W27">
        <v>53.482101</v>
      </c>
      <c r="X27">
        <v>-2.9917699999999998</v>
      </c>
      <c r="Y27" s="1">
        <f>_xlfn.XLOOKUP(Table1[[#This Row],[Area]],Table2[Area],Table2[All Residents])</f>
        <v>273790</v>
      </c>
    </row>
    <row r="28" spans="1:25" hidden="1" x14ac:dyDescent="0.45">
      <c r="A28">
        <v>27</v>
      </c>
      <c r="B28" t="s">
        <v>47</v>
      </c>
      <c r="C28" t="s">
        <v>48</v>
      </c>
      <c r="D28" t="s">
        <v>77</v>
      </c>
      <c r="E28" t="s">
        <v>78</v>
      </c>
      <c r="F28" s="1">
        <v>242568</v>
      </c>
      <c r="G28" s="1">
        <v>172137</v>
      </c>
      <c r="H28" s="1">
        <v>172137</v>
      </c>
      <c r="I28" s="5">
        <f>Table1[[#This Row],[ Verified Ballot Papers ]]/Table1[[#This Row],[ Electorate ]]</f>
        <v>0.70964430592658556</v>
      </c>
      <c r="J28" s="1">
        <v>172137</v>
      </c>
      <c r="K28" s="1">
        <v>172000</v>
      </c>
      <c r="L28" s="1">
        <v>88931</v>
      </c>
      <c r="M28" s="1">
        <v>83069</v>
      </c>
      <c r="N28">
        <v>137</v>
      </c>
      <c r="O28">
        <v>0</v>
      </c>
      <c r="P28">
        <v>31</v>
      </c>
      <c r="Q28">
        <v>4</v>
      </c>
      <c r="R28">
        <v>102</v>
      </c>
      <c r="S28" s="5">
        <f>Table1[[#This Row],[ Remain ]]/Table1[[#This Row],[ Valid Votes ]]</f>
        <v>0.51704069767441863</v>
      </c>
      <c r="T28" s="5">
        <f>Table1[[#This Row],[ Leave ]]/Table1[[#This Row],[ Valid Votes ]]</f>
        <v>0.48295930232558137</v>
      </c>
      <c r="U28" s="5">
        <f>Table1[[#This Row],[ Rejected Ballots ]]/Table1[[#This Row],[ Votes Cast ]]</f>
        <v>7.9587770206289172E-4</v>
      </c>
      <c r="V28" t="str">
        <f>IF(Table1[[#This Row],[Percent Leave]]&gt;Table1[[#This Row],[Percent Remain]],"Leave", "Remain")</f>
        <v>Remain</v>
      </c>
      <c r="W28">
        <v>53.374778999999997</v>
      </c>
      <c r="X28">
        <v>-3.0670099</v>
      </c>
      <c r="Y28" s="1">
        <f>_xlfn.XLOOKUP(Table1[[#This Row],[Area]],Table2[Area],Table2[All Residents])</f>
        <v>319783</v>
      </c>
    </row>
    <row r="29" spans="1:25" hidden="1" x14ac:dyDescent="0.45">
      <c r="A29">
        <v>28</v>
      </c>
      <c r="B29" t="s">
        <v>47</v>
      </c>
      <c r="C29" t="s">
        <v>48</v>
      </c>
      <c r="D29" t="s">
        <v>79</v>
      </c>
      <c r="E29" t="s">
        <v>80</v>
      </c>
      <c r="F29" s="1">
        <v>285957</v>
      </c>
      <c r="G29" s="1">
        <v>221229</v>
      </c>
      <c r="H29" s="1">
        <v>221229</v>
      </c>
      <c r="I29" s="5">
        <f>Table1[[#This Row],[ Verified Ballot Papers ]]/Table1[[#This Row],[ Electorate ]]</f>
        <v>0.77364428917634465</v>
      </c>
      <c r="J29" s="1">
        <v>221229</v>
      </c>
      <c r="K29" s="1">
        <v>221125</v>
      </c>
      <c r="L29" s="1">
        <v>107962</v>
      </c>
      <c r="M29" s="1">
        <v>113163</v>
      </c>
      <c r="N29">
        <v>104</v>
      </c>
      <c r="O29">
        <v>19</v>
      </c>
      <c r="P29">
        <v>40</v>
      </c>
      <c r="Q29">
        <v>3</v>
      </c>
      <c r="R29">
        <v>42</v>
      </c>
      <c r="S29" s="5">
        <f>Table1[[#This Row],[ Remain ]]/Table1[[#This Row],[ Valid Votes ]]</f>
        <v>0.48823968343697005</v>
      </c>
      <c r="T29" s="5">
        <f>Table1[[#This Row],[ Leave ]]/Table1[[#This Row],[ Valid Votes ]]</f>
        <v>0.51176031656303</v>
      </c>
      <c r="U29" s="5">
        <f>Table1[[#This Row],[ Rejected Ballots ]]/Table1[[#This Row],[ Votes Cast ]]</f>
        <v>4.7010111694217302E-4</v>
      </c>
      <c r="V29" t="str">
        <f>IF(Table1[[#This Row],[Percent Leave]]&gt;Table1[[#This Row],[Percent Remain]],"Leave", "Remain")</f>
        <v>Leave</v>
      </c>
      <c r="W29">
        <v>53.167931000000003</v>
      </c>
      <c r="X29">
        <v>-2.2929900000000001</v>
      </c>
      <c r="Y29" s="1">
        <f>_xlfn.XLOOKUP(Table1[[#This Row],[Area]],Table2[Area],Table2[All Residents])</f>
        <v>370127</v>
      </c>
    </row>
    <row r="30" spans="1:25" hidden="1" x14ac:dyDescent="0.45">
      <c r="A30">
        <v>29</v>
      </c>
      <c r="B30" t="s">
        <v>47</v>
      </c>
      <c r="C30" t="s">
        <v>48</v>
      </c>
      <c r="D30" t="s">
        <v>81</v>
      </c>
      <c r="E30" t="s">
        <v>82</v>
      </c>
      <c r="F30" s="1">
        <v>95289</v>
      </c>
      <c r="G30" s="1">
        <v>65047</v>
      </c>
      <c r="H30" s="1">
        <v>65047</v>
      </c>
      <c r="I30" s="5">
        <f>Table1[[#This Row],[ Verified Ballot Papers ]]/Table1[[#This Row],[ Electorate ]]</f>
        <v>0.68262863499459536</v>
      </c>
      <c r="J30" s="1">
        <v>65047</v>
      </c>
      <c r="K30" s="1">
        <v>65005</v>
      </c>
      <c r="L30" s="1">
        <v>27678</v>
      </c>
      <c r="M30" s="1">
        <v>37327</v>
      </c>
      <c r="N30">
        <v>42</v>
      </c>
      <c r="O30">
        <v>0</v>
      </c>
      <c r="P30">
        <v>7</v>
      </c>
      <c r="Q30">
        <v>1</v>
      </c>
      <c r="R30">
        <v>34</v>
      </c>
      <c r="S30" s="5">
        <f>Table1[[#This Row],[ Remain ]]/Table1[[#This Row],[ Valid Votes ]]</f>
        <v>0.42578263210522266</v>
      </c>
      <c r="T30" s="5">
        <f>Table1[[#This Row],[ Leave ]]/Table1[[#This Row],[ Valid Votes ]]</f>
        <v>0.57421736789477729</v>
      </c>
      <c r="U30" s="5">
        <f>Table1[[#This Row],[ Rejected Ballots ]]/Table1[[#This Row],[ Votes Cast ]]</f>
        <v>6.4568696481006043E-4</v>
      </c>
      <c r="V30" t="str">
        <f>IF(Table1[[#This Row],[Percent Leave]]&gt;Table1[[#This Row],[Percent Remain]],"Leave", "Remain")</f>
        <v>Leave</v>
      </c>
      <c r="W30">
        <v>53.334240000000001</v>
      </c>
      <c r="X30">
        <v>-2.6885300000000001</v>
      </c>
      <c r="Y30" s="1">
        <f>_xlfn.XLOOKUP(Table1[[#This Row],[Area]],Table2[Area],Table2[All Residents])</f>
        <v>125746</v>
      </c>
    </row>
    <row r="31" spans="1:25" hidden="1" x14ac:dyDescent="0.45">
      <c r="A31">
        <v>30</v>
      </c>
      <c r="B31" t="s">
        <v>47</v>
      </c>
      <c r="C31" t="s">
        <v>48</v>
      </c>
      <c r="D31" t="s">
        <v>83</v>
      </c>
      <c r="E31" t="s">
        <v>84</v>
      </c>
      <c r="F31" s="1">
        <v>157042</v>
      </c>
      <c r="G31" s="1">
        <v>115206</v>
      </c>
      <c r="H31" s="1">
        <v>115206</v>
      </c>
      <c r="I31" s="5">
        <f>Table1[[#This Row],[ Verified Ballot Papers ]]/Table1[[#This Row],[ Electorate ]]</f>
        <v>0.73359992868149926</v>
      </c>
      <c r="J31" s="1">
        <v>115205</v>
      </c>
      <c r="K31" s="1">
        <v>115144</v>
      </c>
      <c r="L31" s="1">
        <v>52657</v>
      </c>
      <c r="M31" s="1">
        <v>62487</v>
      </c>
      <c r="N31">
        <v>61</v>
      </c>
      <c r="O31">
        <v>0</v>
      </c>
      <c r="P31">
        <v>17</v>
      </c>
      <c r="Q31">
        <v>1</v>
      </c>
      <c r="R31">
        <v>43</v>
      </c>
      <c r="S31" s="5">
        <f>Table1[[#This Row],[ Remain ]]/Table1[[#This Row],[ Valid Votes ]]</f>
        <v>0.45731431946084905</v>
      </c>
      <c r="T31" s="5">
        <f>Table1[[#This Row],[ Leave ]]/Table1[[#This Row],[ Valid Votes ]]</f>
        <v>0.54268568053915101</v>
      </c>
      <c r="U31" s="5">
        <f>Table1[[#This Row],[ Rejected Ballots ]]/Table1[[#This Row],[ Votes Cast ]]</f>
        <v>5.2949090751269474E-4</v>
      </c>
      <c r="V31" t="str">
        <f>IF(Table1[[#This Row],[Percent Leave]]&gt;Table1[[#This Row],[Percent Remain]],"Leave", "Remain")</f>
        <v>Leave</v>
      </c>
      <c r="W31">
        <v>53.391627999999997</v>
      </c>
      <c r="X31">
        <v>-2.5616701000000002</v>
      </c>
      <c r="Y31" s="1">
        <f>_xlfn.XLOOKUP(Table1[[#This Row],[Area]],Table2[Area],Table2[All Residents])</f>
        <v>202228</v>
      </c>
    </row>
    <row r="32" spans="1:25" hidden="1" x14ac:dyDescent="0.45">
      <c r="A32">
        <v>31</v>
      </c>
      <c r="B32" t="s">
        <v>47</v>
      </c>
      <c r="C32" t="s">
        <v>48</v>
      </c>
      <c r="D32" t="s">
        <v>85</v>
      </c>
      <c r="E32" t="s">
        <v>86</v>
      </c>
      <c r="F32" s="1">
        <v>259878</v>
      </c>
      <c r="G32" s="1">
        <v>193640</v>
      </c>
      <c r="H32" s="1">
        <v>193633</v>
      </c>
      <c r="I32" s="5">
        <f>Table1[[#This Row],[ Verified Ballot Papers ]]/Table1[[#This Row],[ Electorate ]]</f>
        <v>0.74509192775071376</v>
      </c>
      <c r="J32" s="1">
        <v>193633</v>
      </c>
      <c r="K32" s="1">
        <v>193537</v>
      </c>
      <c r="L32" s="1">
        <v>95455</v>
      </c>
      <c r="M32" s="1">
        <v>98082</v>
      </c>
      <c r="N32">
        <v>96</v>
      </c>
      <c r="O32">
        <v>0</v>
      </c>
      <c r="P32">
        <v>27</v>
      </c>
      <c r="Q32">
        <v>11</v>
      </c>
      <c r="R32">
        <v>58</v>
      </c>
      <c r="S32" s="5">
        <f>Table1[[#This Row],[ Remain ]]/Table1[[#This Row],[ Valid Votes ]]</f>
        <v>0.49321318404232783</v>
      </c>
      <c r="T32" s="5">
        <f>Table1[[#This Row],[ Leave ]]/Table1[[#This Row],[ Valid Votes ]]</f>
        <v>0.50678681595767217</v>
      </c>
      <c r="U32" s="5">
        <f>Table1[[#This Row],[ Rejected Ballots ]]/Table1[[#This Row],[ Votes Cast ]]</f>
        <v>4.9578326008479958E-4</v>
      </c>
      <c r="V32" t="str">
        <f>IF(Table1[[#This Row],[Percent Leave]]&gt;Table1[[#This Row],[Percent Remain]],"Leave", "Remain")</f>
        <v>Leave</v>
      </c>
      <c r="W32">
        <v>53.163361000000002</v>
      </c>
      <c r="X32">
        <v>-2.7029800000000002</v>
      </c>
      <c r="Y32" s="1">
        <f>_xlfn.XLOOKUP(Table1[[#This Row],[Area]],Table2[Area],Table2[All Residents])</f>
        <v>329608</v>
      </c>
    </row>
    <row r="33" spans="1:25" hidden="1" x14ac:dyDescent="0.45">
      <c r="A33">
        <v>32</v>
      </c>
      <c r="B33" t="s">
        <v>47</v>
      </c>
      <c r="C33" t="s">
        <v>48</v>
      </c>
      <c r="D33" t="s">
        <v>87</v>
      </c>
      <c r="E33" t="s">
        <v>88</v>
      </c>
      <c r="F33" s="1">
        <v>100117</v>
      </c>
      <c r="G33" s="1">
        <v>65416</v>
      </c>
      <c r="H33" s="1">
        <v>65408</v>
      </c>
      <c r="I33" s="5">
        <f>Table1[[#This Row],[ Verified Ballot Papers ]]/Table1[[#This Row],[ Electorate ]]</f>
        <v>0.65331562072375315</v>
      </c>
      <c r="J33" s="1">
        <v>65408</v>
      </c>
      <c r="K33" s="1">
        <v>65321</v>
      </c>
      <c r="L33" s="1">
        <v>28522</v>
      </c>
      <c r="M33" s="1">
        <v>36799</v>
      </c>
      <c r="N33">
        <v>87</v>
      </c>
      <c r="O33">
        <v>0</v>
      </c>
      <c r="P33">
        <v>40</v>
      </c>
      <c r="Q33">
        <v>4</v>
      </c>
      <c r="R33">
        <v>43</v>
      </c>
      <c r="S33" s="5">
        <f>Table1[[#This Row],[ Remain ]]/Table1[[#This Row],[ Valid Votes ]]</f>
        <v>0.43664365211800188</v>
      </c>
      <c r="T33" s="5">
        <f>Table1[[#This Row],[ Leave ]]/Table1[[#This Row],[ Valid Votes ]]</f>
        <v>0.56335634788199818</v>
      </c>
      <c r="U33" s="5">
        <f>Table1[[#This Row],[ Rejected Ballots ]]/Table1[[#This Row],[ Votes Cast ]]</f>
        <v>1.3301125244618395E-3</v>
      </c>
      <c r="V33" t="str">
        <f>IF(Table1[[#This Row],[Percent Leave]]&gt;Table1[[#This Row],[Percent Remain]],"Leave", "Remain")</f>
        <v>Leave</v>
      </c>
      <c r="W33">
        <v>53.700802000000003</v>
      </c>
      <c r="X33">
        <v>-2.4635999000000002</v>
      </c>
      <c r="Y33" s="1">
        <f>_xlfn.XLOOKUP(Table1[[#This Row],[Area]],Table2[Area],Table2[All Residents])</f>
        <v>147489</v>
      </c>
    </row>
    <row r="34" spans="1:25" hidden="1" x14ac:dyDescent="0.45">
      <c r="A34">
        <v>33</v>
      </c>
      <c r="B34" t="s">
        <v>47</v>
      </c>
      <c r="C34" t="s">
        <v>48</v>
      </c>
      <c r="D34" t="s">
        <v>89</v>
      </c>
      <c r="E34" t="s">
        <v>90</v>
      </c>
      <c r="F34" s="1">
        <v>102354</v>
      </c>
      <c r="G34" s="1">
        <v>66959</v>
      </c>
      <c r="H34" s="1">
        <v>66959</v>
      </c>
      <c r="I34" s="5">
        <f>Table1[[#This Row],[ Verified Ballot Papers ]]/Table1[[#This Row],[ Electorate ]]</f>
        <v>0.65419035895030975</v>
      </c>
      <c r="J34" s="1">
        <v>66959</v>
      </c>
      <c r="K34" s="1">
        <v>66927</v>
      </c>
      <c r="L34" s="1">
        <v>21781</v>
      </c>
      <c r="M34" s="1">
        <v>45146</v>
      </c>
      <c r="N34">
        <v>32</v>
      </c>
      <c r="O34">
        <v>0</v>
      </c>
      <c r="P34">
        <v>8</v>
      </c>
      <c r="Q34">
        <v>3</v>
      </c>
      <c r="R34">
        <v>21</v>
      </c>
      <c r="S34" s="5">
        <f>Table1[[#This Row],[ Remain ]]/Table1[[#This Row],[ Valid Votes ]]</f>
        <v>0.3254441406308366</v>
      </c>
      <c r="T34" s="5">
        <f>Table1[[#This Row],[ Leave ]]/Table1[[#This Row],[ Valid Votes ]]</f>
        <v>0.6745558593691634</v>
      </c>
      <c r="U34" s="5">
        <f>Table1[[#This Row],[ Rejected Ballots ]]/Table1[[#This Row],[ Votes Cast ]]</f>
        <v>4.7790438925312504E-4</v>
      </c>
      <c r="V34" t="str">
        <f>IF(Table1[[#This Row],[Percent Leave]]&gt;Table1[[#This Row],[Percent Remain]],"Leave", "Remain")</f>
        <v>Leave</v>
      </c>
      <c r="W34">
        <v>53.821640000000002</v>
      </c>
      <c r="X34">
        <v>-3.0219901</v>
      </c>
      <c r="Y34" s="1">
        <f>_xlfn.XLOOKUP(Table1[[#This Row],[Area]],Table2[Area],Table2[All Residents])</f>
        <v>142065</v>
      </c>
    </row>
    <row r="35" spans="1:25" hidden="1" x14ac:dyDescent="0.45">
      <c r="A35">
        <v>34</v>
      </c>
      <c r="B35" t="s">
        <v>47</v>
      </c>
      <c r="C35" t="s">
        <v>48</v>
      </c>
      <c r="D35" t="s">
        <v>91</v>
      </c>
      <c r="E35" t="s">
        <v>92</v>
      </c>
      <c r="F35" s="1">
        <v>74426</v>
      </c>
      <c r="G35" s="1">
        <v>54268</v>
      </c>
      <c r="H35" s="1">
        <v>54268</v>
      </c>
      <c r="I35" s="5">
        <f>Table1[[#This Row],[ Verified Ballot Papers ]]/Table1[[#This Row],[ Electorate ]]</f>
        <v>0.72915379034208472</v>
      </c>
      <c r="J35" s="1">
        <v>54268</v>
      </c>
      <c r="K35" s="1">
        <v>54238</v>
      </c>
      <c r="L35" s="1">
        <v>22429</v>
      </c>
      <c r="M35" s="1">
        <v>31809</v>
      </c>
      <c r="N35">
        <v>30</v>
      </c>
      <c r="O35">
        <v>0</v>
      </c>
      <c r="P35">
        <v>13</v>
      </c>
      <c r="Q35">
        <v>0</v>
      </c>
      <c r="R35">
        <v>17</v>
      </c>
      <c r="S35" s="5">
        <f>Table1[[#This Row],[ Remain ]]/Table1[[#This Row],[ Valid Votes ]]</f>
        <v>0.41352925992846346</v>
      </c>
      <c r="T35" s="5">
        <f>Table1[[#This Row],[ Leave ]]/Table1[[#This Row],[ Valid Votes ]]</f>
        <v>0.58647074007153654</v>
      </c>
      <c r="U35" s="5">
        <f>Table1[[#This Row],[ Rejected Ballots ]]/Table1[[#This Row],[ Votes Cast ]]</f>
        <v>5.5281197022186189E-4</v>
      </c>
      <c r="V35" t="str">
        <f>IF(Table1[[#This Row],[Percent Leave]]&gt;Table1[[#This Row],[Percent Remain]],"Leave", "Remain")</f>
        <v>Leave</v>
      </c>
      <c r="W35">
        <v>54.685242000000002</v>
      </c>
      <c r="X35">
        <v>-3.2808999999999999</v>
      </c>
      <c r="Y35" s="1">
        <f>_xlfn.XLOOKUP(Table1[[#This Row],[Area]],Table2[Area],Table2[All Residents])</f>
        <v>96422</v>
      </c>
    </row>
    <row r="36" spans="1:25" hidden="1" x14ac:dyDescent="0.45">
      <c r="A36">
        <v>35</v>
      </c>
      <c r="B36" t="s">
        <v>47</v>
      </c>
      <c r="C36" t="s">
        <v>48</v>
      </c>
      <c r="D36" t="s">
        <v>93</v>
      </c>
      <c r="E36" t="s">
        <v>94</v>
      </c>
      <c r="F36" s="1">
        <v>53194</v>
      </c>
      <c r="G36" s="1">
        <v>36104</v>
      </c>
      <c r="H36" s="1">
        <v>36101</v>
      </c>
      <c r="I36" s="5">
        <f>Table1[[#This Row],[ Verified Ballot Papers ]]/Table1[[#This Row],[ Electorate ]]</f>
        <v>0.67866676692860095</v>
      </c>
      <c r="J36" s="1">
        <v>36101</v>
      </c>
      <c r="K36" s="1">
        <v>36074</v>
      </c>
      <c r="L36" s="1">
        <v>14207</v>
      </c>
      <c r="M36" s="1">
        <v>21867</v>
      </c>
      <c r="N36">
        <v>27</v>
      </c>
      <c r="O36">
        <v>0</v>
      </c>
      <c r="P36">
        <v>9</v>
      </c>
      <c r="Q36">
        <v>0</v>
      </c>
      <c r="R36">
        <v>18</v>
      </c>
      <c r="S36" s="5">
        <f>Table1[[#This Row],[ Remain ]]/Table1[[#This Row],[ Valid Votes ]]</f>
        <v>0.39382935077895437</v>
      </c>
      <c r="T36" s="5">
        <f>Table1[[#This Row],[ Leave ]]/Table1[[#This Row],[ Valid Votes ]]</f>
        <v>0.60617064922104558</v>
      </c>
      <c r="U36" s="5">
        <f>Table1[[#This Row],[ Rejected Ballots ]]/Table1[[#This Row],[ Votes Cast ]]</f>
        <v>7.4790172017395642E-4</v>
      </c>
      <c r="V36" t="str">
        <f>IF(Table1[[#This Row],[Percent Leave]]&gt;Table1[[#This Row],[Percent Remain]],"Leave", "Remain")</f>
        <v>Leave</v>
      </c>
      <c r="W36">
        <v>54.157310000000003</v>
      </c>
      <c r="X36">
        <v>-3.1998999000000001</v>
      </c>
      <c r="Y36" s="1">
        <f>_xlfn.XLOOKUP(Table1[[#This Row],[Area]],Table2[Area],Table2[All Residents])</f>
        <v>69087</v>
      </c>
    </row>
    <row r="37" spans="1:25" hidden="1" x14ac:dyDescent="0.45">
      <c r="A37">
        <v>36</v>
      </c>
      <c r="B37" t="s">
        <v>47</v>
      </c>
      <c r="C37" t="s">
        <v>48</v>
      </c>
      <c r="D37" t="s">
        <v>95</v>
      </c>
      <c r="E37" t="s">
        <v>96</v>
      </c>
      <c r="F37" s="1">
        <v>80124</v>
      </c>
      <c r="G37" s="1">
        <v>59723</v>
      </c>
      <c r="H37" s="1">
        <v>59721</v>
      </c>
      <c r="I37" s="5">
        <f>Table1[[#This Row],[ Verified Ballot Papers ]]/Table1[[#This Row],[ Electorate ]]</f>
        <v>0.74535719634566422</v>
      </c>
      <c r="J37" s="1">
        <v>59721</v>
      </c>
      <c r="K37" s="1">
        <v>59683</v>
      </c>
      <c r="L37" s="1">
        <v>23788</v>
      </c>
      <c r="M37" s="1">
        <v>35895</v>
      </c>
      <c r="N37">
        <v>38</v>
      </c>
      <c r="O37">
        <v>0</v>
      </c>
      <c r="P37">
        <v>13</v>
      </c>
      <c r="Q37">
        <v>2</v>
      </c>
      <c r="R37">
        <v>23</v>
      </c>
      <c r="S37" s="5">
        <f>Table1[[#This Row],[ Remain ]]/Table1[[#This Row],[ Valid Votes ]]</f>
        <v>0.3985724578188094</v>
      </c>
      <c r="T37" s="5">
        <f>Table1[[#This Row],[ Leave ]]/Table1[[#This Row],[ Valid Votes ]]</f>
        <v>0.60142754218119066</v>
      </c>
      <c r="U37" s="5">
        <f>Table1[[#This Row],[ Rejected Ballots ]]/Table1[[#This Row],[ Votes Cast ]]</f>
        <v>6.3629209155908312E-4</v>
      </c>
      <c r="V37" t="str">
        <f>IF(Table1[[#This Row],[Percent Leave]]&gt;Table1[[#This Row],[Percent Remain]],"Leave", "Remain")</f>
        <v>Leave</v>
      </c>
      <c r="W37">
        <v>54.978329000000002</v>
      </c>
      <c r="X37">
        <v>-2.80498</v>
      </c>
      <c r="Y37" s="1">
        <f>_xlfn.XLOOKUP(Table1[[#This Row],[Area]],Table2[Area],Table2[All Residents])</f>
        <v>107524</v>
      </c>
    </row>
    <row r="38" spans="1:25" hidden="1" x14ac:dyDescent="0.45">
      <c r="A38">
        <v>37</v>
      </c>
      <c r="B38" t="s">
        <v>47</v>
      </c>
      <c r="C38" t="s">
        <v>48</v>
      </c>
      <c r="D38" t="s">
        <v>97</v>
      </c>
      <c r="E38" t="s">
        <v>98</v>
      </c>
      <c r="F38" s="1">
        <v>54206</v>
      </c>
      <c r="G38" s="1">
        <v>37974</v>
      </c>
      <c r="H38" s="1">
        <v>37975</v>
      </c>
      <c r="I38" s="5">
        <f>Table1[[#This Row],[ Verified Ballot Papers ]]/Table1[[#This Row],[ Electorate ]]</f>
        <v>0.70056820278197984</v>
      </c>
      <c r="J38" s="1">
        <v>37975</v>
      </c>
      <c r="K38" s="1">
        <v>37947</v>
      </c>
      <c r="L38" s="1">
        <v>14419</v>
      </c>
      <c r="M38" s="1">
        <v>23528</v>
      </c>
      <c r="N38">
        <v>28</v>
      </c>
      <c r="O38">
        <v>0</v>
      </c>
      <c r="P38">
        <v>9</v>
      </c>
      <c r="Q38">
        <v>3</v>
      </c>
      <c r="R38">
        <v>16</v>
      </c>
      <c r="S38" s="5">
        <f>Table1[[#This Row],[ Remain ]]/Table1[[#This Row],[ Valid Votes ]]</f>
        <v>0.37997733681186918</v>
      </c>
      <c r="T38" s="5">
        <f>Table1[[#This Row],[ Leave ]]/Table1[[#This Row],[ Valid Votes ]]</f>
        <v>0.62002266318813082</v>
      </c>
      <c r="U38" s="5">
        <f>Table1[[#This Row],[ Rejected Ballots ]]/Table1[[#This Row],[ Votes Cast ]]</f>
        <v>7.3732718894009217E-4</v>
      </c>
      <c r="V38" t="str">
        <f>IF(Table1[[#This Row],[Percent Leave]]&gt;Table1[[#This Row],[Percent Remain]],"Leave", "Remain")</f>
        <v>Leave</v>
      </c>
      <c r="W38">
        <v>54.466171000000003</v>
      </c>
      <c r="X38">
        <v>-3.3766400999999999</v>
      </c>
      <c r="Y38" s="1">
        <f>_xlfn.XLOOKUP(Table1[[#This Row],[Area]],Table2[Area],Table2[All Residents])</f>
        <v>70603</v>
      </c>
    </row>
    <row r="39" spans="1:25" hidden="1" x14ac:dyDescent="0.45">
      <c r="A39">
        <v>38</v>
      </c>
      <c r="B39" t="s">
        <v>47</v>
      </c>
      <c r="C39" t="s">
        <v>48</v>
      </c>
      <c r="D39" t="s">
        <v>99</v>
      </c>
      <c r="E39" t="s">
        <v>100</v>
      </c>
      <c r="F39" s="1">
        <v>41872</v>
      </c>
      <c r="G39" s="1">
        <v>31746</v>
      </c>
      <c r="H39" s="1">
        <v>31746</v>
      </c>
      <c r="I39" s="5">
        <f>Table1[[#This Row],[ Verified Ballot Papers ]]/Table1[[#This Row],[ Electorate ]]</f>
        <v>0.75816774933129538</v>
      </c>
      <c r="J39" s="1">
        <v>31746</v>
      </c>
      <c r="K39" s="1">
        <v>31718</v>
      </c>
      <c r="L39" s="1">
        <v>14807</v>
      </c>
      <c r="M39" s="1">
        <v>16911</v>
      </c>
      <c r="N39">
        <v>28</v>
      </c>
      <c r="O39">
        <v>0</v>
      </c>
      <c r="P39">
        <v>12</v>
      </c>
      <c r="Q39">
        <v>1</v>
      </c>
      <c r="R39">
        <v>15</v>
      </c>
      <c r="S39" s="5">
        <f>Table1[[#This Row],[ Remain ]]/Table1[[#This Row],[ Valid Votes ]]</f>
        <v>0.46683271328583137</v>
      </c>
      <c r="T39" s="5">
        <f>Table1[[#This Row],[ Leave ]]/Table1[[#This Row],[ Valid Votes ]]</f>
        <v>0.53316728671416858</v>
      </c>
      <c r="U39" s="5">
        <f>Table1[[#This Row],[ Rejected Ballots ]]/Table1[[#This Row],[ Votes Cast ]]</f>
        <v>8.8200088200088202E-4</v>
      </c>
      <c r="V39" t="str">
        <f>IF(Table1[[#This Row],[Percent Leave]]&gt;Table1[[#This Row],[Percent Remain]],"Leave", "Remain")</f>
        <v>Leave</v>
      </c>
      <c r="W39">
        <v>54.631068999999997</v>
      </c>
      <c r="X39">
        <v>-2.6267800000000001</v>
      </c>
      <c r="Y39" s="1">
        <f>_xlfn.XLOOKUP(Table1[[#This Row],[Area]],Table2[Area],Table2[All Residents])</f>
        <v>52564</v>
      </c>
    </row>
    <row r="40" spans="1:25" hidden="1" x14ac:dyDescent="0.45">
      <c r="A40">
        <v>39</v>
      </c>
      <c r="B40" t="s">
        <v>47</v>
      </c>
      <c r="C40" t="s">
        <v>48</v>
      </c>
      <c r="D40" t="s">
        <v>101</v>
      </c>
      <c r="E40" t="s">
        <v>102</v>
      </c>
      <c r="F40" s="1">
        <v>81948</v>
      </c>
      <c r="G40" s="1">
        <v>65375</v>
      </c>
      <c r="H40" s="1">
        <v>65375</v>
      </c>
      <c r="I40" s="5">
        <f>Table1[[#This Row],[ Verified Ballot Papers ]]/Table1[[#This Row],[ Electorate ]]</f>
        <v>0.79776199541172454</v>
      </c>
      <c r="J40" s="1">
        <v>65375</v>
      </c>
      <c r="K40" s="1">
        <v>65331</v>
      </c>
      <c r="L40" s="1">
        <v>34531</v>
      </c>
      <c r="M40" s="1">
        <v>30800</v>
      </c>
      <c r="N40">
        <v>44</v>
      </c>
      <c r="O40">
        <v>0</v>
      </c>
      <c r="P40">
        <v>12</v>
      </c>
      <c r="Q40">
        <v>2</v>
      </c>
      <c r="R40">
        <v>30</v>
      </c>
      <c r="S40" s="5">
        <f>Table1[[#This Row],[ Remain ]]/Table1[[#This Row],[ Valid Votes ]]</f>
        <v>0.52855459123540127</v>
      </c>
      <c r="T40" s="5">
        <f>Table1[[#This Row],[ Leave ]]/Table1[[#This Row],[ Valid Votes ]]</f>
        <v>0.47144540876459873</v>
      </c>
      <c r="U40" s="5">
        <f>Table1[[#This Row],[ Rejected Ballots ]]/Table1[[#This Row],[ Votes Cast ]]</f>
        <v>6.730401529636711E-4</v>
      </c>
      <c r="V40" t="str">
        <f>IF(Table1[[#This Row],[Percent Leave]]&gt;Table1[[#This Row],[Percent Remain]],"Leave", "Remain")</f>
        <v>Remain</v>
      </c>
      <c r="W40">
        <v>54.299079999999996</v>
      </c>
      <c r="X40">
        <v>-2.7810800000000002</v>
      </c>
      <c r="Y40" s="1">
        <f>_xlfn.XLOOKUP(Table1[[#This Row],[Area]],Table2[Area],Table2[All Residents])</f>
        <v>103658</v>
      </c>
    </row>
    <row r="41" spans="1:25" hidden="1" x14ac:dyDescent="0.45">
      <c r="A41">
        <v>40</v>
      </c>
      <c r="B41" t="s">
        <v>47</v>
      </c>
      <c r="C41" t="s">
        <v>48</v>
      </c>
      <c r="D41" t="s">
        <v>103</v>
      </c>
      <c r="E41" t="s">
        <v>104</v>
      </c>
      <c r="F41" s="1">
        <v>64461</v>
      </c>
      <c r="G41" s="1">
        <v>43354</v>
      </c>
      <c r="H41" s="1">
        <v>43350</v>
      </c>
      <c r="I41" s="5">
        <f>Table1[[#This Row],[ Verified Ballot Papers ]]/Table1[[#This Row],[ Electorate ]]</f>
        <v>0.67249965095173825</v>
      </c>
      <c r="J41" s="1">
        <v>43350</v>
      </c>
      <c r="K41" s="1">
        <v>43316</v>
      </c>
      <c r="L41" s="1">
        <v>14462</v>
      </c>
      <c r="M41" s="1">
        <v>28854</v>
      </c>
      <c r="N41">
        <v>34</v>
      </c>
      <c r="O41">
        <v>0</v>
      </c>
      <c r="P41">
        <v>11</v>
      </c>
      <c r="Q41">
        <v>0</v>
      </c>
      <c r="R41">
        <v>23</v>
      </c>
      <c r="S41" s="5">
        <f>Table1[[#This Row],[ Remain ]]/Table1[[#This Row],[ Valid Votes ]]</f>
        <v>0.33387201034259856</v>
      </c>
      <c r="T41" s="5">
        <f>Table1[[#This Row],[ Leave ]]/Table1[[#This Row],[ Valid Votes ]]</f>
        <v>0.66612798965740139</v>
      </c>
      <c r="U41" s="5">
        <f>Table1[[#This Row],[ Rejected Ballots ]]/Table1[[#This Row],[ Votes Cast ]]</f>
        <v>7.8431372549019605E-4</v>
      </c>
      <c r="V41" t="str">
        <f>IF(Table1[[#This Row],[Percent Leave]]&gt;Table1[[#This Row],[Percent Remain]],"Leave", "Remain")</f>
        <v>Leave</v>
      </c>
      <c r="W41">
        <v>53.774059000000001</v>
      </c>
      <c r="X41">
        <v>-2.2307999000000001</v>
      </c>
      <c r="Y41" s="1">
        <f>_xlfn.XLOOKUP(Table1[[#This Row],[Area]],Table2[Area],Table2[All Residents])</f>
        <v>87059</v>
      </c>
    </row>
    <row r="42" spans="1:25" hidden="1" x14ac:dyDescent="0.45">
      <c r="A42">
        <v>41</v>
      </c>
      <c r="B42" t="s">
        <v>47</v>
      </c>
      <c r="C42" t="s">
        <v>48</v>
      </c>
      <c r="D42" t="s">
        <v>105</v>
      </c>
      <c r="E42" t="s">
        <v>106</v>
      </c>
      <c r="F42" s="1">
        <v>84159</v>
      </c>
      <c r="G42" s="1">
        <v>63564</v>
      </c>
      <c r="H42" s="1">
        <v>63562</v>
      </c>
      <c r="I42" s="5">
        <f>Table1[[#This Row],[ Verified Ballot Papers ]]/Table1[[#This Row],[ Electorate ]]</f>
        <v>0.75526087524804242</v>
      </c>
      <c r="J42" s="1">
        <v>63560</v>
      </c>
      <c r="K42" s="1">
        <v>63515</v>
      </c>
      <c r="L42" s="1">
        <v>27417</v>
      </c>
      <c r="M42" s="1">
        <v>36098</v>
      </c>
      <c r="N42">
        <v>45</v>
      </c>
      <c r="O42">
        <v>4</v>
      </c>
      <c r="P42">
        <v>6</v>
      </c>
      <c r="Q42">
        <v>5</v>
      </c>
      <c r="R42">
        <v>30</v>
      </c>
      <c r="S42" s="5">
        <f>Table1[[#This Row],[ Remain ]]/Table1[[#This Row],[ Valid Votes ]]</f>
        <v>0.43166181217035349</v>
      </c>
      <c r="T42" s="5">
        <f>Table1[[#This Row],[ Leave ]]/Table1[[#This Row],[ Valid Votes ]]</f>
        <v>0.56833818782964651</v>
      </c>
      <c r="U42" s="5">
        <f>Table1[[#This Row],[ Rejected Ballots ]]/Table1[[#This Row],[ Votes Cast ]]</f>
        <v>7.0799244808055384E-4</v>
      </c>
      <c r="V42" t="str">
        <f>IF(Table1[[#This Row],[Percent Leave]]&gt;Table1[[#This Row],[Percent Remain]],"Leave", "Remain")</f>
        <v>Leave</v>
      </c>
      <c r="W42">
        <v>53.672401000000001</v>
      </c>
      <c r="X42">
        <v>-2.6192099999999998</v>
      </c>
      <c r="Y42" s="1">
        <f>_xlfn.XLOOKUP(Table1[[#This Row],[Area]],Table2[Area],Table2[All Residents])</f>
        <v>107155</v>
      </c>
    </row>
    <row r="43" spans="1:25" hidden="1" x14ac:dyDescent="0.45">
      <c r="A43">
        <v>42</v>
      </c>
      <c r="B43" t="s">
        <v>47</v>
      </c>
      <c r="C43" t="s">
        <v>48</v>
      </c>
      <c r="D43" t="s">
        <v>107</v>
      </c>
      <c r="E43" t="s">
        <v>108</v>
      </c>
      <c r="F43" s="1">
        <v>61174</v>
      </c>
      <c r="G43" s="1">
        <v>46227</v>
      </c>
      <c r="H43" s="1">
        <v>46227</v>
      </c>
      <c r="I43" s="5">
        <f>Table1[[#This Row],[ Verified Ballot Papers ]]/Table1[[#This Row],[ Electorate ]]</f>
        <v>0.75566417105306172</v>
      </c>
      <c r="J43" s="1">
        <v>46227</v>
      </c>
      <c r="K43" s="1">
        <v>46206</v>
      </c>
      <c r="L43" s="1">
        <v>19889</v>
      </c>
      <c r="M43" s="1">
        <v>26317</v>
      </c>
      <c r="N43">
        <v>21</v>
      </c>
      <c r="O43">
        <v>0</v>
      </c>
      <c r="P43">
        <v>5</v>
      </c>
      <c r="Q43">
        <v>1</v>
      </c>
      <c r="R43">
        <v>15</v>
      </c>
      <c r="S43" s="5">
        <f>Table1[[#This Row],[ Remain ]]/Table1[[#This Row],[ Valid Votes ]]</f>
        <v>0.43044193394797214</v>
      </c>
      <c r="T43" s="5">
        <f>Table1[[#This Row],[ Leave ]]/Table1[[#This Row],[ Valid Votes ]]</f>
        <v>0.56955806605202786</v>
      </c>
      <c r="U43" s="5">
        <f>Table1[[#This Row],[ Rejected Ballots ]]/Table1[[#This Row],[ Votes Cast ]]</f>
        <v>4.5427996625348822E-4</v>
      </c>
      <c r="V43" t="str">
        <f>IF(Table1[[#This Row],[Percent Leave]]&gt;Table1[[#This Row],[Percent Remain]],"Leave", "Remain")</f>
        <v>Leave</v>
      </c>
      <c r="W43">
        <v>53.797089</v>
      </c>
      <c r="X43">
        <v>-2.9191400999999999</v>
      </c>
      <c r="Y43" s="1">
        <f>_xlfn.XLOOKUP(Table1[[#This Row],[Area]],Table2[Area],Table2[All Residents])</f>
        <v>75757</v>
      </c>
    </row>
    <row r="44" spans="1:25" hidden="1" x14ac:dyDescent="0.45">
      <c r="A44">
        <v>43</v>
      </c>
      <c r="B44" t="s">
        <v>47</v>
      </c>
      <c r="C44" t="s">
        <v>48</v>
      </c>
      <c r="D44" t="s">
        <v>109</v>
      </c>
      <c r="E44" t="s">
        <v>110</v>
      </c>
      <c r="F44" s="1">
        <v>62042</v>
      </c>
      <c r="G44" s="1">
        <v>40173</v>
      </c>
      <c r="H44" s="1">
        <v>40168</v>
      </c>
      <c r="I44" s="5">
        <f>Table1[[#This Row],[ Verified Ballot Papers ]]/Table1[[#This Row],[ Electorate ]]</f>
        <v>0.64743238451371654</v>
      </c>
      <c r="J44" s="1">
        <v>40168</v>
      </c>
      <c r="K44" s="1">
        <v>40137</v>
      </c>
      <c r="L44" s="1">
        <v>13569</v>
      </c>
      <c r="M44" s="1">
        <v>26568</v>
      </c>
      <c r="N44">
        <v>31</v>
      </c>
      <c r="O44">
        <v>0</v>
      </c>
      <c r="P44">
        <v>13</v>
      </c>
      <c r="Q44">
        <v>3</v>
      </c>
      <c r="R44">
        <v>15</v>
      </c>
      <c r="S44" s="5">
        <f>Table1[[#This Row],[ Remain ]]/Table1[[#This Row],[ Valid Votes ]]</f>
        <v>0.3380671201136109</v>
      </c>
      <c r="T44" s="5">
        <f>Table1[[#This Row],[ Leave ]]/Table1[[#This Row],[ Valid Votes ]]</f>
        <v>0.66193287988638916</v>
      </c>
      <c r="U44" s="5">
        <f>Table1[[#This Row],[ Rejected Ballots ]]/Table1[[#This Row],[ Votes Cast ]]</f>
        <v>7.717586138219478E-4</v>
      </c>
      <c r="V44" t="str">
        <f>IF(Table1[[#This Row],[Percent Leave]]&gt;Table1[[#This Row],[Percent Remain]],"Leave", "Remain")</f>
        <v>Leave</v>
      </c>
      <c r="W44">
        <v>53.756481000000001</v>
      </c>
      <c r="X44">
        <v>-2.3896400999999998</v>
      </c>
      <c r="Y44" s="1">
        <f>_xlfn.XLOOKUP(Table1[[#This Row],[Area]],Table2[Area],Table2[All Residents])</f>
        <v>80734</v>
      </c>
    </row>
    <row r="45" spans="1:25" hidden="1" x14ac:dyDescent="0.45">
      <c r="A45">
        <v>44</v>
      </c>
      <c r="B45" t="s">
        <v>47</v>
      </c>
      <c r="C45" t="s">
        <v>48</v>
      </c>
      <c r="D45" t="s">
        <v>111</v>
      </c>
      <c r="E45" t="s">
        <v>112</v>
      </c>
      <c r="F45" s="1">
        <v>100567</v>
      </c>
      <c r="G45" s="1">
        <v>73102</v>
      </c>
      <c r="H45" s="1">
        <v>73098</v>
      </c>
      <c r="I45" s="5">
        <f>Table1[[#This Row],[ Verified Ballot Papers ]]/Table1[[#This Row],[ Electorate ]]</f>
        <v>0.72685871110801759</v>
      </c>
      <c r="J45" s="1">
        <v>73098</v>
      </c>
      <c r="K45" s="1">
        <v>73041</v>
      </c>
      <c r="L45" s="1">
        <v>35732</v>
      </c>
      <c r="M45" s="1">
        <v>37309</v>
      </c>
      <c r="N45">
        <v>57</v>
      </c>
      <c r="O45">
        <v>0</v>
      </c>
      <c r="P45">
        <v>12</v>
      </c>
      <c r="Q45">
        <v>2</v>
      </c>
      <c r="R45">
        <v>43</v>
      </c>
      <c r="S45" s="5">
        <f>Table1[[#This Row],[ Remain ]]/Table1[[#This Row],[ Valid Votes ]]</f>
        <v>0.48920469325447352</v>
      </c>
      <c r="T45" s="5">
        <f>Table1[[#This Row],[ Leave ]]/Table1[[#This Row],[ Valid Votes ]]</f>
        <v>0.51079530674552653</v>
      </c>
      <c r="U45" s="5">
        <f>Table1[[#This Row],[ Rejected Ballots ]]/Table1[[#This Row],[ Votes Cast ]]</f>
        <v>7.7977509644586716E-4</v>
      </c>
      <c r="V45" t="str">
        <f>IF(Table1[[#This Row],[Percent Leave]]&gt;Table1[[#This Row],[Percent Remain]],"Leave", "Remain")</f>
        <v>Leave</v>
      </c>
      <c r="W45">
        <v>54.079009999999997</v>
      </c>
      <c r="X45">
        <v>-2.6602999999999999</v>
      </c>
      <c r="Y45" s="1">
        <f>_xlfn.XLOOKUP(Table1[[#This Row],[Area]],Table2[Area],Table2[All Residents])</f>
        <v>138375</v>
      </c>
    </row>
    <row r="46" spans="1:25" hidden="1" x14ac:dyDescent="0.45">
      <c r="A46">
        <v>45</v>
      </c>
      <c r="B46" t="s">
        <v>47</v>
      </c>
      <c r="C46" t="s">
        <v>48</v>
      </c>
      <c r="D46" t="s">
        <v>113</v>
      </c>
      <c r="E46" t="s">
        <v>114</v>
      </c>
      <c r="F46" s="1">
        <v>64534</v>
      </c>
      <c r="G46" s="1">
        <v>45389</v>
      </c>
      <c r="H46" s="1">
        <v>45388</v>
      </c>
      <c r="I46" s="5">
        <f>Table1[[#This Row],[ Verified Ballot Papers ]]/Table1[[#This Row],[ Electorate ]]</f>
        <v>0.7033191805869774</v>
      </c>
      <c r="J46" s="1">
        <v>45388</v>
      </c>
      <c r="K46" s="1">
        <v>45335</v>
      </c>
      <c r="L46" s="1">
        <v>16704</v>
      </c>
      <c r="M46" s="1">
        <v>28631</v>
      </c>
      <c r="N46">
        <v>53</v>
      </c>
      <c r="O46">
        <v>0</v>
      </c>
      <c r="P46">
        <v>15</v>
      </c>
      <c r="Q46">
        <v>7</v>
      </c>
      <c r="R46">
        <v>31</v>
      </c>
      <c r="S46" s="5">
        <f>Table1[[#This Row],[ Remain ]]/Table1[[#This Row],[ Valid Votes ]]</f>
        <v>0.36845704202051394</v>
      </c>
      <c r="T46" s="5">
        <f>Table1[[#This Row],[ Leave ]]/Table1[[#This Row],[ Valid Votes ]]</f>
        <v>0.63154295797948601</v>
      </c>
      <c r="U46" s="5">
        <f>Table1[[#This Row],[ Rejected Ballots ]]/Table1[[#This Row],[ Votes Cast ]]</f>
        <v>1.1677095267471579E-3</v>
      </c>
      <c r="V46" t="str">
        <f>IF(Table1[[#This Row],[Percent Leave]]&gt;Table1[[#This Row],[Percent Remain]],"Leave", "Remain")</f>
        <v>Leave</v>
      </c>
      <c r="W46">
        <v>53.886360000000003</v>
      </c>
      <c r="X46">
        <v>-2.1895699999999998</v>
      </c>
      <c r="Y46" s="1">
        <f>_xlfn.XLOOKUP(Table1[[#This Row],[Area]],Table2[Area],Table2[All Residents])</f>
        <v>89452</v>
      </c>
    </row>
    <row r="47" spans="1:25" hidden="1" x14ac:dyDescent="0.45">
      <c r="A47">
        <v>46</v>
      </c>
      <c r="B47" t="s">
        <v>47</v>
      </c>
      <c r="C47" t="s">
        <v>48</v>
      </c>
      <c r="D47" t="s">
        <v>115</v>
      </c>
      <c r="E47" t="s">
        <v>116</v>
      </c>
      <c r="F47" s="1">
        <v>94284</v>
      </c>
      <c r="G47" s="1">
        <v>64794</v>
      </c>
      <c r="H47" s="1">
        <v>64794</v>
      </c>
      <c r="I47" s="5">
        <f>Table1[[#This Row],[ Verified Ballot Papers ]]/Table1[[#This Row],[ Electorate ]]</f>
        <v>0.68722158584701543</v>
      </c>
      <c r="J47" s="1">
        <v>64794</v>
      </c>
      <c r="K47" s="1">
        <v>64745</v>
      </c>
      <c r="L47" s="1">
        <v>30227</v>
      </c>
      <c r="M47" s="1">
        <v>34518</v>
      </c>
      <c r="N47">
        <v>49</v>
      </c>
      <c r="O47">
        <v>2</v>
      </c>
      <c r="P47">
        <v>19</v>
      </c>
      <c r="Q47">
        <v>0</v>
      </c>
      <c r="R47">
        <v>28</v>
      </c>
      <c r="S47" s="5">
        <f>Table1[[#This Row],[ Remain ]]/Table1[[#This Row],[ Valid Votes ]]</f>
        <v>0.46686230596957295</v>
      </c>
      <c r="T47" s="5">
        <f>Table1[[#This Row],[ Leave ]]/Table1[[#This Row],[ Valid Votes ]]</f>
        <v>0.5331376940304271</v>
      </c>
      <c r="U47" s="5">
        <f>Table1[[#This Row],[ Rejected Ballots ]]/Table1[[#This Row],[ Votes Cast ]]</f>
        <v>7.5624286199339448E-4</v>
      </c>
      <c r="V47" t="str">
        <f>IF(Table1[[#This Row],[Percent Leave]]&gt;Table1[[#This Row],[Percent Remain]],"Leave", "Remain")</f>
        <v>Leave</v>
      </c>
      <c r="W47">
        <v>53.822020999999999</v>
      </c>
      <c r="X47">
        <v>-2.7180901</v>
      </c>
      <c r="Y47" s="1">
        <f>_xlfn.XLOOKUP(Table1[[#This Row],[Area]],Table2[Area],Table2[All Residents])</f>
        <v>140202</v>
      </c>
    </row>
    <row r="48" spans="1:25" hidden="1" x14ac:dyDescent="0.45">
      <c r="A48">
        <v>47</v>
      </c>
      <c r="B48" t="s">
        <v>47</v>
      </c>
      <c r="C48" t="s">
        <v>48</v>
      </c>
      <c r="D48" t="s">
        <v>117</v>
      </c>
      <c r="E48" t="s">
        <v>118</v>
      </c>
      <c r="F48" s="1">
        <v>46148</v>
      </c>
      <c r="G48" s="1">
        <v>36473</v>
      </c>
      <c r="H48" s="1">
        <v>36466</v>
      </c>
      <c r="I48" s="5">
        <f>Table1[[#This Row],[ Verified Ballot Papers ]]/Table1[[#This Row],[ Electorate ]]</f>
        <v>0.79019675825604574</v>
      </c>
      <c r="J48" s="1">
        <v>36466</v>
      </c>
      <c r="K48" s="1">
        <v>36442</v>
      </c>
      <c r="L48" s="1">
        <v>15892</v>
      </c>
      <c r="M48" s="1">
        <v>20550</v>
      </c>
      <c r="N48">
        <v>24</v>
      </c>
      <c r="O48">
        <v>3</v>
      </c>
      <c r="P48">
        <v>6</v>
      </c>
      <c r="Q48">
        <v>1</v>
      </c>
      <c r="R48">
        <v>14</v>
      </c>
      <c r="S48" s="5">
        <f>Table1[[#This Row],[ Remain ]]/Table1[[#This Row],[ Valid Votes ]]</f>
        <v>0.43609022556390975</v>
      </c>
      <c r="T48" s="5">
        <f>Table1[[#This Row],[ Leave ]]/Table1[[#This Row],[ Valid Votes ]]</f>
        <v>0.56390977443609025</v>
      </c>
      <c r="U48" s="5">
        <f>Table1[[#This Row],[ Rejected Ballots ]]/Table1[[#This Row],[ Votes Cast ]]</f>
        <v>6.5814731530740962E-4</v>
      </c>
      <c r="V48" t="str">
        <f>IF(Table1[[#This Row],[Percent Leave]]&gt;Table1[[#This Row],[Percent Remain]],"Leave", "Remain")</f>
        <v>Leave</v>
      </c>
      <c r="W48">
        <v>53.924500000000002</v>
      </c>
      <c r="X48">
        <v>-2.4173998999999999</v>
      </c>
      <c r="Y48" s="1">
        <f>_xlfn.XLOOKUP(Table1[[#This Row],[Area]],Table2[Area],Table2[All Residents])</f>
        <v>57132</v>
      </c>
    </row>
    <row r="49" spans="1:25" hidden="1" x14ac:dyDescent="0.45">
      <c r="A49">
        <v>48</v>
      </c>
      <c r="B49" t="s">
        <v>47</v>
      </c>
      <c r="C49" t="s">
        <v>48</v>
      </c>
      <c r="D49" t="s">
        <v>119</v>
      </c>
      <c r="E49" t="s">
        <v>120</v>
      </c>
      <c r="F49" s="1">
        <v>52750</v>
      </c>
      <c r="G49" s="1">
        <v>38205</v>
      </c>
      <c r="H49" s="1">
        <v>38204</v>
      </c>
      <c r="I49" s="5">
        <f>Table1[[#This Row],[ Verified Ballot Papers ]]/Table1[[#This Row],[ Electorate ]]</f>
        <v>0.72424644549763029</v>
      </c>
      <c r="J49" s="1">
        <v>38205</v>
      </c>
      <c r="K49" s="1">
        <v>38181</v>
      </c>
      <c r="L49" s="1">
        <v>15012</v>
      </c>
      <c r="M49" s="1">
        <v>23169</v>
      </c>
      <c r="N49">
        <v>24</v>
      </c>
      <c r="O49">
        <v>0</v>
      </c>
      <c r="P49">
        <v>9</v>
      </c>
      <c r="Q49">
        <v>1</v>
      </c>
      <c r="R49">
        <v>14</v>
      </c>
      <c r="S49" s="5">
        <f>Table1[[#This Row],[ Remain ]]/Table1[[#This Row],[ Valid Votes ]]</f>
        <v>0.39317985385401116</v>
      </c>
      <c r="T49" s="5">
        <f>Table1[[#This Row],[ Leave ]]/Table1[[#This Row],[ Valid Votes ]]</f>
        <v>0.60682014614598889</v>
      </c>
      <c r="U49" s="5">
        <f>Table1[[#This Row],[ Rejected Ballots ]]/Table1[[#This Row],[ Votes Cast ]]</f>
        <v>6.2819002748331374E-4</v>
      </c>
      <c r="V49" t="str">
        <f>IF(Table1[[#This Row],[Percent Leave]]&gt;Table1[[#This Row],[Percent Remain]],"Leave", "Remain")</f>
        <v>Leave</v>
      </c>
      <c r="W49">
        <v>53.684780000000003</v>
      </c>
      <c r="X49">
        <v>-2.2614901000000001</v>
      </c>
      <c r="Y49" s="1">
        <f>_xlfn.XLOOKUP(Table1[[#This Row],[Area]],Table2[Area],Table2[All Residents])</f>
        <v>67982</v>
      </c>
    </row>
    <row r="50" spans="1:25" hidden="1" x14ac:dyDescent="0.45">
      <c r="A50">
        <v>49</v>
      </c>
      <c r="B50" t="s">
        <v>47</v>
      </c>
      <c r="C50" t="s">
        <v>48</v>
      </c>
      <c r="D50" t="s">
        <v>121</v>
      </c>
      <c r="E50" t="s">
        <v>122</v>
      </c>
      <c r="F50" s="1">
        <v>84573</v>
      </c>
      <c r="G50" s="1">
        <v>63756</v>
      </c>
      <c r="H50" s="1">
        <v>63755</v>
      </c>
      <c r="I50" s="5">
        <f>Table1[[#This Row],[ Verified Ballot Papers ]]/Table1[[#This Row],[ Electorate ]]</f>
        <v>0.75384579002755014</v>
      </c>
      <c r="J50" s="1">
        <v>63755</v>
      </c>
      <c r="K50" s="1">
        <v>63724</v>
      </c>
      <c r="L50" s="1">
        <v>26406</v>
      </c>
      <c r="M50" s="1">
        <v>37318</v>
      </c>
      <c r="N50">
        <v>31</v>
      </c>
      <c r="O50">
        <v>0</v>
      </c>
      <c r="P50">
        <v>15</v>
      </c>
      <c r="Q50">
        <v>2</v>
      </c>
      <c r="R50">
        <v>14</v>
      </c>
      <c r="S50" s="5">
        <f>Table1[[#This Row],[ Remain ]]/Table1[[#This Row],[ Valid Votes ]]</f>
        <v>0.41438076705793736</v>
      </c>
      <c r="T50" s="5">
        <f>Table1[[#This Row],[ Leave ]]/Table1[[#This Row],[ Valid Votes ]]</f>
        <v>0.58561923294206264</v>
      </c>
      <c r="U50" s="5">
        <f>Table1[[#This Row],[ Rejected Ballots ]]/Table1[[#This Row],[ Votes Cast ]]</f>
        <v>4.8623637361775547E-4</v>
      </c>
      <c r="V50" t="str">
        <f>IF(Table1[[#This Row],[Percent Leave]]&gt;Table1[[#This Row],[Percent Remain]],"Leave", "Remain")</f>
        <v>Leave</v>
      </c>
      <c r="W50">
        <v>53.726748999999998</v>
      </c>
      <c r="X50">
        <v>-2.7287099000000001</v>
      </c>
      <c r="Y50" s="1">
        <f>_xlfn.XLOOKUP(Table1[[#This Row],[Area]],Table2[Area],Table2[All Residents])</f>
        <v>109057</v>
      </c>
    </row>
    <row r="51" spans="1:25" hidden="1" x14ac:dyDescent="0.45">
      <c r="A51">
        <v>50</v>
      </c>
      <c r="B51" t="s">
        <v>47</v>
      </c>
      <c r="C51" t="s">
        <v>48</v>
      </c>
      <c r="D51" t="s">
        <v>123</v>
      </c>
      <c r="E51" t="s">
        <v>124</v>
      </c>
      <c r="F51" s="1">
        <v>85834</v>
      </c>
      <c r="G51" s="1">
        <v>63921</v>
      </c>
      <c r="H51" s="1">
        <v>63918</v>
      </c>
      <c r="I51" s="5">
        <f>Table1[[#This Row],[ Verified Ballot Papers ]]/Table1[[#This Row],[ Electorate ]]</f>
        <v>0.74466994431111211</v>
      </c>
      <c r="J51" s="1">
        <v>63918</v>
      </c>
      <c r="K51" s="1">
        <v>63869</v>
      </c>
      <c r="L51" s="1">
        <v>28546</v>
      </c>
      <c r="M51" s="1">
        <v>35323</v>
      </c>
      <c r="N51">
        <v>49</v>
      </c>
      <c r="O51">
        <v>0</v>
      </c>
      <c r="P51">
        <v>13</v>
      </c>
      <c r="Q51">
        <v>1</v>
      </c>
      <c r="R51">
        <v>35</v>
      </c>
      <c r="S51" s="5">
        <f>Table1[[#This Row],[ Remain ]]/Table1[[#This Row],[ Valid Votes ]]</f>
        <v>0.44694609278366659</v>
      </c>
      <c r="T51" s="5">
        <f>Table1[[#This Row],[ Leave ]]/Table1[[#This Row],[ Valid Votes ]]</f>
        <v>0.55305390721633341</v>
      </c>
      <c r="U51" s="5">
        <f>Table1[[#This Row],[ Rejected Ballots ]]/Table1[[#This Row],[ Votes Cast ]]</f>
        <v>7.6660721549485274E-4</v>
      </c>
      <c r="V51" t="str">
        <f>IF(Table1[[#This Row],[Percent Leave]]&gt;Table1[[#This Row],[Percent Remain]],"Leave", "Remain")</f>
        <v>Leave</v>
      </c>
      <c r="W51">
        <v>53.612831</v>
      </c>
      <c r="X51">
        <v>-2.8689301</v>
      </c>
      <c r="Y51" s="1">
        <f>_xlfn.XLOOKUP(Table1[[#This Row],[Area]],Table2[Area],Table2[All Residents])</f>
        <v>110685</v>
      </c>
    </row>
    <row r="52" spans="1:25" hidden="1" x14ac:dyDescent="0.45">
      <c r="A52">
        <v>51</v>
      </c>
      <c r="B52" t="s">
        <v>47</v>
      </c>
      <c r="C52" t="s">
        <v>48</v>
      </c>
      <c r="D52" t="s">
        <v>125</v>
      </c>
      <c r="E52" t="s">
        <v>126</v>
      </c>
      <c r="F52" s="1">
        <v>84471</v>
      </c>
      <c r="G52" s="1">
        <v>63031</v>
      </c>
      <c r="H52" s="1">
        <v>63028</v>
      </c>
      <c r="I52" s="5">
        <f>Table1[[#This Row],[ Verified Ballot Papers ]]/Table1[[#This Row],[ Electorate ]]</f>
        <v>0.74614956612328487</v>
      </c>
      <c r="J52" s="1">
        <v>63028</v>
      </c>
      <c r="K52" s="1">
        <v>62979</v>
      </c>
      <c r="L52" s="1">
        <v>22816</v>
      </c>
      <c r="M52" s="1">
        <v>40163</v>
      </c>
      <c r="N52">
        <v>49</v>
      </c>
      <c r="O52">
        <v>3</v>
      </c>
      <c r="P52">
        <v>19</v>
      </c>
      <c r="Q52">
        <v>8</v>
      </c>
      <c r="R52">
        <v>19</v>
      </c>
      <c r="S52" s="5">
        <f>Table1[[#This Row],[ Remain ]]/Table1[[#This Row],[ Valid Votes ]]</f>
        <v>0.36227948998872639</v>
      </c>
      <c r="T52" s="5">
        <f>Table1[[#This Row],[ Leave ]]/Table1[[#This Row],[ Valid Votes ]]</f>
        <v>0.63772051001127361</v>
      </c>
      <c r="U52" s="5">
        <f>Table1[[#This Row],[ Rejected Ballots ]]/Table1[[#This Row],[ Votes Cast ]]</f>
        <v>7.7743225233229676E-4</v>
      </c>
      <c r="V52" t="str">
        <f>IF(Table1[[#This Row],[Percent Leave]]&gt;Table1[[#This Row],[Percent Remain]],"Leave", "Remain")</f>
        <v>Leave</v>
      </c>
      <c r="W52">
        <v>53.899909999999998</v>
      </c>
      <c r="X52">
        <v>-2.8035901000000001</v>
      </c>
      <c r="Y52" s="1">
        <f>_xlfn.XLOOKUP(Table1[[#This Row],[Area]],Table2[Area],Table2[All Residents])</f>
        <v>107749</v>
      </c>
    </row>
    <row r="53" spans="1:25" hidden="1" x14ac:dyDescent="0.45">
      <c r="A53">
        <v>52</v>
      </c>
      <c r="B53" t="s">
        <v>127</v>
      </c>
      <c r="C53" t="s">
        <v>128</v>
      </c>
      <c r="D53" t="s">
        <v>129</v>
      </c>
      <c r="E53" t="s">
        <v>130</v>
      </c>
      <c r="F53" s="1">
        <v>175809</v>
      </c>
      <c r="G53" s="1">
        <v>122982</v>
      </c>
      <c r="H53" s="1">
        <v>122972</v>
      </c>
      <c r="I53" s="5">
        <f>Table1[[#This Row],[ Verified Ballot Papers ]]/Table1[[#This Row],[ Electorate ]]</f>
        <v>0.69946362245391303</v>
      </c>
      <c r="J53" s="1">
        <v>122972</v>
      </c>
      <c r="K53" s="1">
        <v>122909</v>
      </c>
      <c r="L53" s="1">
        <v>38951</v>
      </c>
      <c r="M53" s="1">
        <v>83958</v>
      </c>
      <c r="N53">
        <v>63</v>
      </c>
      <c r="O53">
        <v>0</v>
      </c>
      <c r="P53">
        <v>17</v>
      </c>
      <c r="Q53">
        <v>1</v>
      </c>
      <c r="R53">
        <v>45</v>
      </c>
      <c r="S53" s="5">
        <f>Table1[[#This Row],[ Remain ]]/Table1[[#This Row],[ Valid Votes ]]</f>
        <v>0.31690925806897785</v>
      </c>
      <c r="T53" s="5">
        <f>Table1[[#This Row],[ Leave ]]/Table1[[#This Row],[ Valid Votes ]]</f>
        <v>0.68309074193102215</v>
      </c>
      <c r="U53" s="5">
        <f>Table1[[#This Row],[ Rejected Ballots ]]/Table1[[#This Row],[ Votes Cast ]]</f>
        <v>5.123117457632632E-4</v>
      </c>
      <c r="V53" t="str">
        <f>IF(Table1[[#This Row],[Percent Leave]]&gt;Table1[[#This Row],[Percent Remain]],"Leave", "Remain")</f>
        <v>Leave</v>
      </c>
      <c r="W53">
        <v>53.525767999999999</v>
      </c>
      <c r="X53">
        <v>-1.54925</v>
      </c>
      <c r="Y53" s="1">
        <f>_xlfn.XLOOKUP(Table1[[#This Row],[Area]],Table2[Area],Table2[All Residents])</f>
        <v>231221</v>
      </c>
    </row>
    <row r="54" spans="1:25" hidden="1" x14ac:dyDescent="0.45">
      <c r="A54">
        <v>53</v>
      </c>
      <c r="B54" t="s">
        <v>127</v>
      </c>
      <c r="C54" t="s">
        <v>128</v>
      </c>
      <c r="D54" t="s">
        <v>131</v>
      </c>
      <c r="E54" t="s">
        <v>132</v>
      </c>
      <c r="F54" s="1">
        <v>217432</v>
      </c>
      <c r="G54" s="1">
        <v>151254</v>
      </c>
      <c r="H54" s="1">
        <v>151246</v>
      </c>
      <c r="I54" s="5">
        <f>Table1[[#This Row],[ Verified Ballot Papers ]]/Table1[[#This Row],[ Electorate ]]</f>
        <v>0.69560138342102362</v>
      </c>
      <c r="J54" s="1">
        <v>151246</v>
      </c>
      <c r="K54" s="1">
        <v>151182</v>
      </c>
      <c r="L54" s="1">
        <v>46922</v>
      </c>
      <c r="M54" s="1">
        <v>104260</v>
      </c>
      <c r="N54">
        <v>64</v>
      </c>
      <c r="O54">
        <v>0</v>
      </c>
      <c r="P54">
        <v>19</v>
      </c>
      <c r="Q54">
        <v>0</v>
      </c>
      <c r="R54">
        <v>45</v>
      </c>
      <c r="S54" s="5">
        <f>Table1[[#This Row],[ Remain ]]/Table1[[#This Row],[ Valid Votes ]]</f>
        <v>0.3103676363588258</v>
      </c>
      <c r="T54" s="5">
        <f>Table1[[#This Row],[ Leave ]]/Table1[[#This Row],[ Valid Votes ]]</f>
        <v>0.6896323636411742</v>
      </c>
      <c r="U54" s="5">
        <f>Table1[[#This Row],[ Rejected Ballots ]]/Table1[[#This Row],[ Votes Cast ]]</f>
        <v>4.2315168665617601E-4</v>
      </c>
      <c r="V54" t="str">
        <f>IF(Table1[[#This Row],[Percent Leave]]&gt;Table1[[#This Row],[Percent Remain]],"Leave", "Remain")</f>
        <v>Leave</v>
      </c>
      <c r="W54">
        <v>53.526969999999999</v>
      </c>
      <c r="X54">
        <v>-1.10894</v>
      </c>
      <c r="Y54" s="1">
        <f>_xlfn.XLOOKUP(Table1[[#This Row],[Area]],Table2[Area],Table2[All Residents])</f>
        <v>302402</v>
      </c>
    </row>
    <row r="55" spans="1:25" hidden="1" x14ac:dyDescent="0.45">
      <c r="A55">
        <v>54</v>
      </c>
      <c r="B55" t="s">
        <v>127</v>
      </c>
      <c r="C55" t="s">
        <v>128</v>
      </c>
      <c r="D55" t="s">
        <v>133</v>
      </c>
      <c r="E55" t="s">
        <v>134</v>
      </c>
      <c r="F55" s="1">
        <v>197623</v>
      </c>
      <c r="G55" s="1">
        <v>137478</v>
      </c>
      <c r="H55" s="1">
        <v>137474</v>
      </c>
      <c r="I55" s="5">
        <f>Table1[[#This Row],[ Verified Ballot Papers ]]/Table1[[#This Row],[ Electorate ]]</f>
        <v>0.69563765351199003</v>
      </c>
      <c r="J55" s="1">
        <v>137470</v>
      </c>
      <c r="K55" s="1">
        <v>137387</v>
      </c>
      <c r="L55" s="1">
        <v>44115</v>
      </c>
      <c r="M55" s="1">
        <v>93272</v>
      </c>
      <c r="N55">
        <v>83</v>
      </c>
      <c r="O55">
        <v>0</v>
      </c>
      <c r="P55">
        <v>30</v>
      </c>
      <c r="Q55">
        <v>4</v>
      </c>
      <c r="R55">
        <v>49</v>
      </c>
      <c r="S55" s="5">
        <f>Table1[[#This Row],[ Remain ]]/Table1[[#This Row],[ Valid Votes ]]</f>
        <v>0.32110024965972034</v>
      </c>
      <c r="T55" s="5">
        <f>Table1[[#This Row],[ Leave ]]/Table1[[#This Row],[ Valid Votes ]]</f>
        <v>0.67889975034027961</v>
      </c>
      <c r="U55" s="5">
        <f>Table1[[#This Row],[ Rejected Ballots ]]/Table1[[#This Row],[ Votes Cast ]]</f>
        <v>6.0376809485705968E-4</v>
      </c>
      <c r="V55" t="str">
        <f>IF(Table1[[#This Row],[Percent Leave]]&gt;Table1[[#This Row],[Percent Remain]],"Leave", "Remain")</f>
        <v>Leave</v>
      </c>
      <c r="W55">
        <v>53.395530999999998</v>
      </c>
      <c r="X55">
        <v>-1.28651</v>
      </c>
      <c r="Y55" s="1">
        <f>_xlfn.XLOOKUP(Table1[[#This Row],[Area]],Table2[Area],Table2[All Residents])</f>
        <v>257280</v>
      </c>
    </row>
    <row r="56" spans="1:25" hidden="1" x14ac:dyDescent="0.45">
      <c r="A56">
        <v>55</v>
      </c>
      <c r="B56" t="s">
        <v>127</v>
      </c>
      <c r="C56" t="s">
        <v>128</v>
      </c>
      <c r="D56" t="s">
        <v>135</v>
      </c>
      <c r="E56" t="s">
        <v>136</v>
      </c>
      <c r="F56" s="1">
        <v>396406</v>
      </c>
      <c r="G56" s="1">
        <v>266954</v>
      </c>
      <c r="H56" s="1">
        <v>266951</v>
      </c>
      <c r="I56" s="5">
        <f>Table1[[#This Row],[ Verified Ballot Papers ]]/Table1[[#This Row],[ Electorate ]]</f>
        <v>0.67342825285187413</v>
      </c>
      <c r="J56" s="1">
        <v>266951</v>
      </c>
      <c r="K56" s="1">
        <v>266753</v>
      </c>
      <c r="L56" s="1">
        <v>130735</v>
      </c>
      <c r="M56" s="1">
        <v>136018</v>
      </c>
      <c r="N56">
        <v>198</v>
      </c>
      <c r="O56">
        <v>0</v>
      </c>
      <c r="P56">
        <v>76</v>
      </c>
      <c r="Q56">
        <v>6</v>
      </c>
      <c r="R56">
        <v>116</v>
      </c>
      <c r="S56" s="5">
        <f>Table1[[#This Row],[ Remain ]]/Table1[[#This Row],[ Valid Votes ]]</f>
        <v>0.49009758090818095</v>
      </c>
      <c r="T56" s="5">
        <f>Table1[[#This Row],[ Leave ]]/Table1[[#This Row],[ Valid Votes ]]</f>
        <v>0.50990241909181899</v>
      </c>
      <c r="U56" s="5">
        <f>Table1[[#This Row],[ Rejected Ballots ]]/Table1[[#This Row],[ Votes Cast ]]</f>
        <v>7.4170915261602313E-4</v>
      </c>
      <c r="V56" t="str">
        <f>IF(Table1[[#This Row],[Percent Leave]]&gt;Table1[[#This Row],[Percent Remain]],"Leave", "Remain")</f>
        <v>Leave</v>
      </c>
      <c r="W56">
        <v>53.403579999999998</v>
      </c>
      <c r="X56">
        <v>-1.54254</v>
      </c>
      <c r="Y56" s="1">
        <f>_xlfn.XLOOKUP(Table1[[#This Row],[Area]],Table2[Area],Table2[All Residents])</f>
        <v>552698</v>
      </c>
    </row>
    <row r="57" spans="1:25" hidden="1" x14ac:dyDescent="0.45">
      <c r="A57">
        <v>56</v>
      </c>
      <c r="B57" t="s">
        <v>127</v>
      </c>
      <c r="C57" t="s">
        <v>128</v>
      </c>
      <c r="D57" t="s">
        <v>137</v>
      </c>
      <c r="E57" t="s">
        <v>138</v>
      </c>
      <c r="F57" s="1">
        <v>342817</v>
      </c>
      <c r="G57" s="1">
        <v>228729</v>
      </c>
      <c r="H57" s="1">
        <v>228729</v>
      </c>
      <c r="I57" s="5">
        <f>Table1[[#This Row],[ Verified Ballot Papers ]]/Table1[[#This Row],[ Electorate ]]</f>
        <v>0.66720436851147991</v>
      </c>
      <c r="J57" s="1">
        <v>228727</v>
      </c>
      <c r="K57" s="1">
        <v>228488</v>
      </c>
      <c r="L57" s="1">
        <v>104575</v>
      </c>
      <c r="M57" s="1">
        <v>123913</v>
      </c>
      <c r="N57">
        <v>239</v>
      </c>
      <c r="O57">
        <v>0</v>
      </c>
      <c r="P57">
        <v>121</v>
      </c>
      <c r="Q57">
        <v>5</v>
      </c>
      <c r="R57">
        <v>113</v>
      </c>
      <c r="S57" s="5">
        <f>Table1[[#This Row],[ Remain ]]/Table1[[#This Row],[ Valid Votes ]]</f>
        <v>0.45768267917789995</v>
      </c>
      <c r="T57" s="5">
        <f>Table1[[#This Row],[ Leave ]]/Table1[[#This Row],[ Valid Votes ]]</f>
        <v>0.54231732082210005</v>
      </c>
      <c r="U57" s="5">
        <f>Table1[[#This Row],[ Rejected Ballots ]]/Table1[[#This Row],[ Votes Cast ]]</f>
        <v>1.0449138055411036E-3</v>
      </c>
      <c r="V57" t="str">
        <f>IF(Table1[[#This Row],[Percent Leave]]&gt;Table1[[#This Row],[Percent Remain]],"Leave", "Remain")</f>
        <v>Leave</v>
      </c>
      <c r="W57">
        <v>53.843819000000003</v>
      </c>
      <c r="X57">
        <v>-1.8738900000000001</v>
      </c>
      <c r="Y57" s="1">
        <f>_xlfn.XLOOKUP(Table1[[#This Row],[Area]],Table2[Area],Table2[All Residents])</f>
        <v>522452</v>
      </c>
    </row>
    <row r="58" spans="1:25" hidden="1" x14ac:dyDescent="0.45">
      <c r="A58">
        <v>57</v>
      </c>
      <c r="B58" t="s">
        <v>127</v>
      </c>
      <c r="C58" t="s">
        <v>128</v>
      </c>
      <c r="D58" t="s">
        <v>139</v>
      </c>
      <c r="E58" t="s">
        <v>140</v>
      </c>
      <c r="F58" s="1">
        <v>149195</v>
      </c>
      <c r="G58" s="1">
        <v>106005</v>
      </c>
      <c r="H58" s="1">
        <v>106008</v>
      </c>
      <c r="I58" s="5">
        <f>Table1[[#This Row],[ Verified Ballot Papers ]]/Table1[[#This Row],[ Electorate ]]</f>
        <v>0.7105331948121586</v>
      </c>
      <c r="J58" s="1">
        <v>106004</v>
      </c>
      <c r="K58" s="1">
        <v>105925</v>
      </c>
      <c r="L58" s="1">
        <v>46950</v>
      </c>
      <c r="M58" s="1">
        <v>58975</v>
      </c>
      <c r="N58">
        <v>79</v>
      </c>
      <c r="O58">
        <v>0</v>
      </c>
      <c r="P58">
        <v>22</v>
      </c>
      <c r="Q58">
        <v>15</v>
      </c>
      <c r="R58">
        <v>42</v>
      </c>
      <c r="S58" s="5">
        <f>Table1[[#This Row],[ Remain ]]/Table1[[#This Row],[ Valid Votes ]]</f>
        <v>0.44323814019353314</v>
      </c>
      <c r="T58" s="5">
        <f>Table1[[#This Row],[ Leave ]]/Table1[[#This Row],[ Valid Votes ]]</f>
        <v>0.55676185980646686</v>
      </c>
      <c r="U58" s="5">
        <f>Table1[[#This Row],[ Rejected Ballots ]]/Table1[[#This Row],[ Votes Cast ]]</f>
        <v>7.4525489604165883E-4</v>
      </c>
      <c r="V58" t="str">
        <f>IF(Table1[[#This Row],[Percent Leave]]&gt;Table1[[#This Row],[Percent Remain]],"Leave", "Remain")</f>
        <v>Leave</v>
      </c>
      <c r="W58">
        <v>53.720481999999997</v>
      </c>
      <c r="X58">
        <v>-1.9618199999999999</v>
      </c>
      <c r="Y58" s="1">
        <f>_xlfn.XLOOKUP(Table1[[#This Row],[Area]],Table2[Area],Table2[All Residents])</f>
        <v>203826</v>
      </c>
    </row>
    <row r="59" spans="1:25" hidden="1" x14ac:dyDescent="0.45">
      <c r="A59">
        <v>58</v>
      </c>
      <c r="B59" t="s">
        <v>127</v>
      </c>
      <c r="C59" t="s">
        <v>128</v>
      </c>
      <c r="D59" t="s">
        <v>141</v>
      </c>
      <c r="E59" t="s">
        <v>142</v>
      </c>
      <c r="F59" s="1">
        <v>307081</v>
      </c>
      <c r="G59" s="1">
        <v>217460</v>
      </c>
      <c r="H59" s="1">
        <v>217449</v>
      </c>
      <c r="I59" s="5">
        <f>Table1[[#This Row],[ Verified Ballot Papers ]]/Table1[[#This Row],[ Electorate ]]</f>
        <v>0.70811609966100153</v>
      </c>
      <c r="J59" s="1">
        <v>217428</v>
      </c>
      <c r="K59" s="1">
        <v>217240</v>
      </c>
      <c r="L59" s="1">
        <v>98485</v>
      </c>
      <c r="M59" s="1">
        <v>118755</v>
      </c>
      <c r="N59">
        <v>188</v>
      </c>
      <c r="O59">
        <v>0</v>
      </c>
      <c r="P59">
        <v>86</v>
      </c>
      <c r="Q59">
        <v>7</v>
      </c>
      <c r="R59">
        <v>95</v>
      </c>
      <c r="S59" s="5">
        <f>Table1[[#This Row],[ Remain ]]/Table1[[#This Row],[ Valid Votes ]]</f>
        <v>0.45334652918431229</v>
      </c>
      <c r="T59" s="5">
        <f>Table1[[#This Row],[ Leave ]]/Table1[[#This Row],[ Valid Votes ]]</f>
        <v>0.54665347081568771</v>
      </c>
      <c r="U59" s="5">
        <f>Table1[[#This Row],[ Rejected Ballots ]]/Table1[[#This Row],[ Votes Cast ]]</f>
        <v>8.6465404639696816E-4</v>
      </c>
      <c r="V59" t="str">
        <f>IF(Table1[[#This Row],[Percent Leave]]&gt;Table1[[#This Row],[Percent Remain]],"Leave", "Remain")</f>
        <v>Leave</v>
      </c>
      <c r="W59">
        <v>53.642330000000001</v>
      </c>
      <c r="X59">
        <v>-1.7808501000000001</v>
      </c>
      <c r="Y59" s="1">
        <f>_xlfn.XLOOKUP(Table1[[#This Row],[Area]],Table2[Area],Table2[All Residents])</f>
        <v>422458</v>
      </c>
    </row>
    <row r="60" spans="1:25" hidden="1" x14ac:dyDescent="0.45">
      <c r="A60">
        <v>59</v>
      </c>
      <c r="B60" t="s">
        <v>127</v>
      </c>
      <c r="C60" t="s">
        <v>128</v>
      </c>
      <c r="D60" t="s">
        <v>143</v>
      </c>
      <c r="E60" t="s">
        <v>144</v>
      </c>
      <c r="F60" s="1">
        <v>543033</v>
      </c>
      <c r="G60" s="1">
        <v>387730</v>
      </c>
      <c r="H60" s="1">
        <v>387730</v>
      </c>
      <c r="I60" s="5">
        <f>Table1[[#This Row],[ Verified Ballot Papers ]]/Table1[[#This Row],[ Electorate ]]</f>
        <v>0.71400817261566052</v>
      </c>
      <c r="J60" s="1">
        <v>387677</v>
      </c>
      <c r="K60" s="1">
        <v>387337</v>
      </c>
      <c r="L60" s="1">
        <v>194863</v>
      </c>
      <c r="M60" s="1">
        <v>192474</v>
      </c>
      <c r="N60">
        <v>340</v>
      </c>
      <c r="O60">
        <v>39</v>
      </c>
      <c r="P60">
        <v>116</v>
      </c>
      <c r="Q60">
        <v>8</v>
      </c>
      <c r="R60">
        <v>177</v>
      </c>
      <c r="S60" s="5">
        <f>Table1[[#This Row],[ Remain ]]/Table1[[#This Row],[ Valid Votes ]]</f>
        <v>0.50308387786346254</v>
      </c>
      <c r="T60" s="5">
        <f>Table1[[#This Row],[ Leave ]]/Table1[[#This Row],[ Valid Votes ]]</f>
        <v>0.49691612213653741</v>
      </c>
      <c r="U60" s="5">
        <f>Table1[[#This Row],[ Rejected Ballots ]]/Table1[[#This Row],[ Votes Cast ]]</f>
        <v>8.7701875530402887E-4</v>
      </c>
      <c r="V60" t="str">
        <f>IF(Table1[[#This Row],[Percent Leave]]&gt;Table1[[#This Row],[Percent Remain]],"Leave", "Remain")</f>
        <v>Remain</v>
      </c>
      <c r="W60">
        <v>53.822730999999997</v>
      </c>
      <c r="X60">
        <v>-1.50736</v>
      </c>
      <c r="Y60" s="1">
        <f>_xlfn.XLOOKUP(Table1[[#This Row],[Area]],Table2[Area],Table2[All Residents])</f>
        <v>751485</v>
      </c>
    </row>
    <row r="61" spans="1:25" hidden="1" x14ac:dyDescent="0.45">
      <c r="A61">
        <v>60</v>
      </c>
      <c r="B61" t="s">
        <v>127</v>
      </c>
      <c r="C61" t="s">
        <v>128</v>
      </c>
      <c r="D61" t="s">
        <v>145</v>
      </c>
      <c r="E61" t="s">
        <v>146</v>
      </c>
      <c r="F61" s="1">
        <v>246096</v>
      </c>
      <c r="G61" s="1">
        <v>175261</v>
      </c>
      <c r="H61" s="1">
        <v>175259</v>
      </c>
      <c r="I61" s="5">
        <f>Table1[[#This Row],[ Verified Ballot Papers ]]/Table1[[#This Row],[ Electorate ]]</f>
        <v>0.71215704440543526</v>
      </c>
      <c r="J61" s="1">
        <v>175155</v>
      </c>
      <c r="K61" s="1">
        <v>175042</v>
      </c>
      <c r="L61" s="1">
        <v>58877</v>
      </c>
      <c r="M61" s="1">
        <v>116165</v>
      </c>
      <c r="N61">
        <v>113</v>
      </c>
      <c r="O61">
        <v>0</v>
      </c>
      <c r="P61">
        <v>46</v>
      </c>
      <c r="Q61">
        <v>4</v>
      </c>
      <c r="R61">
        <v>63</v>
      </c>
      <c r="S61" s="5">
        <f>Table1[[#This Row],[ Remain ]]/Table1[[#This Row],[ Valid Votes ]]</f>
        <v>0.33635927377429414</v>
      </c>
      <c r="T61" s="5">
        <f>Table1[[#This Row],[ Leave ]]/Table1[[#This Row],[ Valid Votes ]]</f>
        <v>0.6636407262257058</v>
      </c>
      <c r="U61" s="5">
        <f>Table1[[#This Row],[ Rejected Ballots ]]/Table1[[#This Row],[ Votes Cast ]]</f>
        <v>6.4514287345493991E-4</v>
      </c>
      <c r="V61" t="str">
        <f>IF(Table1[[#This Row],[Percent Leave]]&gt;Table1[[#This Row],[Percent Remain]],"Leave", "Remain")</f>
        <v>Leave</v>
      </c>
      <c r="W61">
        <v>53.659222</v>
      </c>
      <c r="X61">
        <v>-1.42092</v>
      </c>
      <c r="Y61" s="1">
        <f>_xlfn.XLOOKUP(Table1[[#This Row],[Area]],Table2[Area],Table2[All Residents])</f>
        <v>325837</v>
      </c>
    </row>
    <row r="62" spans="1:25" hidden="1" x14ac:dyDescent="0.45">
      <c r="A62">
        <v>61</v>
      </c>
      <c r="B62" t="s">
        <v>127</v>
      </c>
      <c r="C62" t="s">
        <v>128</v>
      </c>
      <c r="D62" t="s">
        <v>147</v>
      </c>
      <c r="E62" t="s">
        <v>148</v>
      </c>
      <c r="F62" s="1">
        <v>180230</v>
      </c>
      <c r="G62" s="1">
        <v>113439</v>
      </c>
      <c r="H62" s="1">
        <v>113439</v>
      </c>
      <c r="I62" s="5">
        <f>Table1[[#This Row],[ Verified Ballot Papers ]]/Table1[[#This Row],[ Electorate ]]</f>
        <v>0.62941241746657051</v>
      </c>
      <c r="J62" s="1">
        <v>113436</v>
      </c>
      <c r="K62" s="1">
        <v>113355</v>
      </c>
      <c r="L62" s="1">
        <v>36709</v>
      </c>
      <c r="M62" s="1">
        <v>76646</v>
      </c>
      <c r="N62">
        <v>81</v>
      </c>
      <c r="O62">
        <v>0</v>
      </c>
      <c r="P62">
        <v>23</v>
      </c>
      <c r="Q62">
        <v>4</v>
      </c>
      <c r="R62">
        <v>54</v>
      </c>
      <c r="S62" s="5">
        <f>Table1[[#This Row],[ Remain ]]/Table1[[#This Row],[ Valid Votes ]]</f>
        <v>0.32384103039124873</v>
      </c>
      <c r="T62" s="5">
        <f>Table1[[#This Row],[ Leave ]]/Table1[[#This Row],[ Valid Votes ]]</f>
        <v>0.67615896960875121</v>
      </c>
      <c r="U62" s="5">
        <f>Table1[[#This Row],[ Rejected Ballots ]]/Table1[[#This Row],[ Votes Cast ]]</f>
        <v>7.1405902887972073E-4</v>
      </c>
      <c r="V62" t="str">
        <f>IF(Table1[[#This Row],[Percent Leave]]&gt;Table1[[#This Row],[Percent Remain]],"Leave", "Remain")</f>
        <v>Leave</v>
      </c>
      <c r="W62">
        <v>53.769199</v>
      </c>
      <c r="X62">
        <v>-0.30382000999999997</v>
      </c>
      <c r="Y62" s="1">
        <f>_xlfn.XLOOKUP(Table1[[#This Row],[Area]],Table2[Area],Table2[All Residents])</f>
        <v>256406</v>
      </c>
    </row>
    <row r="63" spans="1:25" hidden="1" x14ac:dyDescent="0.45">
      <c r="A63">
        <v>62</v>
      </c>
      <c r="B63" t="s">
        <v>127</v>
      </c>
      <c r="C63" t="s">
        <v>128</v>
      </c>
      <c r="D63" t="s">
        <v>149</v>
      </c>
      <c r="E63" t="s">
        <v>150</v>
      </c>
      <c r="F63" s="1">
        <v>266047</v>
      </c>
      <c r="G63" s="1">
        <v>199056</v>
      </c>
      <c r="H63" s="1">
        <v>199039</v>
      </c>
      <c r="I63" s="5">
        <f>Table1[[#This Row],[ Verified Ballot Papers ]]/Table1[[#This Row],[ Electorate ]]</f>
        <v>0.74813472807436276</v>
      </c>
      <c r="J63" s="1">
        <v>199036</v>
      </c>
      <c r="K63" s="1">
        <v>198915</v>
      </c>
      <c r="L63" s="1">
        <v>78779</v>
      </c>
      <c r="M63" s="1">
        <v>120136</v>
      </c>
      <c r="N63">
        <v>121</v>
      </c>
      <c r="O63">
        <v>0</v>
      </c>
      <c r="P63">
        <v>36</v>
      </c>
      <c r="Q63">
        <v>3</v>
      </c>
      <c r="R63">
        <v>82</v>
      </c>
      <c r="S63" s="5">
        <f>Table1[[#This Row],[ Remain ]]/Table1[[#This Row],[ Valid Votes ]]</f>
        <v>0.39604353618379712</v>
      </c>
      <c r="T63" s="5">
        <f>Table1[[#This Row],[ Leave ]]/Table1[[#This Row],[ Valid Votes ]]</f>
        <v>0.60395646381620294</v>
      </c>
      <c r="U63" s="5">
        <f>Table1[[#This Row],[ Rejected Ballots ]]/Table1[[#This Row],[ Votes Cast ]]</f>
        <v>6.0793022367812855E-4</v>
      </c>
      <c r="V63" t="str">
        <f>IF(Table1[[#This Row],[Percent Leave]]&gt;Table1[[#This Row],[Percent Remain]],"Leave", "Remain")</f>
        <v>Leave</v>
      </c>
      <c r="W63">
        <v>53.881118999999998</v>
      </c>
      <c r="X63">
        <v>-0.66194998999999999</v>
      </c>
      <c r="Y63" s="1">
        <f>_xlfn.XLOOKUP(Table1[[#This Row],[Area]],Table2[Area],Table2[All Residents])</f>
        <v>334179</v>
      </c>
    </row>
    <row r="64" spans="1:25" hidden="1" x14ac:dyDescent="0.45">
      <c r="A64">
        <v>63</v>
      </c>
      <c r="B64" t="s">
        <v>127</v>
      </c>
      <c r="C64" t="s">
        <v>128</v>
      </c>
      <c r="D64" t="s">
        <v>151</v>
      </c>
      <c r="E64" t="s">
        <v>152</v>
      </c>
      <c r="F64" s="1">
        <v>116302</v>
      </c>
      <c r="G64" s="1">
        <v>79016</v>
      </c>
      <c r="H64" s="1">
        <v>79013</v>
      </c>
      <c r="I64" s="5">
        <f>Table1[[#This Row],[ Verified Ballot Papers ]]/Table1[[#This Row],[ Electorate ]]</f>
        <v>0.67937782669257618</v>
      </c>
      <c r="J64" s="1">
        <v>79011</v>
      </c>
      <c r="K64" s="1">
        <v>78982</v>
      </c>
      <c r="L64" s="1">
        <v>23797</v>
      </c>
      <c r="M64" s="1">
        <v>55185</v>
      </c>
      <c r="N64">
        <v>29</v>
      </c>
      <c r="O64">
        <v>1</v>
      </c>
      <c r="P64">
        <v>4</v>
      </c>
      <c r="Q64">
        <v>1</v>
      </c>
      <c r="R64">
        <v>23</v>
      </c>
      <c r="S64" s="5">
        <f>Table1[[#This Row],[ Remain ]]/Table1[[#This Row],[ Valid Votes ]]</f>
        <v>0.30129649793623864</v>
      </c>
      <c r="T64" s="5">
        <f>Table1[[#This Row],[ Leave ]]/Table1[[#This Row],[ Valid Votes ]]</f>
        <v>0.69870350206376142</v>
      </c>
      <c r="U64" s="5">
        <f>Table1[[#This Row],[ Rejected Ballots ]]/Table1[[#This Row],[ Votes Cast ]]</f>
        <v>3.6703750110744072E-4</v>
      </c>
      <c r="V64" t="str">
        <f>IF(Table1[[#This Row],[Percent Leave]]&gt;Table1[[#This Row],[Percent Remain]],"Leave", "Remain")</f>
        <v>Leave</v>
      </c>
      <c r="W64">
        <v>53.523269999999997</v>
      </c>
      <c r="X64">
        <v>-0.13911000000000001</v>
      </c>
      <c r="Y64" s="1">
        <f>_xlfn.XLOOKUP(Table1[[#This Row],[Area]],Table2[Area],Table2[All Residents])</f>
        <v>159616</v>
      </c>
    </row>
    <row r="65" spans="1:25" hidden="1" x14ac:dyDescent="0.45">
      <c r="A65">
        <v>64</v>
      </c>
      <c r="B65" t="s">
        <v>127</v>
      </c>
      <c r="C65" t="s">
        <v>128</v>
      </c>
      <c r="D65" t="s">
        <v>153</v>
      </c>
      <c r="E65" t="s">
        <v>154</v>
      </c>
      <c r="F65" s="1">
        <v>123611</v>
      </c>
      <c r="G65" s="1">
        <v>88912</v>
      </c>
      <c r="H65" s="1">
        <v>88907</v>
      </c>
      <c r="I65" s="5">
        <f>Table1[[#This Row],[ Verified Ballot Papers ]]/Table1[[#This Row],[ Electorate ]]</f>
        <v>0.71924828696475229</v>
      </c>
      <c r="J65" s="1">
        <v>88906</v>
      </c>
      <c r="K65" s="1">
        <v>88862</v>
      </c>
      <c r="L65" s="1">
        <v>29947</v>
      </c>
      <c r="M65" s="1">
        <v>58915</v>
      </c>
      <c r="N65">
        <v>44</v>
      </c>
      <c r="O65">
        <v>0</v>
      </c>
      <c r="P65">
        <v>11</v>
      </c>
      <c r="Q65">
        <v>3</v>
      </c>
      <c r="R65">
        <v>30</v>
      </c>
      <c r="S65" s="5">
        <f>Table1[[#This Row],[ Remain ]]/Table1[[#This Row],[ Valid Votes ]]</f>
        <v>0.33700569422250232</v>
      </c>
      <c r="T65" s="5">
        <f>Table1[[#This Row],[ Leave ]]/Table1[[#This Row],[ Valid Votes ]]</f>
        <v>0.66299430577749774</v>
      </c>
      <c r="U65" s="5">
        <f>Table1[[#This Row],[ Rejected Ballots ]]/Table1[[#This Row],[ Votes Cast ]]</f>
        <v>4.9490473083931344E-4</v>
      </c>
      <c r="V65" t="str">
        <f>IF(Table1[[#This Row],[Percent Leave]]&gt;Table1[[#This Row],[Percent Remain]],"Leave", "Remain")</f>
        <v>Leave</v>
      </c>
      <c r="W65">
        <v>53.58643</v>
      </c>
      <c r="X65">
        <v>-0.52407002000000003</v>
      </c>
      <c r="Y65" s="1">
        <f>_xlfn.XLOOKUP(Table1[[#This Row],[Area]],Table2[Area],Table2[All Residents])</f>
        <v>167446</v>
      </c>
    </row>
    <row r="66" spans="1:25" hidden="1" x14ac:dyDescent="0.45">
      <c r="A66">
        <v>65</v>
      </c>
      <c r="B66" t="s">
        <v>127</v>
      </c>
      <c r="C66" t="s">
        <v>128</v>
      </c>
      <c r="D66" t="s">
        <v>155</v>
      </c>
      <c r="E66" t="s">
        <v>156</v>
      </c>
      <c r="F66" s="1">
        <v>155157</v>
      </c>
      <c r="G66" s="1">
        <v>109695</v>
      </c>
      <c r="H66" s="1">
        <v>109691</v>
      </c>
      <c r="I66" s="5">
        <f>Table1[[#This Row],[ Verified Ballot Papers ]]/Table1[[#This Row],[ Electorate ]]</f>
        <v>0.70696778102180369</v>
      </c>
      <c r="J66" s="1">
        <v>109681</v>
      </c>
      <c r="K66" s="1">
        <v>109600</v>
      </c>
      <c r="L66" s="1">
        <v>63617</v>
      </c>
      <c r="M66" s="1">
        <v>45983</v>
      </c>
      <c r="N66">
        <v>81</v>
      </c>
      <c r="O66">
        <v>0</v>
      </c>
      <c r="P66">
        <v>20</v>
      </c>
      <c r="Q66">
        <v>5</v>
      </c>
      <c r="R66">
        <v>56</v>
      </c>
      <c r="S66" s="5">
        <f>Table1[[#This Row],[ Remain ]]/Table1[[#This Row],[ Valid Votes ]]</f>
        <v>0.58044708029197079</v>
      </c>
      <c r="T66" s="5">
        <f>Table1[[#This Row],[ Leave ]]/Table1[[#This Row],[ Valid Votes ]]</f>
        <v>0.41955291970802921</v>
      </c>
      <c r="U66" s="5">
        <f>Table1[[#This Row],[ Rejected Ballots ]]/Table1[[#This Row],[ Votes Cast ]]</f>
        <v>7.3850530173867851E-4</v>
      </c>
      <c r="V66" t="str">
        <f>IF(Table1[[#This Row],[Percent Leave]]&gt;Table1[[#This Row],[Percent Remain]],"Leave", "Remain")</f>
        <v>Remain</v>
      </c>
      <c r="W66">
        <v>53.965820000000001</v>
      </c>
      <c r="X66">
        <v>-1.07375</v>
      </c>
      <c r="Y66" s="1">
        <f>_xlfn.XLOOKUP(Table1[[#This Row],[Area]],Table2[Area],Table2[All Residents])</f>
        <v>198051</v>
      </c>
    </row>
    <row r="67" spans="1:25" hidden="1" x14ac:dyDescent="0.45">
      <c r="A67">
        <v>66</v>
      </c>
      <c r="B67" t="s">
        <v>127</v>
      </c>
      <c r="C67" t="s">
        <v>128</v>
      </c>
      <c r="D67" t="s">
        <v>157</v>
      </c>
      <c r="E67" t="s">
        <v>158</v>
      </c>
      <c r="F67" s="1">
        <v>44320</v>
      </c>
      <c r="G67" s="1">
        <v>35907</v>
      </c>
      <c r="H67" s="1">
        <v>35907</v>
      </c>
      <c r="I67" s="5">
        <f>Table1[[#This Row],[ Verified Ballot Papers ]]/Table1[[#This Row],[ Electorate ]]</f>
        <v>0.81017599277978336</v>
      </c>
      <c r="J67" s="1">
        <v>35907</v>
      </c>
      <c r="K67" s="1">
        <v>35891</v>
      </c>
      <c r="L67" s="1">
        <v>16930</v>
      </c>
      <c r="M67" s="1">
        <v>18961</v>
      </c>
      <c r="N67">
        <v>16</v>
      </c>
      <c r="O67">
        <v>0</v>
      </c>
      <c r="P67">
        <v>6</v>
      </c>
      <c r="Q67">
        <v>0</v>
      </c>
      <c r="R67">
        <v>10</v>
      </c>
      <c r="S67" s="5">
        <f>Table1[[#This Row],[ Remain ]]/Table1[[#This Row],[ Valid Votes ]]</f>
        <v>0.47170599871834162</v>
      </c>
      <c r="T67" s="5">
        <f>Table1[[#This Row],[ Leave ]]/Table1[[#This Row],[ Valid Votes ]]</f>
        <v>0.52829400128165838</v>
      </c>
      <c r="U67" s="5">
        <f>Table1[[#This Row],[ Rejected Ballots ]]/Table1[[#This Row],[ Votes Cast ]]</f>
        <v>4.4559556632411506E-4</v>
      </c>
      <c r="V67" t="str">
        <f>IF(Table1[[#This Row],[Percent Leave]]&gt;Table1[[#This Row],[Percent Remain]],"Leave", "Remain")</f>
        <v>Leave</v>
      </c>
      <c r="W67">
        <v>54.053761000000002</v>
      </c>
      <c r="X67">
        <v>-2.16168</v>
      </c>
      <c r="Y67" s="1">
        <f>_xlfn.XLOOKUP(Table1[[#This Row],[Area]],Table2[Area],Table2[All Residents])</f>
        <v>55409</v>
      </c>
    </row>
    <row r="68" spans="1:25" hidden="1" x14ac:dyDescent="0.45">
      <c r="A68">
        <v>67</v>
      </c>
      <c r="B68" t="s">
        <v>127</v>
      </c>
      <c r="C68" t="s">
        <v>128</v>
      </c>
      <c r="D68" t="s">
        <v>159</v>
      </c>
      <c r="E68" t="s">
        <v>160</v>
      </c>
      <c r="F68" s="1">
        <v>70133</v>
      </c>
      <c r="G68" s="1">
        <v>55016</v>
      </c>
      <c r="H68" s="1">
        <v>55016</v>
      </c>
      <c r="I68" s="5">
        <f>Table1[[#This Row],[ Verified Ballot Papers ]]/Table1[[#This Row],[ Electorate ]]</f>
        <v>0.78445239758744101</v>
      </c>
      <c r="J68" s="1">
        <v>55016</v>
      </c>
      <c r="K68" s="1">
        <v>54982</v>
      </c>
      <c r="L68" s="1">
        <v>25480</v>
      </c>
      <c r="M68" s="1">
        <v>29502</v>
      </c>
      <c r="N68">
        <v>34</v>
      </c>
      <c r="O68">
        <v>0</v>
      </c>
      <c r="P68">
        <v>18</v>
      </c>
      <c r="Q68">
        <v>1</v>
      </c>
      <c r="R68">
        <v>15</v>
      </c>
      <c r="S68" s="5">
        <f>Table1[[#This Row],[ Remain ]]/Table1[[#This Row],[ Valid Votes ]]</f>
        <v>0.46342439343785241</v>
      </c>
      <c r="T68" s="5">
        <f>Table1[[#This Row],[ Leave ]]/Table1[[#This Row],[ Valid Votes ]]</f>
        <v>0.53657560656214764</v>
      </c>
      <c r="U68" s="5">
        <f>Table1[[#This Row],[ Rejected Ballots ]]/Table1[[#This Row],[ Votes Cast ]]</f>
        <v>6.1800203577141197E-4</v>
      </c>
      <c r="V68" t="str">
        <f>IF(Table1[[#This Row],[Percent Leave]]&gt;Table1[[#This Row],[Percent Remain]],"Leave", "Remain")</f>
        <v>Leave</v>
      </c>
      <c r="W68">
        <v>54.308720000000001</v>
      </c>
      <c r="X68">
        <v>-1.34049</v>
      </c>
      <c r="Y68" s="1">
        <f>_xlfn.XLOOKUP(Table1[[#This Row],[Area]],Table2[Area],Table2[All Residents])</f>
        <v>89140</v>
      </c>
    </row>
    <row r="69" spans="1:25" hidden="1" x14ac:dyDescent="0.45">
      <c r="A69">
        <v>68</v>
      </c>
      <c r="B69" t="s">
        <v>127</v>
      </c>
      <c r="C69" t="s">
        <v>128</v>
      </c>
      <c r="D69" t="s">
        <v>161</v>
      </c>
      <c r="E69" t="s">
        <v>162</v>
      </c>
      <c r="F69" s="1">
        <v>119987</v>
      </c>
      <c r="G69" s="1">
        <v>94669</v>
      </c>
      <c r="H69" s="1">
        <v>94665</v>
      </c>
      <c r="I69" s="5">
        <f>Table1[[#This Row],[ Verified Ballot Papers ]]/Table1[[#This Row],[ Electorate ]]</f>
        <v>0.78896047071766107</v>
      </c>
      <c r="J69" s="1">
        <v>94653</v>
      </c>
      <c r="K69" s="1">
        <v>94585</v>
      </c>
      <c r="L69" s="1">
        <v>48211</v>
      </c>
      <c r="M69" s="1">
        <v>46374</v>
      </c>
      <c r="N69">
        <v>68</v>
      </c>
      <c r="O69">
        <v>2</v>
      </c>
      <c r="P69">
        <v>25</v>
      </c>
      <c r="Q69">
        <v>3</v>
      </c>
      <c r="R69">
        <v>38</v>
      </c>
      <c r="S69" s="5">
        <f>Table1[[#This Row],[ Remain ]]/Table1[[#This Row],[ Valid Votes ]]</f>
        <v>0.50971084209969864</v>
      </c>
      <c r="T69" s="5">
        <f>Table1[[#This Row],[ Leave ]]/Table1[[#This Row],[ Valid Votes ]]</f>
        <v>0.49028915790030131</v>
      </c>
      <c r="U69" s="5">
        <f>Table1[[#This Row],[ Rejected Ballots ]]/Table1[[#This Row],[ Votes Cast ]]</f>
        <v>7.1841357379058242E-4</v>
      </c>
      <c r="V69" t="str">
        <f>IF(Table1[[#This Row],[Percent Leave]]&gt;Table1[[#This Row],[Percent Remain]],"Leave", "Remain")</f>
        <v>Remain</v>
      </c>
      <c r="W69">
        <v>54.077080000000002</v>
      </c>
      <c r="X69">
        <v>-1.58161</v>
      </c>
      <c r="Y69" s="1">
        <f>_xlfn.XLOOKUP(Table1[[#This Row],[Area]],Table2[Area],Table2[All Residents])</f>
        <v>157869</v>
      </c>
    </row>
    <row r="70" spans="1:25" hidden="1" x14ac:dyDescent="0.45">
      <c r="A70">
        <v>69</v>
      </c>
      <c r="B70" t="s">
        <v>127</v>
      </c>
      <c r="C70" t="s">
        <v>128</v>
      </c>
      <c r="D70" t="s">
        <v>163</v>
      </c>
      <c r="E70" t="s">
        <v>164</v>
      </c>
      <c r="F70" s="1">
        <v>36794</v>
      </c>
      <c r="G70" s="1">
        <v>27652</v>
      </c>
      <c r="H70" s="1">
        <v>27652</v>
      </c>
      <c r="I70" s="5">
        <f>Table1[[#This Row],[ Verified Ballot Papers ]]/Table1[[#This Row],[ Electorate ]]</f>
        <v>0.75153557645268254</v>
      </c>
      <c r="J70" s="1">
        <v>27652</v>
      </c>
      <c r="K70" s="1">
        <v>27636</v>
      </c>
      <c r="L70" s="1">
        <v>11945</v>
      </c>
      <c r="M70" s="1">
        <v>15691</v>
      </c>
      <c r="N70">
        <v>16</v>
      </c>
      <c r="O70">
        <v>0</v>
      </c>
      <c r="P70">
        <v>6</v>
      </c>
      <c r="Q70">
        <v>0</v>
      </c>
      <c r="R70">
        <v>10</v>
      </c>
      <c r="S70" s="5">
        <f>Table1[[#This Row],[ Remain ]]/Table1[[#This Row],[ Valid Votes ]]</f>
        <v>0.43222608192213058</v>
      </c>
      <c r="T70" s="5">
        <f>Table1[[#This Row],[ Leave ]]/Table1[[#This Row],[ Valid Votes ]]</f>
        <v>0.56777391807786948</v>
      </c>
      <c r="U70" s="5">
        <f>Table1[[#This Row],[ Rejected Ballots ]]/Table1[[#This Row],[ Votes Cast ]]</f>
        <v>5.7861999132070017E-4</v>
      </c>
      <c r="V70" t="str">
        <f>IF(Table1[[#This Row],[Percent Leave]]&gt;Table1[[#This Row],[Percent Remain]],"Leave", "Remain")</f>
        <v>Leave</v>
      </c>
      <c r="W70">
        <v>54.357608999999997</v>
      </c>
      <c r="X70">
        <v>-1.98552</v>
      </c>
      <c r="Y70" s="1">
        <f>_xlfn.XLOOKUP(Table1[[#This Row],[Area]],Table2[Area],Table2[All Residents])</f>
        <v>51965</v>
      </c>
    </row>
    <row r="71" spans="1:25" hidden="1" x14ac:dyDescent="0.45">
      <c r="A71">
        <v>70</v>
      </c>
      <c r="B71" t="s">
        <v>127</v>
      </c>
      <c r="C71" t="s">
        <v>128</v>
      </c>
      <c r="D71" t="s">
        <v>165</v>
      </c>
      <c r="E71" t="s">
        <v>166</v>
      </c>
      <c r="F71" s="1">
        <v>41529</v>
      </c>
      <c r="G71" s="1">
        <v>32069</v>
      </c>
      <c r="H71" s="1">
        <v>32069</v>
      </c>
      <c r="I71" s="5">
        <f>Table1[[#This Row],[ Verified Ballot Papers ]]/Table1[[#This Row],[ Electorate ]]</f>
        <v>0.77220737316092369</v>
      </c>
      <c r="J71" s="1">
        <v>32069</v>
      </c>
      <c r="K71" s="1">
        <v>32050</v>
      </c>
      <c r="L71" s="1">
        <v>14340</v>
      </c>
      <c r="M71" s="1">
        <v>17710</v>
      </c>
      <c r="N71">
        <v>19</v>
      </c>
      <c r="O71">
        <v>0</v>
      </c>
      <c r="P71">
        <v>5</v>
      </c>
      <c r="Q71">
        <v>2</v>
      </c>
      <c r="R71">
        <v>12</v>
      </c>
      <c r="S71" s="5">
        <f>Table1[[#This Row],[ Remain ]]/Table1[[#This Row],[ Valid Votes ]]</f>
        <v>0.44742589703588143</v>
      </c>
      <c r="T71" s="5">
        <f>Table1[[#This Row],[ Leave ]]/Table1[[#This Row],[ Valid Votes ]]</f>
        <v>0.55257410296411857</v>
      </c>
      <c r="U71" s="5">
        <f>Table1[[#This Row],[ Rejected Ballots ]]/Table1[[#This Row],[ Votes Cast ]]</f>
        <v>5.9247248121238583E-4</v>
      </c>
      <c r="V71" t="str">
        <f>IF(Table1[[#This Row],[Percent Leave]]&gt;Table1[[#This Row],[Percent Remain]],"Leave", "Remain")</f>
        <v>Leave</v>
      </c>
      <c r="W71">
        <v>54.200211000000003</v>
      </c>
      <c r="X71">
        <v>-0.84276998000000003</v>
      </c>
      <c r="Y71" s="1">
        <f>_xlfn.XLOOKUP(Table1[[#This Row],[Area]],Table2[Area],Table2[All Residents])</f>
        <v>51751</v>
      </c>
    </row>
    <row r="72" spans="1:25" hidden="1" x14ac:dyDescent="0.45">
      <c r="A72">
        <v>71</v>
      </c>
      <c r="B72" t="s">
        <v>127</v>
      </c>
      <c r="C72" t="s">
        <v>128</v>
      </c>
      <c r="D72" t="s">
        <v>167</v>
      </c>
      <c r="E72" t="s">
        <v>168</v>
      </c>
      <c r="F72" s="1">
        <v>82900</v>
      </c>
      <c r="G72" s="1">
        <v>60540</v>
      </c>
      <c r="H72" s="1">
        <v>60539</v>
      </c>
      <c r="I72" s="5">
        <f>Table1[[#This Row],[ Verified Ballot Papers ]]/Table1[[#This Row],[ Electorate ]]</f>
        <v>0.7302653799758746</v>
      </c>
      <c r="J72" s="1">
        <v>60539</v>
      </c>
      <c r="K72" s="1">
        <v>60511</v>
      </c>
      <c r="L72" s="1">
        <v>22999</v>
      </c>
      <c r="M72" s="1">
        <v>37512</v>
      </c>
      <c r="N72">
        <v>28</v>
      </c>
      <c r="O72">
        <v>0</v>
      </c>
      <c r="P72">
        <v>6</v>
      </c>
      <c r="Q72">
        <v>0</v>
      </c>
      <c r="R72">
        <v>22</v>
      </c>
      <c r="S72" s="5">
        <f>Table1[[#This Row],[ Remain ]]/Table1[[#This Row],[ Valid Votes ]]</f>
        <v>0.38007965493877144</v>
      </c>
      <c r="T72" s="5">
        <f>Table1[[#This Row],[ Leave ]]/Table1[[#This Row],[ Valid Votes ]]</f>
        <v>0.61992034506122851</v>
      </c>
      <c r="U72" s="5">
        <f>Table1[[#This Row],[ Rejected Ballots ]]/Table1[[#This Row],[ Votes Cast ]]</f>
        <v>4.6251176927270026E-4</v>
      </c>
      <c r="V72" t="str">
        <f>IF(Table1[[#This Row],[Percent Leave]]&gt;Table1[[#This Row],[Percent Remain]],"Leave", "Remain")</f>
        <v>Leave</v>
      </c>
      <c r="W72">
        <v>54.346499999999999</v>
      </c>
      <c r="X72">
        <v>-0.52778000000000003</v>
      </c>
      <c r="Y72" s="1">
        <f>_xlfn.XLOOKUP(Table1[[#This Row],[Area]],Table2[Area],Table2[All Residents])</f>
        <v>108793</v>
      </c>
    </row>
    <row r="73" spans="1:25" hidden="1" x14ac:dyDescent="0.45">
      <c r="A73">
        <v>72</v>
      </c>
      <c r="B73" t="s">
        <v>127</v>
      </c>
      <c r="C73" t="s">
        <v>128</v>
      </c>
      <c r="D73" t="s">
        <v>169</v>
      </c>
      <c r="E73" t="s">
        <v>170</v>
      </c>
      <c r="F73" s="1">
        <v>65278</v>
      </c>
      <c r="G73" s="1">
        <v>51641</v>
      </c>
      <c r="H73" s="1">
        <v>51639</v>
      </c>
      <c r="I73" s="5">
        <f>Table1[[#This Row],[ Verified Ballot Papers ]]/Table1[[#This Row],[ Electorate ]]</f>
        <v>0.79106283893501639</v>
      </c>
      <c r="J73" s="1">
        <v>51636</v>
      </c>
      <c r="K73" s="1">
        <v>51603</v>
      </c>
      <c r="L73" s="1">
        <v>21071</v>
      </c>
      <c r="M73" s="1">
        <v>30532</v>
      </c>
      <c r="N73">
        <v>33</v>
      </c>
      <c r="O73">
        <v>0</v>
      </c>
      <c r="P73">
        <v>7</v>
      </c>
      <c r="Q73">
        <v>2</v>
      </c>
      <c r="R73">
        <v>24</v>
      </c>
      <c r="S73" s="5">
        <f>Table1[[#This Row],[ Remain ]]/Table1[[#This Row],[ Valid Votes ]]</f>
        <v>0.40832897312171773</v>
      </c>
      <c r="T73" s="5">
        <f>Table1[[#This Row],[ Leave ]]/Table1[[#This Row],[ Valid Votes ]]</f>
        <v>0.59167102687828232</v>
      </c>
      <c r="U73" s="5">
        <f>Table1[[#This Row],[ Rejected Ballots ]]/Table1[[#This Row],[ Votes Cast ]]</f>
        <v>6.3908900766906809E-4</v>
      </c>
      <c r="V73" t="str">
        <f>IF(Table1[[#This Row],[Percent Leave]]&gt;Table1[[#This Row],[Percent Remain]],"Leave", "Remain")</f>
        <v>Leave</v>
      </c>
      <c r="W73">
        <v>53.733269</v>
      </c>
      <c r="X73">
        <v>-1.1290800999999999</v>
      </c>
      <c r="Y73" s="1">
        <f>_xlfn.XLOOKUP(Table1[[#This Row],[Area]],Table2[Area],Table2[All Residents])</f>
        <v>83449</v>
      </c>
    </row>
    <row r="74" spans="1:25" hidden="1" x14ac:dyDescent="0.45">
      <c r="A74">
        <v>73</v>
      </c>
      <c r="B74" t="s">
        <v>171</v>
      </c>
      <c r="C74" t="s">
        <v>172</v>
      </c>
      <c r="D74" t="s">
        <v>173</v>
      </c>
      <c r="E74" t="s">
        <v>174</v>
      </c>
      <c r="F74" s="1">
        <v>171246</v>
      </c>
      <c r="G74" s="1">
        <v>120807</v>
      </c>
      <c r="H74" s="1">
        <v>120798</v>
      </c>
      <c r="I74" s="5">
        <f>Table1[[#This Row],[ Verified Ballot Papers ]]/Table1[[#This Row],[ Electorate ]]</f>
        <v>0.70540625766441256</v>
      </c>
      <c r="J74" s="1">
        <v>120772</v>
      </c>
      <c r="K74" s="1">
        <v>120655</v>
      </c>
      <c r="L74" s="1">
        <v>51612</v>
      </c>
      <c r="M74" s="1">
        <v>69043</v>
      </c>
      <c r="N74">
        <v>117</v>
      </c>
      <c r="O74">
        <v>0</v>
      </c>
      <c r="P74">
        <v>41</v>
      </c>
      <c r="Q74">
        <v>10</v>
      </c>
      <c r="R74">
        <v>66</v>
      </c>
      <c r="S74" s="5">
        <f>Table1[[#This Row],[ Remain ]]/Table1[[#This Row],[ Valid Votes ]]</f>
        <v>0.42776511541171108</v>
      </c>
      <c r="T74" s="5">
        <f>Table1[[#This Row],[ Leave ]]/Table1[[#This Row],[ Valid Votes ]]</f>
        <v>0.57223488458828897</v>
      </c>
      <c r="U74" s="5">
        <f>Table1[[#This Row],[ Rejected Ballots ]]/Table1[[#This Row],[ Votes Cast ]]</f>
        <v>9.6876759513794591E-4</v>
      </c>
      <c r="V74" t="str">
        <f>IF(Table1[[#This Row],[Percent Leave]]&gt;Table1[[#This Row],[Percent Remain]],"Leave", "Remain")</f>
        <v>Leave</v>
      </c>
      <c r="W74">
        <v>52.914639000000001</v>
      </c>
      <c r="X74">
        <v>-1.4718899999999999</v>
      </c>
      <c r="Y74" s="1">
        <f>_xlfn.XLOOKUP(Table1[[#This Row],[Area]],Table2[Area],Table2[All Residents])</f>
        <v>248752</v>
      </c>
    </row>
    <row r="75" spans="1:25" hidden="1" x14ac:dyDescent="0.45">
      <c r="A75">
        <v>74</v>
      </c>
      <c r="B75" t="s">
        <v>171</v>
      </c>
      <c r="C75" t="s">
        <v>172</v>
      </c>
      <c r="D75" t="s">
        <v>175</v>
      </c>
      <c r="E75" t="s">
        <v>176</v>
      </c>
      <c r="F75" s="1">
        <v>213819</v>
      </c>
      <c r="G75" s="1">
        <v>139319</v>
      </c>
      <c r="H75" s="1">
        <v>139309</v>
      </c>
      <c r="I75" s="5">
        <f>Table1[[#This Row],[ Verified Ballot Papers ]]/Table1[[#This Row],[ Electorate ]]</f>
        <v>0.65152769398416421</v>
      </c>
      <c r="J75" s="1">
        <v>139307</v>
      </c>
      <c r="K75" s="1">
        <v>138972</v>
      </c>
      <c r="L75" s="1">
        <v>70980</v>
      </c>
      <c r="M75" s="1">
        <v>67992</v>
      </c>
      <c r="N75">
        <v>335</v>
      </c>
      <c r="O75">
        <v>0</v>
      </c>
      <c r="P75">
        <v>154</v>
      </c>
      <c r="Q75">
        <v>8</v>
      </c>
      <c r="R75">
        <v>173</v>
      </c>
      <c r="S75" s="5">
        <f>Table1[[#This Row],[ Remain ]]/Table1[[#This Row],[ Valid Votes ]]</f>
        <v>0.51075036698039888</v>
      </c>
      <c r="T75" s="5">
        <f>Table1[[#This Row],[ Leave ]]/Table1[[#This Row],[ Valid Votes ]]</f>
        <v>0.48924963301960106</v>
      </c>
      <c r="U75" s="5">
        <f>Table1[[#This Row],[ Rejected Ballots ]]/Table1[[#This Row],[ Votes Cast ]]</f>
        <v>2.4047607083635424E-3</v>
      </c>
      <c r="V75" t="str">
        <f>IF(Table1[[#This Row],[Percent Leave]]&gt;Table1[[#This Row],[Percent Remain]],"Leave", "Remain")</f>
        <v>Remain</v>
      </c>
      <c r="W75">
        <v>52.635921000000003</v>
      </c>
      <c r="X75">
        <v>-1.1303999</v>
      </c>
      <c r="Y75" s="1">
        <f>_xlfn.XLOOKUP(Table1[[#This Row],[Area]],Table2[Area],Table2[All Residents])</f>
        <v>329839</v>
      </c>
    </row>
    <row r="76" spans="1:25" hidden="1" x14ac:dyDescent="0.45">
      <c r="A76">
        <v>75</v>
      </c>
      <c r="B76" t="s">
        <v>171</v>
      </c>
      <c r="C76" t="s">
        <v>172</v>
      </c>
      <c r="D76" t="s">
        <v>177</v>
      </c>
      <c r="E76" t="s">
        <v>178</v>
      </c>
      <c r="F76" s="1">
        <v>29390</v>
      </c>
      <c r="G76" s="1">
        <v>22989</v>
      </c>
      <c r="H76" s="1">
        <v>22986</v>
      </c>
      <c r="I76" s="5">
        <f>Table1[[#This Row],[ Verified Ballot Papers ]]/Table1[[#This Row],[ Electorate ]]</f>
        <v>0.78210275603946922</v>
      </c>
      <c r="J76" s="1">
        <v>22984</v>
      </c>
      <c r="K76" s="1">
        <v>22966</v>
      </c>
      <c r="L76" s="1">
        <v>11353</v>
      </c>
      <c r="M76" s="1">
        <v>11613</v>
      </c>
      <c r="N76">
        <v>18</v>
      </c>
      <c r="O76">
        <v>0</v>
      </c>
      <c r="P76">
        <v>9</v>
      </c>
      <c r="Q76">
        <v>2</v>
      </c>
      <c r="R76">
        <v>7</v>
      </c>
      <c r="S76" s="5">
        <f>Table1[[#This Row],[ Remain ]]/Table1[[#This Row],[ Valid Votes ]]</f>
        <v>0.49433945832970477</v>
      </c>
      <c r="T76" s="5">
        <f>Table1[[#This Row],[ Leave ]]/Table1[[#This Row],[ Valid Votes ]]</f>
        <v>0.50566054167029517</v>
      </c>
      <c r="U76" s="5">
        <f>Table1[[#This Row],[ Rejected Ballots ]]/Table1[[#This Row],[ Votes Cast ]]</f>
        <v>7.831534980856248E-4</v>
      </c>
      <c r="V76" t="str">
        <f>IF(Table1[[#This Row],[Percent Leave]]&gt;Table1[[#This Row],[Percent Remain]],"Leave", "Remain")</f>
        <v>Leave</v>
      </c>
      <c r="W76">
        <v>52.667648</v>
      </c>
      <c r="X76">
        <v>-0.62629997999999998</v>
      </c>
      <c r="Y76" s="1">
        <f>_xlfn.XLOOKUP(Table1[[#This Row],[Area]],Table2[Area],Table2[All Residents])</f>
        <v>37369</v>
      </c>
    </row>
    <row r="77" spans="1:25" hidden="1" x14ac:dyDescent="0.45">
      <c r="A77">
        <v>76</v>
      </c>
      <c r="B77" t="s">
        <v>171</v>
      </c>
      <c r="C77" t="s">
        <v>172</v>
      </c>
      <c r="D77" t="s">
        <v>179</v>
      </c>
      <c r="E77" t="s">
        <v>180</v>
      </c>
      <c r="F77" s="1">
        <v>195394</v>
      </c>
      <c r="G77" s="1">
        <v>120792</v>
      </c>
      <c r="H77" s="1">
        <v>120792</v>
      </c>
      <c r="I77" s="5">
        <f>Table1[[#This Row],[ Verified Ballot Papers ]]/Table1[[#This Row],[ Electorate ]]</f>
        <v>0.61819707872299046</v>
      </c>
      <c r="J77" s="1">
        <v>120791</v>
      </c>
      <c r="K77" s="1">
        <v>120661</v>
      </c>
      <c r="L77" s="1">
        <v>59318</v>
      </c>
      <c r="M77" s="1">
        <v>61343</v>
      </c>
      <c r="N77">
        <v>130</v>
      </c>
      <c r="O77">
        <v>0</v>
      </c>
      <c r="P77">
        <v>47</v>
      </c>
      <c r="Q77">
        <v>4</v>
      </c>
      <c r="R77">
        <v>79</v>
      </c>
      <c r="S77" s="5">
        <f>Table1[[#This Row],[ Remain ]]/Table1[[#This Row],[ Valid Votes ]]</f>
        <v>0.49160872195655597</v>
      </c>
      <c r="T77" s="5">
        <f>Table1[[#This Row],[ Leave ]]/Table1[[#This Row],[ Valid Votes ]]</f>
        <v>0.50839127804344408</v>
      </c>
      <c r="U77" s="5">
        <f>Table1[[#This Row],[ Rejected Ballots ]]/Table1[[#This Row],[ Votes Cast ]]</f>
        <v>1.0762391237757779E-3</v>
      </c>
      <c r="V77" t="str">
        <f>IF(Table1[[#This Row],[Percent Leave]]&gt;Table1[[#This Row],[Percent Remain]],"Leave", "Remain")</f>
        <v>Leave</v>
      </c>
      <c r="W77">
        <v>52.954189</v>
      </c>
      <c r="X77">
        <v>-1.1666700000000001</v>
      </c>
      <c r="Y77" s="1">
        <f>_xlfn.XLOOKUP(Table1[[#This Row],[Area]],Table2[Area],Table2[All Residents])</f>
        <v>305680</v>
      </c>
    </row>
    <row r="78" spans="1:25" hidden="1" x14ac:dyDescent="0.45">
      <c r="A78">
        <v>77</v>
      </c>
      <c r="B78" t="s">
        <v>171</v>
      </c>
      <c r="C78" t="s">
        <v>172</v>
      </c>
      <c r="D78" t="s">
        <v>181</v>
      </c>
      <c r="E78" t="s">
        <v>182</v>
      </c>
      <c r="F78" s="1">
        <v>96760</v>
      </c>
      <c r="G78" s="1">
        <v>73870</v>
      </c>
      <c r="H78" s="1">
        <v>73868</v>
      </c>
      <c r="I78" s="5">
        <f>Table1[[#This Row],[ Verified Ballot Papers ]]/Table1[[#This Row],[ Electorate ]]</f>
        <v>0.76341463414634148</v>
      </c>
      <c r="J78" s="1">
        <v>73864</v>
      </c>
      <c r="K78" s="1">
        <v>73820</v>
      </c>
      <c r="L78" s="1">
        <v>29319</v>
      </c>
      <c r="M78" s="1">
        <v>44501</v>
      </c>
      <c r="N78">
        <v>44</v>
      </c>
      <c r="O78">
        <v>0</v>
      </c>
      <c r="P78">
        <v>7</v>
      </c>
      <c r="Q78">
        <v>1</v>
      </c>
      <c r="R78">
        <v>36</v>
      </c>
      <c r="S78" s="5">
        <f>Table1[[#This Row],[ Remain ]]/Table1[[#This Row],[ Valid Votes ]]</f>
        <v>0.39716878894608509</v>
      </c>
      <c r="T78" s="5">
        <f>Table1[[#This Row],[ Leave ]]/Table1[[#This Row],[ Valid Votes ]]</f>
        <v>0.60283121105391491</v>
      </c>
      <c r="U78" s="5">
        <f>Table1[[#This Row],[ Rejected Ballots ]]/Table1[[#This Row],[ Votes Cast ]]</f>
        <v>5.9568937506769201E-4</v>
      </c>
      <c r="V78" t="str">
        <f>IF(Table1[[#This Row],[Percent Leave]]&gt;Table1[[#This Row],[Percent Remain]],"Leave", "Remain")</f>
        <v>Leave</v>
      </c>
      <c r="W78">
        <v>53.028838999999998</v>
      </c>
      <c r="X78">
        <v>-1.4621900000000001</v>
      </c>
      <c r="Y78" s="1">
        <f>_xlfn.XLOOKUP(Table1[[#This Row],[Area]],Table2[Area],Table2[All Residents])</f>
        <v>122309</v>
      </c>
    </row>
    <row r="79" spans="1:25" hidden="1" x14ac:dyDescent="0.45">
      <c r="A79">
        <v>78</v>
      </c>
      <c r="B79" t="s">
        <v>171</v>
      </c>
      <c r="C79" t="s">
        <v>172</v>
      </c>
      <c r="D79" t="s">
        <v>183</v>
      </c>
      <c r="E79" t="s">
        <v>184</v>
      </c>
      <c r="F79" s="1">
        <v>58063</v>
      </c>
      <c r="G79" s="1">
        <v>41999</v>
      </c>
      <c r="H79" s="1">
        <v>42000</v>
      </c>
      <c r="I79" s="5">
        <f>Table1[[#This Row],[ Verified Ballot Papers ]]/Table1[[#This Row],[ Electorate ]]</f>
        <v>0.72335222086354478</v>
      </c>
      <c r="J79" s="1">
        <v>41999</v>
      </c>
      <c r="K79" s="1">
        <v>41972</v>
      </c>
      <c r="L79" s="1">
        <v>12242</v>
      </c>
      <c r="M79" s="1">
        <v>29730</v>
      </c>
      <c r="N79">
        <v>27</v>
      </c>
      <c r="O79">
        <v>0</v>
      </c>
      <c r="P79">
        <v>5</v>
      </c>
      <c r="Q79">
        <v>1</v>
      </c>
      <c r="R79">
        <v>21</v>
      </c>
      <c r="S79" s="5">
        <f>Table1[[#This Row],[ Remain ]]/Table1[[#This Row],[ Valid Votes ]]</f>
        <v>0.2916706375679024</v>
      </c>
      <c r="T79" s="5">
        <f>Table1[[#This Row],[ Leave ]]/Table1[[#This Row],[ Valid Votes ]]</f>
        <v>0.70832936243209754</v>
      </c>
      <c r="U79" s="5">
        <f>Table1[[#This Row],[ Rejected Ballots ]]/Table1[[#This Row],[ Votes Cast ]]</f>
        <v>6.4287244934403199E-4</v>
      </c>
      <c r="V79" t="str">
        <f>IF(Table1[[#This Row],[Percent Leave]]&gt;Table1[[#This Row],[Percent Remain]],"Leave", "Remain")</f>
        <v>Leave</v>
      </c>
      <c r="W79">
        <v>53.238750000000003</v>
      </c>
      <c r="X79">
        <v>-1.2722800000000001</v>
      </c>
      <c r="Y79" s="1">
        <f>_xlfn.XLOOKUP(Table1[[#This Row],[Area]],Table2[Area],Table2[All Residents])</f>
        <v>75866</v>
      </c>
    </row>
    <row r="80" spans="1:25" hidden="1" x14ac:dyDescent="0.45">
      <c r="A80">
        <v>79</v>
      </c>
      <c r="B80" t="s">
        <v>171</v>
      </c>
      <c r="C80" t="s">
        <v>172</v>
      </c>
      <c r="D80" t="s">
        <v>185</v>
      </c>
      <c r="E80" t="s">
        <v>186</v>
      </c>
      <c r="F80" s="1">
        <v>79905</v>
      </c>
      <c r="G80" s="1">
        <v>57472</v>
      </c>
      <c r="H80" s="1">
        <v>57470</v>
      </c>
      <c r="I80" s="5">
        <f>Table1[[#This Row],[ Verified Ballot Papers ]]/Table1[[#This Row],[ Electorate ]]</f>
        <v>0.7192290845378887</v>
      </c>
      <c r="J80" s="1">
        <v>57470</v>
      </c>
      <c r="K80" s="1">
        <v>57424</v>
      </c>
      <c r="L80" s="1">
        <v>22946</v>
      </c>
      <c r="M80" s="1">
        <v>34478</v>
      </c>
      <c r="N80">
        <v>46</v>
      </c>
      <c r="O80">
        <v>0</v>
      </c>
      <c r="P80">
        <v>16</v>
      </c>
      <c r="Q80">
        <v>2</v>
      </c>
      <c r="R80">
        <v>28</v>
      </c>
      <c r="S80" s="5">
        <f>Table1[[#This Row],[ Remain ]]/Table1[[#This Row],[ Valid Votes ]]</f>
        <v>0.39958902201170243</v>
      </c>
      <c r="T80" s="5">
        <f>Table1[[#This Row],[ Leave ]]/Table1[[#This Row],[ Valid Votes ]]</f>
        <v>0.60041097798829757</v>
      </c>
      <c r="U80" s="5">
        <f>Table1[[#This Row],[ Rejected Ballots ]]/Table1[[#This Row],[ Votes Cast ]]</f>
        <v>8.0041760918740212E-4</v>
      </c>
      <c r="V80" t="str">
        <f>IF(Table1[[#This Row],[Percent Leave]]&gt;Table1[[#This Row],[Percent Remain]],"Leave", "Remain")</f>
        <v>Leave</v>
      </c>
      <c r="W80">
        <v>53.255749000000002</v>
      </c>
      <c r="X80">
        <v>-1.4011499999999999</v>
      </c>
      <c r="Y80" s="1">
        <f>_xlfn.XLOOKUP(Table1[[#This Row],[Area]],Table2[Area],Table2[All Residents])</f>
        <v>103788</v>
      </c>
    </row>
    <row r="81" spans="1:25" hidden="1" x14ac:dyDescent="0.45">
      <c r="A81">
        <v>80</v>
      </c>
      <c r="B81" t="s">
        <v>171</v>
      </c>
      <c r="C81" t="s">
        <v>172</v>
      </c>
      <c r="D81" t="s">
        <v>187</v>
      </c>
      <c r="E81" t="s">
        <v>188</v>
      </c>
      <c r="F81" s="1">
        <v>57075</v>
      </c>
      <c r="G81" s="1">
        <v>46756</v>
      </c>
      <c r="H81" s="1">
        <v>46756</v>
      </c>
      <c r="I81" s="5">
        <f>Table1[[#This Row],[ Verified Ballot Papers ]]/Table1[[#This Row],[ Electorate ]]</f>
        <v>0.81920280332895312</v>
      </c>
      <c r="J81" s="1">
        <v>46756</v>
      </c>
      <c r="K81" s="1">
        <v>46728</v>
      </c>
      <c r="L81" s="1">
        <v>22633</v>
      </c>
      <c r="M81" s="1">
        <v>24095</v>
      </c>
      <c r="N81">
        <v>28</v>
      </c>
      <c r="O81">
        <v>0</v>
      </c>
      <c r="P81">
        <v>5</v>
      </c>
      <c r="Q81">
        <v>0</v>
      </c>
      <c r="R81">
        <v>23</v>
      </c>
      <c r="S81" s="5">
        <f>Table1[[#This Row],[ Remain ]]/Table1[[#This Row],[ Valid Votes ]]</f>
        <v>0.48435627461051189</v>
      </c>
      <c r="T81" s="5">
        <f>Table1[[#This Row],[ Leave ]]/Table1[[#This Row],[ Valid Votes ]]</f>
        <v>0.51564372538948811</v>
      </c>
      <c r="U81" s="5">
        <f>Table1[[#This Row],[ Rejected Ballots ]]/Table1[[#This Row],[ Votes Cast ]]</f>
        <v>5.988536230644195E-4</v>
      </c>
      <c r="V81" t="str">
        <f>IF(Table1[[#This Row],[Percent Leave]]&gt;Table1[[#This Row],[Percent Remain]],"Leave", "Remain")</f>
        <v>Leave</v>
      </c>
      <c r="W81">
        <v>53.123260000000002</v>
      </c>
      <c r="X81">
        <v>-1.7071099999999999</v>
      </c>
      <c r="Y81" s="1">
        <f>_xlfn.XLOOKUP(Table1[[#This Row],[Area]],Table2[Area],Table2[All Residents])</f>
        <v>71116</v>
      </c>
    </row>
    <row r="82" spans="1:25" hidden="1" x14ac:dyDescent="0.45">
      <c r="A82">
        <v>81</v>
      </c>
      <c r="B82" t="s">
        <v>171</v>
      </c>
      <c r="C82" t="s">
        <v>172</v>
      </c>
      <c r="D82" t="s">
        <v>189</v>
      </c>
      <c r="E82" t="s">
        <v>190</v>
      </c>
      <c r="F82" s="1">
        <v>87596</v>
      </c>
      <c r="G82" s="1">
        <v>66566</v>
      </c>
      <c r="H82" s="1">
        <v>66566</v>
      </c>
      <c r="I82" s="5">
        <f>Table1[[#This Row],[ Verified Ballot Papers ]]/Table1[[#This Row],[ Electorate ]]</f>
        <v>0.75992054431709211</v>
      </c>
      <c r="J82" s="1">
        <v>66566</v>
      </c>
      <c r="K82" s="1">
        <v>66530</v>
      </c>
      <c r="L82" s="1">
        <v>25791</v>
      </c>
      <c r="M82" s="1">
        <v>40739</v>
      </c>
      <c r="N82">
        <v>36</v>
      </c>
      <c r="O82">
        <v>0</v>
      </c>
      <c r="P82">
        <v>15</v>
      </c>
      <c r="Q82">
        <v>1</v>
      </c>
      <c r="R82">
        <v>20</v>
      </c>
      <c r="S82" s="5">
        <f>Table1[[#This Row],[ Remain ]]/Table1[[#This Row],[ Valid Votes ]]</f>
        <v>0.38765970238989927</v>
      </c>
      <c r="T82" s="5">
        <f>Table1[[#This Row],[ Leave ]]/Table1[[#This Row],[ Valid Votes ]]</f>
        <v>0.61234029761010067</v>
      </c>
      <c r="U82" s="5">
        <f>Table1[[#This Row],[ Rejected Ballots ]]/Table1[[#This Row],[ Votes Cast ]]</f>
        <v>5.4081663311600521E-4</v>
      </c>
      <c r="V82" t="str">
        <f>IF(Table1[[#This Row],[Percent Leave]]&gt;Table1[[#This Row],[Percent Remain]],"Leave", "Remain")</f>
        <v>Leave</v>
      </c>
      <c r="W82">
        <v>52.938201999999997</v>
      </c>
      <c r="X82">
        <v>-1.3509001</v>
      </c>
      <c r="Y82" s="1">
        <f>_xlfn.XLOOKUP(Table1[[#This Row],[Area]],Table2[Area],Table2[All Residents])</f>
        <v>112081</v>
      </c>
    </row>
    <row r="83" spans="1:25" hidden="1" x14ac:dyDescent="0.45">
      <c r="A83">
        <v>82</v>
      </c>
      <c r="B83" t="s">
        <v>171</v>
      </c>
      <c r="C83" t="s">
        <v>172</v>
      </c>
      <c r="D83" t="s">
        <v>191</v>
      </c>
      <c r="E83" t="s">
        <v>192</v>
      </c>
      <c r="F83" s="1">
        <v>72487</v>
      </c>
      <c r="G83" s="1">
        <v>54864</v>
      </c>
      <c r="H83" s="1">
        <v>54864</v>
      </c>
      <c r="I83" s="5">
        <f>Table1[[#This Row],[ Verified Ballot Papers ]]/Table1[[#This Row],[ Electorate ]]</f>
        <v>0.75688054409756234</v>
      </c>
      <c r="J83" s="1">
        <v>54864</v>
      </c>
      <c r="K83" s="1">
        <v>54833</v>
      </c>
      <c r="L83" s="1">
        <v>27116</v>
      </c>
      <c r="M83" s="1">
        <v>27717</v>
      </c>
      <c r="N83">
        <v>31</v>
      </c>
      <c r="O83">
        <v>0</v>
      </c>
      <c r="P83">
        <v>10</v>
      </c>
      <c r="Q83">
        <v>3</v>
      </c>
      <c r="R83">
        <v>18</v>
      </c>
      <c r="S83" s="5">
        <f>Table1[[#This Row],[ Remain ]]/Table1[[#This Row],[ Valid Votes ]]</f>
        <v>0.49451972352415519</v>
      </c>
      <c r="T83" s="5">
        <f>Table1[[#This Row],[ Leave ]]/Table1[[#This Row],[ Valid Votes ]]</f>
        <v>0.50548027647584481</v>
      </c>
      <c r="U83" s="5">
        <f>Table1[[#This Row],[ Rejected Ballots ]]/Table1[[#This Row],[ Votes Cast ]]</f>
        <v>5.650335374744824E-4</v>
      </c>
      <c r="V83" t="str">
        <f>IF(Table1[[#This Row],[Percent Leave]]&gt;Table1[[#This Row],[Percent Remain]],"Leave", "Remain")</f>
        <v>Leave</v>
      </c>
      <c r="W83">
        <v>53.385688999999999</v>
      </c>
      <c r="X83">
        <v>-1.84398</v>
      </c>
      <c r="Y83" s="1">
        <f>_xlfn.XLOOKUP(Table1[[#This Row],[Area]],Table2[Area],Table2[All Residents])</f>
        <v>90892</v>
      </c>
    </row>
    <row r="84" spans="1:25" hidden="1" x14ac:dyDescent="0.45">
      <c r="A84">
        <v>83</v>
      </c>
      <c r="B84" t="s">
        <v>171</v>
      </c>
      <c r="C84" t="s">
        <v>172</v>
      </c>
      <c r="D84" t="s">
        <v>193</v>
      </c>
      <c r="E84" t="s">
        <v>194</v>
      </c>
      <c r="F84" s="1">
        <v>78855</v>
      </c>
      <c r="G84" s="1">
        <v>59341</v>
      </c>
      <c r="H84" s="1">
        <v>59341</v>
      </c>
      <c r="I84" s="5">
        <f>Table1[[#This Row],[ Verified Ballot Papers ]]/Table1[[#This Row],[ Electorate ]]</f>
        <v>0.75253313042926895</v>
      </c>
      <c r="J84" s="1">
        <v>59341</v>
      </c>
      <c r="K84" s="1">
        <v>59310</v>
      </c>
      <c r="L84" s="1">
        <v>22075</v>
      </c>
      <c r="M84" s="1">
        <v>37235</v>
      </c>
      <c r="N84">
        <v>31</v>
      </c>
      <c r="O84">
        <v>0</v>
      </c>
      <c r="P84">
        <v>13</v>
      </c>
      <c r="Q84">
        <v>2</v>
      </c>
      <c r="R84">
        <v>16</v>
      </c>
      <c r="S84" s="5">
        <f>Table1[[#This Row],[ Remain ]]/Table1[[#This Row],[ Valid Votes ]]</f>
        <v>0.37219693137750803</v>
      </c>
      <c r="T84" s="5">
        <f>Table1[[#This Row],[ Leave ]]/Table1[[#This Row],[ Valid Votes ]]</f>
        <v>0.62780306862249202</v>
      </c>
      <c r="U84" s="5">
        <f>Table1[[#This Row],[ Rejected Ballots ]]/Table1[[#This Row],[ Votes Cast ]]</f>
        <v>5.224044084191368E-4</v>
      </c>
      <c r="V84" t="str">
        <f>IF(Table1[[#This Row],[Percent Leave]]&gt;Table1[[#This Row],[Percent Remain]],"Leave", "Remain")</f>
        <v>Leave</v>
      </c>
      <c r="W84">
        <v>53.162430000000001</v>
      </c>
      <c r="X84">
        <v>-1.4425300000000001</v>
      </c>
      <c r="Y84" s="1">
        <f>_xlfn.XLOOKUP(Table1[[#This Row],[Area]],Table2[Area],Table2[All Residents])</f>
        <v>99023</v>
      </c>
    </row>
    <row r="85" spans="1:25" hidden="1" x14ac:dyDescent="0.45">
      <c r="A85">
        <v>84</v>
      </c>
      <c r="B85" t="s">
        <v>171</v>
      </c>
      <c r="C85" t="s">
        <v>172</v>
      </c>
      <c r="D85" t="s">
        <v>195</v>
      </c>
      <c r="E85" t="s">
        <v>196</v>
      </c>
      <c r="F85" s="1">
        <v>73856</v>
      </c>
      <c r="G85" s="1">
        <v>56718</v>
      </c>
      <c r="H85" s="1">
        <v>56718</v>
      </c>
      <c r="I85" s="5">
        <f>Table1[[#This Row],[ Verified Ballot Papers ]]/Table1[[#This Row],[ Electorate ]]</f>
        <v>0.76795385615251299</v>
      </c>
      <c r="J85" s="1">
        <v>56718</v>
      </c>
      <c r="K85" s="1">
        <v>56695</v>
      </c>
      <c r="L85" s="1">
        <v>22479</v>
      </c>
      <c r="M85" s="1">
        <v>34216</v>
      </c>
      <c r="N85">
        <v>23</v>
      </c>
      <c r="O85">
        <v>0</v>
      </c>
      <c r="P85">
        <v>5</v>
      </c>
      <c r="Q85">
        <v>0</v>
      </c>
      <c r="R85">
        <v>18</v>
      </c>
      <c r="S85" s="5">
        <f>Table1[[#This Row],[ Remain ]]/Table1[[#This Row],[ Valid Votes ]]</f>
        <v>0.39648999029896814</v>
      </c>
      <c r="T85" s="5">
        <f>Table1[[#This Row],[ Leave ]]/Table1[[#This Row],[ Valid Votes ]]</f>
        <v>0.60351000970103186</v>
      </c>
      <c r="U85" s="5">
        <f>Table1[[#This Row],[ Rejected Ballots ]]/Table1[[#This Row],[ Votes Cast ]]</f>
        <v>4.0551500405515005E-4</v>
      </c>
      <c r="V85" t="str">
        <f>IF(Table1[[#This Row],[Percent Leave]]&gt;Table1[[#This Row],[Percent Remain]],"Leave", "Remain")</f>
        <v>Leave</v>
      </c>
      <c r="W85">
        <v>52.824902000000002</v>
      </c>
      <c r="X85">
        <v>-1.5348001</v>
      </c>
      <c r="Y85" s="1">
        <f>_xlfn.XLOOKUP(Table1[[#This Row],[Area]],Table2[Area],Table2[All Residents])</f>
        <v>94611</v>
      </c>
    </row>
    <row r="86" spans="1:25" hidden="1" x14ac:dyDescent="0.45">
      <c r="A86">
        <v>85</v>
      </c>
      <c r="B86" t="s">
        <v>171</v>
      </c>
      <c r="C86" t="s">
        <v>172</v>
      </c>
      <c r="D86" t="s">
        <v>197</v>
      </c>
      <c r="E86" t="s">
        <v>198</v>
      </c>
      <c r="F86" s="1">
        <v>73832</v>
      </c>
      <c r="G86" s="1">
        <v>56517</v>
      </c>
      <c r="H86" s="1">
        <v>56514</v>
      </c>
      <c r="I86" s="5">
        <f>Table1[[#This Row],[ Verified Ballot Papers ]]/Table1[[#This Row],[ Electorate ]]</f>
        <v>0.76544045942138905</v>
      </c>
      <c r="J86" s="1">
        <v>56512</v>
      </c>
      <c r="K86" s="1">
        <v>56471</v>
      </c>
      <c r="L86" s="1">
        <v>22888</v>
      </c>
      <c r="M86" s="1">
        <v>33583</v>
      </c>
      <c r="N86">
        <v>41</v>
      </c>
      <c r="O86">
        <v>0</v>
      </c>
      <c r="P86">
        <v>13</v>
      </c>
      <c r="Q86">
        <v>2</v>
      </c>
      <c r="R86">
        <v>26</v>
      </c>
      <c r="S86" s="5">
        <f>Table1[[#This Row],[ Remain ]]/Table1[[#This Row],[ Valid Votes ]]</f>
        <v>0.40530537798161886</v>
      </c>
      <c r="T86" s="5">
        <f>Table1[[#This Row],[ Leave ]]/Table1[[#This Row],[ Valid Votes ]]</f>
        <v>0.59469462201838108</v>
      </c>
      <c r="U86" s="5">
        <f>Table1[[#This Row],[ Rejected Ballots ]]/Table1[[#This Row],[ Votes Cast ]]</f>
        <v>7.2550962627406564E-4</v>
      </c>
      <c r="V86" t="str">
        <f>IF(Table1[[#This Row],[Percent Leave]]&gt;Table1[[#This Row],[Percent Remain]],"Leave", "Remain")</f>
        <v>Leave</v>
      </c>
      <c r="W86">
        <v>52.577061</v>
      </c>
      <c r="X86">
        <v>-1.1988699</v>
      </c>
      <c r="Y86" s="1">
        <f>_xlfn.XLOOKUP(Table1[[#This Row],[Area]],Table2[Area],Table2[All Residents])</f>
        <v>93915</v>
      </c>
    </row>
    <row r="87" spans="1:25" hidden="1" x14ac:dyDescent="0.45">
      <c r="A87">
        <v>86</v>
      </c>
      <c r="B87" t="s">
        <v>171</v>
      </c>
      <c r="C87" t="s">
        <v>172</v>
      </c>
      <c r="D87" t="s">
        <v>199</v>
      </c>
      <c r="E87" t="s">
        <v>200</v>
      </c>
      <c r="F87" s="1">
        <v>133780</v>
      </c>
      <c r="G87" s="1">
        <v>94265</v>
      </c>
      <c r="H87" s="1">
        <v>94258</v>
      </c>
      <c r="I87" s="5">
        <f>Table1[[#This Row],[ Verified Ballot Papers ]]/Table1[[#This Row],[ Electorate ]]</f>
        <v>0.70457467483928837</v>
      </c>
      <c r="J87" s="1">
        <v>94257</v>
      </c>
      <c r="K87" s="1">
        <v>94172</v>
      </c>
      <c r="L87" s="1">
        <v>43500</v>
      </c>
      <c r="M87" s="1">
        <v>50672</v>
      </c>
      <c r="N87">
        <v>85</v>
      </c>
      <c r="O87">
        <v>0</v>
      </c>
      <c r="P87">
        <v>47</v>
      </c>
      <c r="Q87">
        <v>0</v>
      </c>
      <c r="R87">
        <v>38</v>
      </c>
      <c r="S87" s="5">
        <f>Table1[[#This Row],[ Remain ]]/Table1[[#This Row],[ Valid Votes ]]</f>
        <v>0.46192074077220407</v>
      </c>
      <c r="T87" s="5">
        <f>Table1[[#This Row],[ Leave ]]/Table1[[#This Row],[ Valid Votes ]]</f>
        <v>0.53807925922779598</v>
      </c>
      <c r="U87" s="5">
        <f>Table1[[#This Row],[ Rejected Ballots ]]/Table1[[#This Row],[ Votes Cast ]]</f>
        <v>9.0178978749588887E-4</v>
      </c>
      <c r="V87" t="str">
        <f>IF(Table1[[#This Row],[Percent Leave]]&gt;Table1[[#This Row],[Percent Remain]],"Leave", "Remain")</f>
        <v>Leave</v>
      </c>
      <c r="W87">
        <v>52.739899000000001</v>
      </c>
      <c r="X87">
        <v>-1.1369400000000001</v>
      </c>
      <c r="Y87" s="1">
        <f>_xlfn.XLOOKUP(Table1[[#This Row],[Area]],Table2[Area],Table2[All Residents])</f>
        <v>166100</v>
      </c>
    </row>
    <row r="88" spans="1:25" hidden="1" x14ac:dyDescent="0.45">
      <c r="A88">
        <v>87</v>
      </c>
      <c r="B88" t="s">
        <v>171</v>
      </c>
      <c r="C88" t="s">
        <v>172</v>
      </c>
      <c r="D88" t="s">
        <v>201</v>
      </c>
      <c r="E88" t="s">
        <v>202</v>
      </c>
      <c r="F88" s="1">
        <v>67420</v>
      </c>
      <c r="G88" s="1">
        <v>54922</v>
      </c>
      <c r="H88" s="1">
        <v>54918</v>
      </c>
      <c r="I88" s="5">
        <f>Table1[[#This Row],[ Verified Ballot Papers ]]/Table1[[#This Row],[ Electorate ]]</f>
        <v>0.81456541085731238</v>
      </c>
      <c r="J88" s="1">
        <v>54910</v>
      </c>
      <c r="K88" s="1">
        <v>54878</v>
      </c>
      <c r="L88" s="1">
        <v>27028</v>
      </c>
      <c r="M88" s="1">
        <v>27850</v>
      </c>
      <c r="N88">
        <v>32</v>
      </c>
      <c r="O88">
        <v>0</v>
      </c>
      <c r="P88">
        <v>1</v>
      </c>
      <c r="Q88">
        <v>2</v>
      </c>
      <c r="R88">
        <v>29</v>
      </c>
      <c r="S88" s="5">
        <f>Table1[[#This Row],[ Remain ]]/Table1[[#This Row],[ Valid Votes ]]</f>
        <v>0.49251066000947558</v>
      </c>
      <c r="T88" s="5">
        <f>Table1[[#This Row],[ Leave ]]/Table1[[#This Row],[ Valid Votes ]]</f>
        <v>0.50748933999052448</v>
      </c>
      <c r="U88" s="5">
        <f>Table1[[#This Row],[ Rejected Ballots ]]/Table1[[#This Row],[ Votes Cast ]]</f>
        <v>5.8277180841376794E-4</v>
      </c>
      <c r="V88" t="str">
        <f>IF(Table1[[#This Row],[Percent Leave]]&gt;Table1[[#This Row],[Percent Remain]],"Leave", "Remain")</f>
        <v>Leave</v>
      </c>
      <c r="W88">
        <v>52.537658999999998</v>
      </c>
      <c r="X88">
        <v>-0.90228998999999999</v>
      </c>
      <c r="Y88" s="1">
        <f>_xlfn.XLOOKUP(Table1[[#This Row],[Area]],Table2[Area],Table2[All Residents])</f>
        <v>85382</v>
      </c>
    </row>
    <row r="89" spans="1:25" hidden="1" x14ac:dyDescent="0.45">
      <c r="A89">
        <v>88</v>
      </c>
      <c r="B89" t="s">
        <v>171</v>
      </c>
      <c r="C89" t="s">
        <v>172</v>
      </c>
      <c r="D89" t="s">
        <v>203</v>
      </c>
      <c r="E89" t="s">
        <v>204</v>
      </c>
      <c r="F89" s="1">
        <v>85305</v>
      </c>
      <c r="G89" s="1">
        <v>65517</v>
      </c>
      <c r="H89" s="1">
        <v>65516</v>
      </c>
      <c r="I89" s="5">
        <f>Table1[[#This Row],[ Verified Ballot Papers ]]/Table1[[#This Row],[ Electorate ]]</f>
        <v>0.76802063185041913</v>
      </c>
      <c r="J89" s="1">
        <v>65516</v>
      </c>
      <c r="K89" s="1">
        <v>65470</v>
      </c>
      <c r="L89" s="1">
        <v>25969</v>
      </c>
      <c r="M89" s="1">
        <v>39501</v>
      </c>
      <c r="N89">
        <v>46</v>
      </c>
      <c r="O89">
        <v>0</v>
      </c>
      <c r="P89">
        <v>6</v>
      </c>
      <c r="Q89">
        <v>0</v>
      </c>
      <c r="R89">
        <v>40</v>
      </c>
      <c r="S89" s="5">
        <f>Table1[[#This Row],[ Remain ]]/Table1[[#This Row],[ Valid Votes ]]</f>
        <v>0.3966549564686116</v>
      </c>
      <c r="T89" s="5">
        <f>Table1[[#This Row],[ Leave ]]/Table1[[#This Row],[ Valid Votes ]]</f>
        <v>0.6033450435313884</v>
      </c>
      <c r="U89" s="5">
        <f>Table1[[#This Row],[ Rejected Ballots ]]/Table1[[#This Row],[ Votes Cast ]]</f>
        <v>7.0211856645704864E-4</v>
      </c>
      <c r="V89" t="str">
        <f>IF(Table1[[#This Row],[Percent Leave]]&gt;Table1[[#This Row],[Percent Remain]],"Leave", "Remain")</f>
        <v>Leave</v>
      </c>
      <c r="W89">
        <v>52.608767999999998</v>
      </c>
      <c r="X89">
        <v>-1.4175500000000001</v>
      </c>
      <c r="Y89" s="1">
        <f>_xlfn.XLOOKUP(Table1[[#This Row],[Area]],Table2[Area],Table2[All Residents])</f>
        <v>105078</v>
      </c>
    </row>
    <row r="90" spans="1:25" hidden="1" x14ac:dyDescent="0.45">
      <c r="A90">
        <v>89</v>
      </c>
      <c r="B90" t="s">
        <v>171</v>
      </c>
      <c r="C90" t="s">
        <v>172</v>
      </c>
      <c r="D90" t="s">
        <v>205</v>
      </c>
      <c r="E90" t="s">
        <v>206</v>
      </c>
      <c r="F90" s="1">
        <v>37273</v>
      </c>
      <c r="G90" s="1">
        <v>30322</v>
      </c>
      <c r="H90" s="1">
        <v>30322</v>
      </c>
      <c r="I90" s="5">
        <f>Table1[[#This Row],[ Verified Ballot Papers ]]/Table1[[#This Row],[ Electorate ]]</f>
        <v>0.81351112065033671</v>
      </c>
      <c r="J90" s="1">
        <v>30327</v>
      </c>
      <c r="K90" s="1">
        <v>30305</v>
      </c>
      <c r="L90" s="1">
        <v>12695</v>
      </c>
      <c r="M90" s="1">
        <v>17610</v>
      </c>
      <c r="N90">
        <v>22</v>
      </c>
      <c r="O90">
        <v>0</v>
      </c>
      <c r="P90">
        <v>9</v>
      </c>
      <c r="Q90">
        <v>1</v>
      </c>
      <c r="R90">
        <v>12</v>
      </c>
      <c r="S90" s="5">
        <f>Table1[[#This Row],[ Remain ]]/Table1[[#This Row],[ Valid Votes ]]</f>
        <v>0.41890777099488535</v>
      </c>
      <c r="T90" s="5">
        <f>Table1[[#This Row],[ Leave ]]/Table1[[#This Row],[ Valid Votes ]]</f>
        <v>0.5810922290051147</v>
      </c>
      <c r="U90" s="5">
        <f>Table1[[#This Row],[ Rejected Ballots ]]/Table1[[#This Row],[ Votes Cast ]]</f>
        <v>7.2542618788538264E-4</v>
      </c>
      <c r="V90" t="str">
        <f>IF(Table1[[#This Row],[Percent Leave]]&gt;Table1[[#This Row],[Percent Remain]],"Leave", "Remain")</f>
        <v>Leave</v>
      </c>
      <c r="W90">
        <v>52.803291000000002</v>
      </c>
      <c r="X90">
        <v>-0.85439997999999995</v>
      </c>
      <c r="Y90" s="1">
        <f>_xlfn.XLOOKUP(Table1[[#This Row],[Area]],Table2[Area],Table2[All Residents])</f>
        <v>50376</v>
      </c>
    </row>
    <row r="91" spans="1:25" hidden="1" x14ac:dyDescent="0.45">
      <c r="A91">
        <v>90</v>
      </c>
      <c r="B91" t="s">
        <v>171</v>
      </c>
      <c r="C91" t="s">
        <v>172</v>
      </c>
      <c r="D91" t="s">
        <v>207</v>
      </c>
      <c r="E91" t="s">
        <v>208</v>
      </c>
      <c r="F91" s="1">
        <v>73944</v>
      </c>
      <c r="G91" s="1">
        <v>57655</v>
      </c>
      <c r="H91" s="1">
        <v>57655</v>
      </c>
      <c r="I91" s="5">
        <f>Table1[[#This Row],[ Verified Ballot Papers ]]/Table1[[#This Row],[ Electorate ]]</f>
        <v>0.77971167369901551</v>
      </c>
      <c r="J91" s="1">
        <v>57638</v>
      </c>
      <c r="K91" s="1">
        <v>57611</v>
      </c>
      <c r="L91" s="1">
        <v>22642</v>
      </c>
      <c r="M91" s="1">
        <v>34969</v>
      </c>
      <c r="N91">
        <v>27</v>
      </c>
      <c r="O91">
        <v>0</v>
      </c>
      <c r="P91">
        <v>6</v>
      </c>
      <c r="Q91">
        <v>0</v>
      </c>
      <c r="R91">
        <v>21</v>
      </c>
      <c r="S91" s="5">
        <f>Table1[[#This Row],[ Remain ]]/Table1[[#This Row],[ Valid Votes ]]</f>
        <v>0.39301522278731493</v>
      </c>
      <c r="T91" s="5">
        <f>Table1[[#This Row],[ Leave ]]/Table1[[#This Row],[ Valid Votes ]]</f>
        <v>0.60698477721268507</v>
      </c>
      <c r="U91" s="5">
        <f>Table1[[#This Row],[ Rejected Ballots ]]/Table1[[#This Row],[ Votes Cast ]]</f>
        <v>4.6844095908948956E-4</v>
      </c>
      <c r="V91" t="str">
        <f>IF(Table1[[#This Row],[Percent Leave]]&gt;Table1[[#This Row],[Percent Remain]],"Leave", "Remain")</f>
        <v>Leave</v>
      </c>
      <c r="W91">
        <v>52.7425</v>
      </c>
      <c r="X91">
        <v>-1.4220900999999999</v>
      </c>
      <c r="Y91" s="1">
        <f>_xlfn.XLOOKUP(Table1[[#This Row],[Area]],Table2[Area],Table2[All Residents])</f>
        <v>93468</v>
      </c>
    </row>
    <row r="92" spans="1:25" hidden="1" x14ac:dyDescent="0.45">
      <c r="A92">
        <v>91</v>
      </c>
      <c r="B92" t="s">
        <v>171</v>
      </c>
      <c r="C92" t="s">
        <v>172</v>
      </c>
      <c r="D92" t="s">
        <v>209</v>
      </c>
      <c r="E92" t="s">
        <v>210</v>
      </c>
      <c r="F92" s="1">
        <v>42684</v>
      </c>
      <c r="G92" s="1">
        <v>31488</v>
      </c>
      <c r="H92" s="1">
        <v>31488</v>
      </c>
      <c r="I92" s="5">
        <f>Table1[[#This Row],[ Verified Ballot Papers ]]/Table1[[#This Row],[ Electorate ]]</f>
        <v>0.73770030924936747</v>
      </c>
      <c r="J92" s="1">
        <v>31489</v>
      </c>
      <c r="K92" s="1">
        <v>31465</v>
      </c>
      <c r="L92" s="1">
        <v>14292</v>
      </c>
      <c r="M92" s="1">
        <v>17173</v>
      </c>
      <c r="N92">
        <v>24</v>
      </c>
      <c r="O92">
        <v>0</v>
      </c>
      <c r="P92">
        <v>9</v>
      </c>
      <c r="Q92">
        <v>0</v>
      </c>
      <c r="R92">
        <v>15</v>
      </c>
      <c r="S92" s="5">
        <f>Table1[[#This Row],[ Remain ]]/Table1[[#This Row],[ Valid Votes ]]</f>
        <v>0.45421897346257745</v>
      </c>
      <c r="T92" s="5">
        <f>Table1[[#This Row],[ Leave ]]/Table1[[#This Row],[ Valid Votes ]]</f>
        <v>0.54578102653742255</v>
      </c>
      <c r="U92" s="5">
        <f>Table1[[#This Row],[ Rejected Ballots ]]/Table1[[#This Row],[ Votes Cast ]]</f>
        <v>7.6217091682809874E-4</v>
      </c>
      <c r="V92" t="str">
        <f>IF(Table1[[#This Row],[Percent Leave]]&gt;Table1[[#This Row],[Percent Remain]],"Leave", "Remain")</f>
        <v>Leave</v>
      </c>
      <c r="W92">
        <v>52.588749</v>
      </c>
      <c r="X92">
        <v>-1.0930001</v>
      </c>
      <c r="Y92" s="1">
        <f>_xlfn.XLOOKUP(Table1[[#This Row],[Area]],Table2[Area],Table2[All Residents])</f>
        <v>56170</v>
      </c>
    </row>
    <row r="93" spans="1:25" hidden="1" x14ac:dyDescent="0.45">
      <c r="A93">
        <v>92</v>
      </c>
      <c r="B93" t="s">
        <v>171</v>
      </c>
      <c r="C93" t="s">
        <v>172</v>
      </c>
      <c r="D93" t="s">
        <v>211</v>
      </c>
      <c r="E93" t="s">
        <v>212</v>
      </c>
      <c r="F93" s="1">
        <v>39363</v>
      </c>
      <c r="G93" s="1">
        <v>30417</v>
      </c>
      <c r="H93" s="1">
        <v>30417</v>
      </c>
      <c r="I93" s="5">
        <f>Table1[[#This Row],[ Verified Ballot Papers ]]/Table1[[#This Row],[ Electorate ]]</f>
        <v>0.77273073698651018</v>
      </c>
      <c r="J93" s="1">
        <v>30416</v>
      </c>
      <c r="K93" s="1">
        <v>30404</v>
      </c>
      <c r="L93" s="1">
        <v>7430</v>
      </c>
      <c r="M93" s="1">
        <v>22974</v>
      </c>
      <c r="N93">
        <v>12</v>
      </c>
      <c r="O93">
        <v>0</v>
      </c>
      <c r="P93">
        <v>1</v>
      </c>
      <c r="Q93">
        <v>1</v>
      </c>
      <c r="R93">
        <v>10</v>
      </c>
      <c r="S93" s="5">
        <f>Table1[[#This Row],[ Remain ]]/Table1[[#This Row],[ Valid Votes ]]</f>
        <v>0.24437574003420603</v>
      </c>
      <c r="T93" s="5">
        <f>Table1[[#This Row],[ Leave ]]/Table1[[#This Row],[ Valid Votes ]]</f>
        <v>0.75562425996579397</v>
      </c>
      <c r="U93" s="5">
        <f>Table1[[#This Row],[ Rejected Ballots ]]/Table1[[#This Row],[ Votes Cast ]]</f>
        <v>3.9452919516044186E-4</v>
      </c>
      <c r="V93" t="str">
        <f>IF(Table1[[#This Row],[Percent Leave]]&gt;Table1[[#This Row],[Percent Remain]],"Leave", "Remain")</f>
        <v>Leave</v>
      </c>
      <c r="W93">
        <v>52.977939999999997</v>
      </c>
      <c r="X93">
        <v>-0.11218</v>
      </c>
      <c r="Y93" s="1">
        <f>_xlfn.XLOOKUP(Table1[[#This Row],[Area]],Table2[Area],Table2[All Residents])</f>
        <v>64637</v>
      </c>
    </row>
    <row r="94" spans="1:25" hidden="1" x14ac:dyDescent="0.45">
      <c r="A94">
        <v>93</v>
      </c>
      <c r="B94" t="s">
        <v>171</v>
      </c>
      <c r="C94" t="s">
        <v>172</v>
      </c>
      <c r="D94" t="s">
        <v>213</v>
      </c>
      <c r="E94" t="s">
        <v>214</v>
      </c>
      <c r="F94" s="1">
        <v>107009</v>
      </c>
      <c r="G94" s="1">
        <v>80180</v>
      </c>
      <c r="H94" s="1">
        <v>80179</v>
      </c>
      <c r="I94" s="5">
        <f>Table1[[#This Row],[ Verified Ballot Papers ]]/Table1[[#This Row],[ Electorate ]]</f>
        <v>0.74927342559971588</v>
      </c>
      <c r="J94" s="1">
        <v>80178</v>
      </c>
      <c r="K94" s="1">
        <v>80128</v>
      </c>
      <c r="L94" s="1">
        <v>23515</v>
      </c>
      <c r="M94" s="1">
        <v>56613</v>
      </c>
      <c r="N94">
        <v>50</v>
      </c>
      <c r="O94">
        <v>2</v>
      </c>
      <c r="P94">
        <v>21</v>
      </c>
      <c r="Q94">
        <v>0</v>
      </c>
      <c r="R94">
        <v>27</v>
      </c>
      <c r="S94" s="5">
        <f>Table1[[#This Row],[ Remain ]]/Table1[[#This Row],[ Valid Votes ]]</f>
        <v>0.29346795127795527</v>
      </c>
      <c r="T94" s="5">
        <f>Table1[[#This Row],[ Leave ]]/Table1[[#This Row],[ Valid Votes ]]</f>
        <v>0.70653204872204478</v>
      </c>
      <c r="U94" s="5">
        <f>Table1[[#This Row],[ Rejected Ballots ]]/Table1[[#This Row],[ Votes Cast ]]</f>
        <v>6.2361246227144601E-4</v>
      </c>
      <c r="V94" t="str">
        <f>IF(Table1[[#This Row],[Percent Leave]]&gt;Table1[[#This Row],[Percent Remain]],"Leave", "Remain")</f>
        <v>Leave</v>
      </c>
      <c r="W94">
        <v>53.264462000000002</v>
      </c>
      <c r="X94">
        <v>2.0516000999999999E-2</v>
      </c>
      <c r="Y94" s="1">
        <f>_xlfn.XLOOKUP(Table1[[#This Row],[Area]],Table2[Area],Table2[All Residents])</f>
        <v>136401</v>
      </c>
    </row>
    <row r="95" spans="1:25" hidden="1" x14ac:dyDescent="0.45">
      <c r="A95">
        <v>94</v>
      </c>
      <c r="B95" t="s">
        <v>171</v>
      </c>
      <c r="C95" t="s">
        <v>172</v>
      </c>
      <c r="D95" t="s">
        <v>215</v>
      </c>
      <c r="E95" t="s">
        <v>216</v>
      </c>
      <c r="F95" s="1">
        <v>63351</v>
      </c>
      <c r="G95" s="1">
        <v>43928</v>
      </c>
      <c r="H95" s="1">
        <v>43928</v>
      </c>
      <c r="I95" s="5">
        <f>Table1[[#This Row],[ Verified Ballot Papers ]]/Table1[[#This Row],[ Electorate ]]</f>
        <v>0.69340657606036216</v>
      </c>
      <c r="J95" s="1">
        <v>43928</v>
      </c>
      <c r="K95" s="1">
        <v>43894</v>
      </c>
      <c r="L95" s="1">
        <v>18902</v>
      </c>
      <c r="M95" s="1">
        <v>24992</v>
      </c>
      <c r="N95">
        <v>34</v>
      </c>
      <c r="O95">
        <v>0</v>
      </c>
      <c r="P95">
        <v>17</v>
      </c>
      <c r="Q95">
        <v>0</v>
      </c>
      <c r="R95">
        <v>17</v>
      </c>
      <c r="S95" s="5">
        <f>Table1[[#This Row],[ Remain ]]/Table1[[#This Row],[ Valid Votes ]]</f>
        <v>0.4306283318904634</v>
      </c>
      <c r="T95" s="5">
        <f>Table1[[#This Row],[ Leave ]]/Table1[[#This Row],[ Valid Votes ]]</f>
        <v>0.56937166810953665</v>
      </c>
      <c r="U95" s="5">
        <f>Table1[[#This Row],[ Rejected Ballots ]]/Table1[[#This Row],[ Votes Cast ]]</f>
        <v>7.7399380804953565E-4</v>
      </c>
      <c r="V95" t="str">
        <f>IF(Table1[[#This Row],[Percent Leave]]&gt;Table1[[#This Row],[Percent Remain]],"Leave", "Remain")</f>
        <v>Leave</v>
      </c>
      <c r="W95">
        <v>53.219211999999999</v>
      </c>
      <c r="X95">
        <v>-0.55848001999999997</v>
      </c>
      <c r="Y95" s="1">
        <f>_xlfn.XLOOKUP(Table1[[#This Row],[Area]],Table2[Area],Table2[All Residents])</f>
        <v>93541</v>
      </c>
    </row>
    <row r="96" spans="1:25" hidden="1" x14ac:dyDescent="0.45">
      <c r="A96">
        <v>95</v>
      </c>
      <c r="B96" t="s">
        <v>171</v>
      </c>
      <c r="C96" t="s">
        <v>172</v>
      </c>
      <c r="D96" t="s">
        <v>217</v>
      </c>
      <c r="E96" t="s">
        <v>218</v>
      </c>
      <c r="F96" s="1">
        <v>86468</v>
      </c>
      <c r="G96" s="1">
        <v>67791</v>
      </c>
      <c r="H96" s="1">
        <v>67791</v>
      </c>
      <c r="I96" s="5">
        <f>Table1[[#This Row],[ Verified Ballot Papers ]]/Table1[[#This Row],[ Electorate ]]</f>
        <v>0.78400101771753716</v>
      </c>
      <c r="J96" s="1">
        <v>67791</v>
      </c>
      <c r="K96" s="1">
        <v>67753</v>
      </c>
      <c r="L96" s="1">
        <v>25570</v>
      </c>
      <c r="M96" s="1">
        <v>42183</v>
      </c>
      <c r="N96">
        <v>38</v>
      </c>
      <c r="O96">
        <v>0</v>
      </c>
      <c r="P96">
        <v>13</v>
      </c>
      <c r="Q96">
        <v>1</v>
      </c>
      <c r="R96">
        <v>24</v>
      </c>
      <c r="S96" s="5">
        <f>Table1[[#This Row],[ Remain ]]/Table1[[#This Row],[ Valid Votes ]]</f>
        <v>0.37740026271899402</v>
      </c>
      <c r="T96" s="5">
        <f>Table1[[#This Row],[ Leave ]]/Table1[[#This Row],[ Valid Votes ]]</f>
        <v>0.62259973728100604</v>
      </c>
      <c r="U96" s="5">
        <f>Table1[[#This Row],[ Rejected Ballots ]]/Table1[[#This Row],[ Votes Cast ]]</f>
        <v>5.6054638521337637E-4</v>
      </c>
      <c r="V96" t="str">
        <f>IF(Table1[[#This Row],[Percent Leave]]&gt;Table1[[#This Row],[Percent Remain]],"Leave", "Remain")</f>
        <v>Leave</v>
      </c>
      <c r="W96">
        <v>53.080582</v>
      </c>
      <c r="X96">
        <v>-0.47670001000000001</v>
      </c>
      <c r="Y96" s="1">
        <f>_xlfn.XLOOKUP(Table1[[#This Row],[Area]],Table2[Area],Table2[All Residents])</f>
        <v>107766</v>
      </c>
    </row>
    <row r="97" spans="1:25" hidden="1" x14ac:dyDescent="0.45">
      <c r="A97">
        <v>96</v>
      </c>
      <c r="B97" t="s">
        <v>171</v>
      </c>
      <c r="C97" t="s">
        <v>172</v>
      </c>
      <c r="D97" t="s">
        <v>219</v>
      </c>
      <c r="E97" t="s">
        <v>220</v>
      </c>
      <c r="F97" s="1">
        <v>65701</v>
      </c>
      <c r="G97" s="1">
        <v>49518</v>
      </c>
      <c r="H97" s="1">
        <v>49518</v>
      </c>
      <c r="I97" s="5">
        <f>Table1[[#This Row],[ Verified Ballot Papers ]]/Table1[[#This Row],[ Electorate ]]</f>
        <v>0.75368715849073831</v>
      </c>
      <c r="J97" s="1">
        <v>49518</v>
      </c>
      <c r="K97" s="1">
        <v>49497</v>
      </c>
      <c r="L97" s="1">
        <v>13074</v>
      </c>
      <c r="M97" s="1">
        <v>36423</v>
      </c>
      <c r="N97">
        <v>21</v>
      </c>
      <c r="O97">
        <v>0</v>
      </c>
      <c r="P97">
        <v>8</v>
      </c>
      <c r="Q97">
        <v>0</v>
      </c>
      <c r="R97">
        <v>13</v>
      </c>
      <c r="S97" s="5">
        <f>Table1[[#This Row],[ Remain ]]/Table1[[#This Row],[ Valid Votes ]]</f>
        <v>0.26413722043760229</v>
      </c>
      <c r="T97" s="5">
        <f>Table1[[#This Row],[ Leave ]]/Table1[[#This Row],[ Valid Votes ]]</f>
        <v>0.73586277956239776</v>
      </c>
      <c r="U97" s="5">
        <f>Table1[[#This Row],[ Rejected Ballots ]]/Table1[[#This Row],[ Votes Cast ]]</f>
        <v>4.2408821034775233E-4</v>
      </c>
      <c r="V97" t="str">
        <f>IF(Table1[[#This Row],[Percent Leave]]&gt;Table1[[#This Row],[Percent Remain]],"Leave", "Remain")</f>
        <v>Leave</v>
      </c>
      <c r="W97">
        <v>52.787579000000001</v>
      </c>
      <c r="X97">
        <v>-3.057E-2</v>
      </c>
      <c r="Y97" s="1">
        <f>_xlfn.XLOOKUP(Table1[[#This Row],[Area]],Table2[Area],Table2[All Residents])</f>
        <v>88270</v>
      </c>
    </row>
    <row r="98" spans="1:25" hidden="1" x14ac:dyDescent="0.45">
      <c r="A98">
        <v>97</v>
      </c>
      <c r="B98" t="s">
        <v>171</v>
      </c>
      <c r="C98" t="s">
        <v>172</v>
      </c>
      <c r="D98" t="s">
        <v>221</v>
      </c>
      <c r="E98" t="s">
        <v>222</v>
      </c>
      <c r="F98" s="1">
        <v>105457</v>
      </c>
      <c r="G98" s="1">
        <v>82527</v>
      </c>
      <c r="H98" s="1">
        <v>82525</v>
      </c>
      <c r="I98" s="5">
        <f>Table1[[#This Row],[ Verified Ballot Papers ]]/Table1[[#This Row],[ Electorate ]]</f>
        <v>0.78254644072939683</v>
      </c>
      <c r="J98" s="1">
        <v>82523</v>
      </c>
      <c r="K98" s="1">
        <v>82471</v>
      </c>
      <c r="L98" s="1">
        <v>33047</v>
      </c>
      <c r="M98" s="1">
        <v>49424</v>
      </c>
      <c r="N98">
        <v>52</v>
      </c>
      <c r="O98">
        <v>0</v>
      </c>
      <c r="P98">
        <v>14</v>
      </c>
      <c r="Q98">
        <v>4</v>
      </c>
      <c r="R98">
        <v>34</v>
      </c>
      <c r="S98" s="5">
        <f>Table1[[#This Row],[ Remain ]]/Table1[[#This Row],[ Valid Votes ]]</f>
        <v>0.40071055280037832</v>
      </c>
      <c r="T98" s="5">
        <f>Table1[[#This Row],[ Leave ]]/Table1[[#This Row],[ Valid Votes ]]</f>
        <v>0.59928944719962174</v>
      </c>
      <c r="U98" s="5">
        <f>Table1[[#This Row],[ Rejected Ballots ]]/Table1[[#This Row],[ Votes Cast ]]</f>
        <v>6.301273584334064E-4</v>
      </c>
      <c r="V98" t="str">
        <f>IF(Table1[[#This Row],[Percent Leave]]&gt;Table1[[#This Row],[Percent Remain]],"Leave", "Remain")</f>
        <v>Leave</v>
      </c>
      <c r="W98">
        <v>52.848849999999999</v>
      </c>
      <c r="X98">
        <v>-0.49564998999999998</v>
      </c>
      <c r="Y98" s="1">
        <f>_xlfn.XLOOKUP(Table1[[#This Row],[Area]],Table2[Area],Table2[All Residents])</f>
        <v>133788</v>
      </c>
    </row>
    <row r="99" spans="1:25" hidden="1" x14ac:dyDescent="0.45">
      <c r="A99">
        <v>98</v>
      </c>
      <c r="B99" t="s">
        <v>171</v>
      </c>
      <c r="C99" t="s">
        <v>172</v>
      </c>
      <c r="D99" t="s">
        <v>223</v>
      </c>
      <c r="E99" t="s">
        <v>224</v>
      </c>
      <c r="F99" s="1">
        <v>73499</v>
      </c>
      <c r="G99" s="1">
        <v>54785</v>
      </c>
      <c r="H99" s="1">
        <v>54781</v>
      </c>
      <c r="I99" s="5">
        <f>Table1[[#This Row],[ Verified Ballot Papers ]]/Table1[[#This Row],[ Electorate ]]</f>
        <v>0.74532986843358418</v>
      </c>
      <c r="J99" s="1">
        <v>54781</v>
      </c>
      <c r="K99" s="1">
        <v>54753</v>
      </c>
      <c r="L99" s="1">
        <v>20906</v>
      </c>
      <c r="M99" s="1">
        <v>33847</v>
      </c>
      <c r="N99">
        <v>28</v>
      </c>
      <c r="O99">
        <v>0</v>
      </c>
      <c r="P99">
        <v>7</v>
      </c>
      <c r="Q99">
        <v>4</v>
      </c>
      <c r="R99">
        <v>17</v>
      </c>
      <c r="S99" s="5">
        <f>Table1[[#This Row],[ Remain ]]/Table1[[#This Row],[ Valid Votes ]]</f>
        <v>0.38182382700491296</v>
      </c>
      <c r="T99" s="5">
        <f>Table1[[#This Row],[ Leave ]]/Table1[[#This Row],[ Valid Votes ]]</f>
        <v>0.61817617299508698</v>
      </c>
      <c r="U99" s="5">
        <f>Table1[[#This Row],[ Rejected Ballots ]]/Table1[[#This Row],[ Votes Cast ]]</f>
        <v>5.1112612037020131E-4</v>
      </c>
      <c r="V99" t="str">
        <f>IF(Table1[[#This Row],[Percent Leave]]&gt;Table1[[#This Row],[Percent Remain]],"Leave", "Remain")</f>
        <v>Leave</v>
      </c>
      <c r="W99">
        <v>53.400440000000003</v>
      </c>
      <c r="X99">
        <v>-0.50774001999999996</v>
      </c>
      <c r="Y99" s="1">
        <f>_xlfn.XLOOKUP(Table1[[#This Row],[Area]],Table2[Area],Table2[All Residents])</f>
        <v>89250</v>
      </c>
    </row>
    <row r="100" spans="1:25" hidden="1" x14ac:dyDescent="0.45">
      <c r="A100">
        <v>99</v>
      </c>
      <c r="B100" t="s">
        <v>171</v>
      </c>
      <c r="C100" t="s">
        <v>172</v>
      </c>
      <c r="D100" t="s">
        <v>225</v>
      </c>
      <c r="E100" t="s">
        <v>226</v>
      </c>
      <c r="F100" s="1">
        <v>43313</v>
      </c>
      <c r="G100" s="1">
        <v>32103</v>
      </c>
      <c r="H100" s="1">
        <v>32100</v>
      </c>
      <c r="I100" s="5">
        <f>Table1[[#This Row],[ Verified Ballot Papers ]]/Table1[[#This Row],[ Electorate ]]</f>
        <v>0.74111698566250317</v>
      </c>
      <c r="J100" s="1">
        <v>32097</v>
      </c>
      <c r="K100" s="1">
        <v>32081</v>
      </c>
      <c r="L100" s="1">
        <v>11470</v>
      </c>
      <c r="M100" s="1">
        <v>20611</v>
      </c>
      <c r="N100">
        <v>16</v>
      </c>
      <c r="O100">
        <v>0</v>
      </c>
      <c r="P100">
        <v>4</v>
      </c>
      <c r="Q100">
        <v>0</v>
      </c>
      <c r="R100">
        <v>12</v>
      </c>
      <c r="S100" s="5">
        <f>Table1[[#This Row],[ Remain ]]/Table1[[#This Row],[ Valid Votes ]]</f>
        <v>0.35753249586982949</v>
      </c>
      <c r="T100" s="5">
        <f>Table1[[#This Row],[ Leave ]]/Table1[[#This Row],[ Valid Votes ]]</f>
        <v>0.64246750413017051</v>
      </c>
      <c r="U100" s="5">
        <f>Table1[[#This Row],[ Rejected Ballots ]]/Table1[[#This Row],[ Votes Cast ]]</f>
        <v>4.984889553540829E-4</v>
      </c>
      <c r="V100" t="str">
        <f>IF(Table1[[#This Row],[Percent Leave]]&gt;Table1[[#This Row],[Percent Remain]],"Leave", "Remain")</f>
        <v>Leave</v>
      </c>
      <c r="W100">
        <v>52.50696945</v>
      </c>
      <c r="X100">
        <v>-0.70689999999999997</v>
      </c>
      <c r="Y100" s="1">
        <f>_xlfn.XLOOKUP(Table1[[#This Row],[Area]],Table2[Area],Table2[All Residents])</f>
        <v>61255</v>
      </c>
    </row>
    <row r="101" spans="1:25" hidden="1" x14ac:dyDescent="0.45">
      <c r="A101">
        <v>100</v>
      </c>
      <c r="B101" t="s">
        <v>171</v>
      </c>
      <c r="C101" t="s">
        <v>172</v>
      </c>
      <c r="D101" t="s">
        <v>227</v>
      </c>
      <c r="E101" t="s">
        <v>228</v>
      </c>
      <c r="F101" s="1">
        <v>61004</v>
      </c>
      <c r="G101" s="1">
        <v>49421</v>
      </c>
      <c r="H101" s="1">
        <v>49420</v>
      </c>
      <c r="I101" s="5">
        <f>Table1[[#This Row],[ Verified Ballot Papers ]]/Table1[[#This Row],[ Electorate ]]</f>
        <v>0.8101108124057439</v>
      </c>
      <c r="J101" s="1">
        <v>49420</v>
      </c>
      <c r="K101" s="1">
        <v>49381</v>
      </c>
      <c r="L101" s="1">
        <v>20443</v>
      </c>
      <c r="M101" s="1">
        <v>28938</v>
      </c>
      <c r="N101">
        <v>39</v>
      </c>
      <c r="O101">
        <v>0</v>
      </c>
      <c r="P101">
        <v>10</v>
      </c>
      <c r="Q101">
        <v>2</v>
      </c>
      <c r="R101">
        <v>27</v>
      </c>
      <c r="S101" s="5">
        <f>Table1[[#This Row],[ Remain ]]/Table1[[#This Row],[ Valid Votes ]]</f>
        <v>0.41398513598347542</v>
      </c>
      <c r="T101" s="5">
        <f>Table1[[#This Row],[ Leave ]]/Table1[[#This Row],[ Valid Votes ]]</f>
        <v>0.58601486401652458</v>
      </c>
      <c r="U101" s="5">
        <f>Table1[[#This Row],[ Rejected Ballots ]]/Table1[[#This Row],[ Votes Cast ]]</f>
        <v>7.8915418858761636E-4</v>
      </c>
      <c r="V101" t="str">
        <f>IF(Table1[[#This Row],[Percent Leave]]&gt;Table1[[#This Row],[Percent Remain]],"Leave", "Remain")</f>
        <v>Leave</v>
      </c>
      <c r="W101">
        <v>52.309940339999997</v>
      </c>
      <c r="X101">
        <v>-1.0144699800000001</v>
      </c>
      <c r="Y101" s="1">
        <f>_xlfn.XLOOKUP(Table1[[#This Row],[Area]],Table2[Area],Table2[All Residents])</f>
        <v>77843</v>
      </c>
    </row>
    <row r="102" spans="1:25" hidden="1" x14ac:dyDescent="0.45">
      <c r="A102">
        <v>101</v>
      </c>
      <c r="B102" t="s">
        <v>171</v>
      </c>
      <c r="C102" t="s">
        <v>172</v>
      </c>
      <c r="D102" t="s">
        <v>229</v>
      </c>
      <c r="E102" t="s">
        <v>230</v>
      </c>
      <c r="F102" s="1">
        <v>68334</v>
      </c>
      <c r="G102" s="1">
        <v>52619</v>
      </c>
      <c r="H102" s="1">
        <v>52614</v>
      </c>
      <c r="I102" s="5">
        <f>Table1[[#This Row],[ Verified Ballot Papers ]]/Table1[[#This Row],[ Electorate ]]</f>
        <v>0.76995346386864516</v>
      </c>
      <c r="J102" s="1">
        <v>52607</v>
      </c>
      <c r="K102" s="1">
        <v>52574</v>
      </c>
      <c r="L102" s="1">
        <v>21680</v>
      </c>
      <c r="M102" s="1">
        <v>30894</v>
      </c>
      <c r="N102">
        <v>33</v>
      </c>
      <c r="O102">
        <v>0</v>
      </c>
      <c r="P102">
        <v>6</v>
      </c>
      <c r="Q102">
        <v>2</v>
      </c>
      <c r="R102">
        <v>25</v>
      </c>
      <c r="S102" s="5">
        <f>Table1[[#This Row],[ Remain ]]/Table1[[#This Row],[ Valid Votes ]]</f>
        <v>0.41237113402061853</v>
      </c>
      <c r="T102" s="5">
        <f>Table1[[#This Row],[ Leave ]]/Table1[[#This Row],[ Valid Votes ]]</f>
        <v>0.58762886597938147</v>
      </c>
      <c r="U102" s="5">
        <f>Table1[[#This Row],[ Rejected Ballots ]]/Table1[[#This Row],[ Votes Cast ]]</f>
        <v>6.2729294580569125E-4</v>
      </c>
      <c r="V102" t="str">
        <f>IF(Table1[[#This Row],[Percent Leave]]&gt;Table1[[#This Row],[Percent Remain]],"Leave", "Remain")</f>
        <v>Leave</v>
      </c>
      <c r="W102">
        <v>52.47909164</v>
      </c>
      <c r="X102">
        <v>-0.50919998</v>
      </c>
      <c r="Y102" s="1">
        <f>_xlfn.XLOOKUP(Table1[[#This Row],[Area]],Table2[Area],Table2[All Residents])</f>
        <v>86765</v>
      </c>
    </row>
    <row r="103" spans="1:25" hidden="1" x14ac:dyDescent="0.45">
      <c r="A103">
        <v>102</v>
      </c>
      <c r="B103" t="s">
        <v>171</v>
      </c>
      <c r="C103" t="s">
        <v>172</v>
      </c>
      <c r="D103" t="s">
        <v>231</v>
      </c>
      <c r="E103" t="s">
        <v>232</v>
      </c>
      <c r="F103" s="1">
        <v>70570</v>
      </c>
      <c r="G103" s="1">
        <v>53946</v>
      </c>
      <c r="H103" s="1">
        <v>53941</v>
      </c>
      <c r="I103" s="5">
        <f>Table1[[#This Row],[ Verified Ballot Papers ]]/Table1[[#This Row],[ Electorate ]]</f>
        <v>0.76436162675357799</v>
      </c>
      <c r="J103" s="1">
        <v>53940</v>
      </c>
      <c r="K103" s="1">
        <v>53907</v>
      </c>
      <c r="L103" s="1">
        <v>21030</v>
      </c>
      <c r="M103" s="1">
        <v>32877</v>
      </c>
      <c r="N103">
        <v>33</v>
      </c>
      <c r="O103">
        <v>1</v>
      </c>
      <c r="P103">
        <v>12</v>
      </c>
      <c r="Q103">
        <v>0</v>
      </c>
      <c r="R103">
        <v>20</v>
      </c>
      <c r="S103" s="5">
        <f>Table1[[#This Row],[ Remain ]]/Table1[[#This Row],[ Valid Votes ]]</f>
        <v>0.39011631142523234</v>
      </c>
      <c r="T103" s="5">
        <f>Table1[[#This Row],[ Leave ]]/Table1[[#This Row],[ Valid Votes ]]</f>
        <v>0.6098836885747676</v>
      </c>
      <c r="U103" s="5">
        <f>Table1[[#This Row],[ Rejected Ballots ]]/Table1[[#This Row],[ Votes Cast ]]</f>
        <v>6.1179087875417129E-4</v>
      </c>
      <c r="V103" t="str">
        <f>IF(Table1[[#This Row],[Percent Leave]]&gt;Table1[[#This Row],[Percent Remain]],"Leave", "Remain")</f>
        <v>Leave</v>
      </c>
      <c r="W103">
        <v>52.437229160000001</v>
      </c>
      <c r="X103">
        <v>-0.76773000000000002</v>
      </c>
      <c r="Y103" s="1">
        <f>_xlfn.XLOOKUP(Table1[[#This Row],[Area]],Table2[Area],Table2[All Residents])</f>
        <v>93475</v>
      </c>
    </row>
    <row r="104" spans="1:25" hidden="1" x14ac:dyDescent="0.45">
      <c r="A104">
        <v>103</v>
      </c>
      <c r="B104" t="s">
        <v>171</v>
      </c>
      <c r="C104" t="s">
        <v>172</v>
      </c>
      <c r="D104" t="s">
        <v>233</v>
      </c>
      <c r="E104" t="s">
        <v>234</v>
      </c>
      <c r="F104" s="1">
        <v>144948</v>
      </c>
      <c r="G104" s="1">
        <v>105352</v>
      </c>
      <c r="H104" s="1">
        <v>105350</v>
      </c>
      <c r="I104" s="5">
        <f>Table1[[#This Row],[ Verified Ballot Papers ]]/Table1[[#This Row],[ Electorate ]]</f>
        <v>0.7268123740927781</v>
      </c>
      <c r="J104" s="1">
        <v>105354</v>
      </c>
      <c r="K104" s="1">
        <v>105259</v>
      </c>
      <c r="L104" s="1">
        <v>43805</v>
      </c>
      <c r="M104" s="1">
        <v>61454</v>
      </c>
      <c r="N104">
        <v>95</v>
      </c>
      <c r="O104">
        <v>0</v>
      </c>
      <c r="P104">
        <v>35</v>
      </c>
      <c r="Q104">
        <v>7</v>
      </c>
      <c r="R104">
        <v>53</v>
      </c>
      <c r="S104" s="5">
        <f>Table1[[#This Row],[ Remain ]]/Table1[[#This Row],[ Valid Votes ]]</f>
        <v>0.41616393847556976</v>
      </c>
      <c r="T104" s="5">
        <f>Table1[[#This Row],[ Leave ]]/Table1[[#This Row],[ Valid Votes ]]</f>
        <v>0.58383606152443024</v>
      </c>
      <c r="U104" s="5">
        <f>Table1[[#This Row],[ Rejected Ballots ]]/Table1[[#This Row],[ Votes Cast ]]</f>
        <v>9.0172181407445376E-4</v>
      </c>
      <c r="V104" t="str">
        <f>IF(Table1[[#This Row],[Percent Leave]]&gt;Table1[[#This Row],[Percent Remain]],"Leave", "Remain")</f>
        <v>Leave</v>
      </c>
      <c r="W104">
        <v>52.237751009999997</v>
      </c>
      <c r="X104">
        <v>-0.88121002999999998</v>
      </c>
      <c r="Y104" s="1">
        <f>_xlfn.XLOOKUP(Table1[[#This Row],[Area]],Table2[Area],Table2[All Residents])</f>
        <v>212069</v>
      </c>
    </row>
    <row r="105" spans="1:25" hidden="1" x14ac:dyDescent="0.45">
      <c r="A105">
        <v>104</v>
      </c>
      <c r="B105" t="s">
        <v>171</v>
      </c>
      <c r="C105" t="s">
        <v>172</v>
      </c>
      <c r="D105" t="s">
        <v>235</v>
      </c>
      <c r="E105" t="s">
        <v>236</v>
      </c>
      <c r="F105" s="1">
        <v>71309</v>
      </c>
      <c r="G105" s="1">
        <v>56666</v>
      </c>
      <c r="H105" s="1">
        <v>56659</v>
      </c>
      <c r="I105" s="5">
        <f>Table1[[#This Row],[ Verified Ballot Papers ]]/Table1[[#This Row],[ Electorate ]]</f>
        <v>0.79455608688945289</v>
      </c>
      <c r="J105" s="1">
        <v>56664</v>
      </c>
      <c r="K105" s="1">
        <v>56624</v>
      </c>
      <c r="L105" s="1">
        <v>25853</v>
      </c>
      <c r="M105" s="1">
        <v>30771</v>
      </c>
      <c r="N105">
        <v>40</v>
      </c>
      <c r="O105">
        <v>0</v>
      </c>
      <c r="P105">
        <v>18</v>
      </c>
      <c r="Q105">
        <v>1</v>
      </c>
      <c r="R105">
        <v>21</v>
      </c>
      <c r="S105" s="5">
        <f>Table1[[#This Row],[ Remain ]]/Table1[[#This Row],[ Valid Votes ]]</f>
        <v>0.45657318451539985</v>
      </c>
      <c r="T105" s="5">
        <f>Table1[[#This Row],[ Leave ]]/Table1[[#This Row],[ Valid Votes ]]</f>
        <v>0.54342681548460015</v>
      </c>
      <c r="U105" s="5">
        <f>Table1[[#This Row],[ Rejected Ballots ]]/Table1[[#This Row],[ Votes Cast ]]</f>
        <v>7.059155724975293E-4</v>
      </c>
      <c r="V105" t="str">
        <f>IF(Table1[[#This Row],[Percent Leave]]&gt;Table1[[#This Row],[Percent Remain]],"Leave", "Remain")</f>
        <v>Leave</v>
      </c>
      <c r="W105">
        <v>52.11843872</v>
      </c>
      <c r="X105">
        <v>-1.08129001</v>
      </c>
      <c r="Y105" s="1">
        <f>_xlfn.XLOOKUP(Table1[[#This Row],[Area]],Table2[Area],Table2[All Residents])</f>
        <v>85189</v>
      </c>
    </row>
    <row r="106" spans="1:25" hidden="1" x14ac:dyDescent="0.45">
      <c r="A106">
        <v>105</v>
      </c>
      <c r="B106" t="s">
        <v>171</v>
      </c>
      <c r="C106" t="s">
        <v>172</v>
      </c>
      <c r="D106" t="s">
        <v>237</v>
      </c>
      <c r="E106" t="s">
        <v>238</v>
      </c>
      <c r="F106" s="1">
        <v>54572</v>
      </c>
      <c r="G106" s="1">
        <v>41184</v>
      </c>
      <c r="H106" s="1">
        <v>41177</v>
      </c>
      <c r="I106" s="5">
        <f>Table1[[#This Row],[ Verified Ballot Papers ]]/Table1[[#This Row],[ Electorate ]]</f>
        <v>0.7545444550318845</v>
      </c>
      <c r="J106" s="1">
        <v>41178</v>
      </c>
      <c r="K106" s="1">
        <v>41141</v>
      </c>
      <c r="L106" s="1">
        <v>15462</v>
      </c>
      <c r="M106" s="1">
        <v>25679</v>
      </c>
      <c r="N106">
        <v>37</v>
      </c>
      <c r="O106">
        <v>0</v>
      </c>
      <c r="P106">
        <v>18</v>
      </c>
      <c r="Q106">
        <v>2</v>
      </c>
      <c r="R106">
        <v>17</v>
      </c>
      <c r="S106" s="5">
        <f>Table1[[#This Row],[ Remain ]]/Table1[[#This Row],[ Valid Votes ]]</f>
        <v>0.37582946452444033</v>
      </c>
      <c r="T106" s="5">
        <f>Table1[[#This Row],[ Leave ]]/Table1[[#This Row],[ Valid Votes ]]</f>
        <v>0.62417053547555967</v>
      </c>
      <c r="U106" s="5">
        <f>Table1[[#This Row],[ Rejected Ballots ]]/Table1[[#This Row],[ Votes Cast ]]</f>
        <v>8.9853805430084024E-4</v>
      </c>
      <c r="V106" t="str">
        <f>IF(Table1[[#This Row],[Percent Leave]]&gt;Table1[[#This Row],[Percent Remain]],"Leave", "Remain")</f>
        <v>Leave</v>
      </c>
      <c r="W106">
        <v>52.29257965</v>
      </c>
      <c r="X106">
        <v>-0.71425002999999998</v>
      </c>
      <c r="Y106" s="1">
        <f>_xlfn.XLOOKUP(Table1[[#This Row],[Area]],Table2[Area],Table2[All Residents])</f>
        <v>75356</v>
      </c>
    </row>
    <row r="107" spans="1:25" hidden="1" x14ac:dyDescent="0.45">
      <c r="A107">
        <v>106</v>
      </c>
      <c r="B107" t="s">
        <v>171</v>
      </c>
      <c r="C107" t="s">
        <v>172</v>
      </c>
      <c r="D107" t="s">
        <v>239</v>
      </c>
      <c r="E107" t="s">
        <v>240</v>
      </c>
      <c r="F107" s="1">
        <v>91916</v>
      </c>
      <c r="G107" s="1">
        <v>66948</v>
      </c>
      <c r="H107" s="1">
        <v>66947</v>
      </c>
      <c r="I107" s="5">
        <f>Table1[[#This Row],[ Verified Ballot Papers ]]/Table1[[#This Row],[ Electorate ]]</f>
        <v>0.72834979764132468</v>
      </c>
      <c r="J107" s="1">
        <v>66946</v>
      </c>
      <c r="K107" s="1">
        <v>66899</v>
      </c>
      <c r="L107" s="1">
        <v>20179</v>
      </c>
      <c r="M107" s="1">
        <v>46720</v>
      </c>
      <c r="N107">
        <v>47</v>
      </c>
      <c r="O107">
        <v>1</v>
      </c>
      <c r="P107">
        <v>15</v>
      </c>
      <c r="Q107">
        <v>1</v>
      </c>
      <c r="R107">
        <v>30</v>
      </c>
      <c r="S107" s="5">
        <f>Table1[[#This Row],[ Remain ]]/Table1[[#This Row],[ Valid Votes ]]</f>
        <v>0.30163380618544372</v>
      </c>
      <c r="T107" s="5">
        <f>Table1[[#This Row],[ Leave ]]/Table1[[#This Row],[ Valid Votes ]]</f>
        <v>0.69836619381455622</v>
      </c>
      <c r="U107" s="5">
        <f>Table1[[#This Row],[ Rejected Ballots ]]/Table1[[#This Row],[ Votes Cast ]]</f>
        <v>7.0205837540704451E-4</v>
      </c>
      <c r="V107" t="str">
        <f>IF(Table1[[#This Row],[Percent Leave]]&gt;Table1[[#This Row],[Percent Remain]],"Leave", "Remain")</f>
        <v>Leave</v>
      </c>
      <c r="W107">
        <v>53.097468999999997</v>
      </c>
      <c r="X107">
        <v>-1.2542199999999999</v>
      </c>
      <c r="Y107" s="1">
        <f>_xlfn.XLOOKUP(Table1[[#This Row],[Area]],Table2[Area],Table2[All Residents])</f>
        <v>119497</v>
      </c>
    </row>
    <row r="108" spans="1:25" hidden="1" x14ac:dyDescent="0.45">
      <c r="A108">
        <v>107</v>
      </c>
      <c r="B108" t="s">
        <v>171</v>
      </c>
      <c r="C108" t="s">
        <v>172</v>
      </c>
      <c r="D108" t="s">
        <v>241</v>
      </c>
      <c r="E108" t="s">
        <v>242</v>
      </c>
      <c r="F108" s="1">
        <v>85547</v>
      </c>
      <c r="G108" s="1">
        <v>64006</v>
      </c>
      <c r="H108" s="1">
        <v>64005</v>
      </c>
      <c r="I108" s="5">
        <f>Table1[[#This Row],[ Verified Ballot Papers ]]/Table1[[#This Row],[ Electorate ]]</f>
        <v>0.74818520813120271</v>
      </c>
      <c r="J108" s="1">
        <v>64003</v>
      </c>
      <c r="K108" s="1">
        <v>63967</v>
      </c>
      <c r="L108" s="1">
        <v>20575</v>
      </c>
      <c r="M108" s="1">
        <v>43392</v>
      </c>
      <c r="N108">
        <v>36</v>
      </c>
      <c r="O108">
        <v>1</v>
      </c>
      <c r="P108">
        <v>10</v>
      </c>
      <c r="Q108">
        <v>5</v>
      </c>
      <c r="R108">
        <v>20</v>
      </c>
      <c r="S108" s="5">
        <f>Table1[[#This Row],[ Remain ]]/Table1[[#This Row],[ Valid Votes ]]</f>
        <v>0.32165022589772851</v>
      </c>
      <c r="T108" s="5">
        <f>Table1[[#This Row],[ Leave ]]/Table1[[#This Row],[ Valid Votes ]]</f>
        <v>0.67834977410227149</v>
      </c>
      <c r="U108" s="5">
        <f>Table1[[#This Row],[ Rejected Ballots ]]/Table1[[#This Row],[ Votes Cast ]]</f>
        <v>5.6247363404840402E-4</v>
      </c>
      <c r="V108" t="str">
        <f>IF(Table1[[#This Row],[Percent Leave]]&gt;Table1[[#This Row],[Percent Remain]],"Leave", "Remain")</f>
        <v>Leave</v>
      </c>
      <c r="W108">
        <v>53.356040999999998</v>
      </c>
      <c r="X108">
        <v>-0.97869998000000002</v>
      </c>
      <c r="Y108" s="1">
        <f>_xlfn.XLOOKUP(Table1[[#This Row],[Area]],Table2[Area],Table2[All Residents])</f>
        <v>112863</v>
      </c>
    </row>
    <row r="109" spans="1:25" hidden="1" x14ac:dyDescent="0.45">
      <c r="A109">
        <v>108</v>
      </c>
      <c r="B109" t="s">
        <v>171</v>
      </c>
      <c r="C109" t="s">
        <v>172</v>
      </c>
      <c r="D109" t="s">
        <v>243</v>
      </c>
      <c r="E109" t="s">
        <v>244</v>
      </c>
      <c r="F109" s="1">
        <v>83593</v>
      </c>
      <c r="G109" s="1">
        <v>65468</v>
      </c>
      <c r="H109" s="1">
        <v>65468</v>
      </c>
      <c r="I109" s="5">
        <f>Table1[[#This Row],[ Verified Ballot Papers ]]/Table1[[#This Row],[ Electorate ]]</f>
        <v>0.78317562475326885</v>
      </c>
      <c r="J109" s="1">
        <v>65468</v>
      </c>
      <c r="K109" s="1">
        <v>65426</v>
      </c>
      <c r="L109" s="1">
        <v>29672</v>
      </c>
      <c r="M109" s="1">
        <v>35754</v>
      </c>
      <c r="N109">
        <v>42</v>
      </c>
      <c r="O109">
        <v>0</v>
      </c>
      <c r="P109">
        <v>8</v>
      </c>
      <c r="Q109">
        <v>1</v>
      </c>
      <c r="R109">
        <v>33</v>
      </c>
      <c r="S109" s="5">
        <f>Table1[[#This Row],[ Remain ]]/Table1[[#This Row],[ Valid Votes ]]</f>
        <v>0.45352000733653286</v>
      </c>
      <c r="T109" s="5">
        <f>Table1[[#This Row],[ Leave ]]/Table1[[#This Row],[ Valid Votes ]]</f>
        <v>0.54647999266346714</v>
      </c>
      <c r="U109" s="5">
        <f>Table1[[#This Row],[ Rejected Ballots ]]/Table1[[#This Row],[ Votes Cast ]]</f>
        <v>6.4153479562534363E-4</v>
      </c>
      <c r="V109" t="str">
        <f>IF(Table1[[#This Row],[Percent Leave]]&gt;Table1[[#This Row],[Percent Remain]],"Leave", "Remain")</f>
        <v>Leave</v>
      </c>
      <c r="W109">
        <v>52.972099</v>
      </c>
      <c r="X109">
        <v>-1.2594399000000001</v>
      </c>
      <c r="Y109" s="1">
        <f>_xlfn.XLOOKUP(Table1[[#This Row],[Area]],Table2[Area],Table2[All Residents])</f>
        <v>109487</v>
      </c>
    </row>
    <row r="110" spans="1:25" hidden="1" x14ac:dyDescent="0.45">
      <c r="A110">
        <v>109</v>
      </c>
      <c r="B110" t="s">
        <v>171</v>
      </c>
      <c r="C110" t="s">
        <v>172</v>
      </c>
      <c r="D110" t="s">
        <v>245</v>
      </c>
      <c r="E110" t="s">
        <v>246</v>
      </c>
      <c r="F110" s="1">
        <v>88298</v>
      </c>
      <c r="G110" s="1">
        <v>67639</v>
      </c>
      <c r="H110" s="1">
        <v>67635</v>
      </c>
      <c r="I110" s="5">
        <f>Table1[[#This Row],[ Verified Ballot Papers ]]/Table1[[#This Row],[ Electorate ]]</f>
        <v>0.76598563953883436</v>
      </c>
      <c r="J110" s="1">
        <v>67635</v>
      </c>
      <c r="K110" s="1">
        <v>67577</v>
      </c>
      <c r="L110" s="1">
        <v>30035</v>
      </c>
      <c r="M110" s="1">
        <v>37542</v>
      </c>
      <c r="N110">
        <v>58</v>
      </c>
      <c r="O110">
        <v>2</v>
      </c>
      <c r="P110">
        <v>17</v>
      </c>
      <c r="Q110">
        <v>1</v>
      </c>
      <c r="R110">
        <v>38</v>
      </c>
      <c r="S110" s="5">
        <f>Table1[[#This Row],[ Remain ]]/Table1[[#This Row],[ Valid Votes ]]</f>
        <v>0.44445595394882875</v>
      </c>
      <c r="T110" s="5">
        <f>Table1[[#This Row],[ Leave ]]/Table1[[#This Row],[ Valid Votes ]]</f>
        <v>0.55554404605117125</v>
      </c>
      <c r="U110" s="5">
        <f>Table1[[#This Row],[ Rejected Ballots ]]/Table1[[#This Row],[ Votes Cast ]]</f>
        <v>8.5754417091742443E-4</v>
      </c>
      <c r="V110" t="str">
        <f>IF(Table1[[#This Row],[Percent Leave]]&gt;Table1[[#This Row],[Percent Remain]],"Leave", "Remain")</f>
        <v>Leave</v>
      </c>
      <c r="W110">
        <v>53.024341999999997</v>
      </c>
      <c r="X110">
        <v>-1.1190701000000001</v>
      </c>
      <c r="Y110" s="1">
        <f>_xlfn.XLOOKUP(Table1[[#This Row],[Area]],Table2[Area],Table2[All Residents])</f>
        <v>113543</v>
      </c>
    </row>
    <row r="111" spans="1:25" hidden="1" x14ac:dyDescent="0.45">
      <c r="A111">
        <v>110</v>
      </c>
      <c r="B111" t="s">
        <v>171</v>
      </c>
      <c r="C111" t="s">
        <v>172</v>
      </c>
      <c r="D111" t="s">
        <v>247</v>
      </c>
      <c r="E111" t="s">
        <v>248</v>
      </c>
      <c r="F111" s="1">
        <v>77624</v>
      </c>
      <c r="G111" s="1">
        <v>56371</v>
      </c>
      <c r="H111" s="1">
        <v>56369</v>
      </c>
      <c r="I111" s="5">
        <f>Table1[[#This Row],[ Verified Ballot Papers ]]/Table1[[#This Row],[ Electorate ]]</f>
        <v>0.72618004740801811</v>
      </c>
      <c r="J111" s="1">
        <v>56370</v>
      </c>
      <c r="K111" s="1">
        <v>56344</v>
      </c>
      <c r="L111" s="1">
        <v>16417</v>
      </c>
      <c r="M111" s="1">
        <v>39927</v>
      </c>
      <c r="N111">
        <v>26</v>
      </c>
      <c r="O111">
        <v>0</v>
      </c>
      <c r="P111">
        <v>8</v>
      </c>
      <c r="Q111">
        <v>0</v>
      </c>
      <c r="R111">
        <v>18</v>
      </c>
      <c r="S111" s="5">
        <f>Table1[[#This Row],[ Remain ]]/Table1[[#This Row],[ Valid Votes ]]</f>
        <v>0.29137086468834306</v>
      </c>
      <c r="T111" s="5">
        <f>Table1[[#This Row],[ Leave ]]/Table1[[#This Row],[ Valid Votes ]]</f>
        <v>0.70862913531165694</v>
      </c>
      <c r="U111" s="5">
        <f>Table1[[#This Row],[ Rejected Ballots ]]/Table1[[#This Row],[ Votes Cast ]]</f>
        <v>4.6123824729466027E-4</v>
      </c>
      <c r="V111" t="str">
        <f>IF(Table1[[#This Row],[Percent Leave]]&gt;Table1[[#This Row],[Percent Remain]],"Leave", "Remain")</f>
        <v>Leave</v>
      </c>
      <c r="W111">
        <v>53.167029999999997</v>
      </c>
      <c r="X111">
        <v>-1.17804</v>
      </c>
      <c r="Y111" s="1">
        <f>_xlfn.XLOOKUP(Table1[[#This Row],[Area]],Table2[Area],Table2[All Residents])</f>
        <v>104466</v>
      </c>
    </row>
    <row r="112" spans="1:25" hidden="1" x14ac:dyDescent="0.45">
      <c r="A112">
        <v>111</v>
      </c>
      <c r="B112" t="s">
        <v>171</v>
      </c>
      <c r="C112" t="s">
        <v>172</v>
      </c>
      <c r="D112" t="s">
        <v>249</v>
      </c>
      <c r="E112" t="s">
        <v>250</v>
      </c>
      <c r="F112" s="1">
        <v>87338</v>
      </c>
      <c r="G112" s="1">
        <v>67133</v>
      </c>
      <c r="H112" s="1">
        <v>67128</v>
      </c>
      <c r="I112" s="5">
        <f>Table1[[#This Row],[ Verified Ballot Papers ]]/Table1[[#This Row],[ Electorate ]]</f>
        <v>0.76860015113696212</v>
      </c>
      <c r="J112" s="1">
        <v>67128</v>
      </c>
      <c r="K112" s="1">
        <v>67087</v>
      </c>
      <c r="L112" s="1">
        <v>26571</v>
      </c>
      <c r="M112" s="1">
        <v>40516</v>
      </c>
      <c r="N112">
        <v>41</v>
      </c>
      <c r="O112">
        <v>0</v>
      </c>
      <c r="P112">
        <v>14</v>
      </c>
      <c r="Q112">
        <v>2</v>
      </c>
      <c r="R112">
        <v>25</v>
      </c>
      <c r="S112" s="5">
        <f>Table1[[#This Row],[ Remain ]]/Table1[[#This Row],[ Valid Votes ]]</f>
        <v>0.39606779256785962</v>
      </c>
      <c r="T112" s="5">
        <f>Table1[[#This Row],[ Leave ]]/Table1[[#This Row],[ Valid Votes ]]</f>
        <v>0.60393220743214038</v>
      </c>
      <c r="U112" s="5">
        <f>Table1[[#This Row],[ Rejected Ballots ]]/Table1[[#This Row],[ Votes Cast ]]</f>
        <v>6.1077344774162795E-4</v>
      </c>
      <c r="V112" t="str">
        <f>IF(Table1[[#This Row],[Percent Leave]]&gt;Table1[[#This Row],[Percent Remain]],"Leave", "Remain")</f>
        <v>Leave</v>
      </c>
      <c r="W112">
        <v>53.1096</v>
      </c>
      <c r="X112">
        <v>-0.94643003000000003</v>
      </c>
      <c r="Y112" s="1">
        <f>_xlfn.XLOOKUP(Table1[[#This Row],[Area]],Table2[Area],Table2[All Residents])</f>
        <v>114817</v>
      </c>
    </row>
    <row r="113" spans="1:25" hidden="1" x14ac:dyDescent="0.45">
      <c r="A113">
        <v>112</v>
      </c>
      <c r="B113" t="s">
        <v>171</v>
      </c>
      <c r="C113" t="s">
        <v>172</v>
      </c>
      <c r="D113" t="s">
        <v>251</v>
      </c>
      <c r="E113" t="s">
        <v>252</v>
      </c>
      <c r="F113" s="1">
        <v>86401</v>
      </c>
      <c r="G113" s="1">
        <v>70472</v>
      </c>
      <c r="H113" s="1">
        <v>70470</v>
      </c>
      <c r="I113" s="5">
        <f>Table1[[#This Row],[ Verified Ballot Papers ]]/Table1[[#This Row],[ Electorate ]]</f>
        <v>0.8156155600050925</v>
      </c>
      <c r="J113" s="1">
        <v>70470</v>
      </c>
      <c r="K113" s="1">
        <v>70410</v>
      </c>
      <c r="L113" s="1">
        <v>40522</v>
      </c>
      <c r="M113" s="1">
        <v>29888</v>
      </c>
      <c r="N113">
        <v>60</v>
      </c>
      <c r="O113">
        <v>0</v>
      </c>
      <c r="P113">
        <v>20</v>
      </c>
      <c r="Q113">
        <v>0</v>
      </c>
      <c r="R113">
        <v>40</v>
      </c>
      <c r="S113" s="5">
        <f>Table1[[#This Row],[ Remain ]]/Table1[[#This Row],[ Valid Votes ]]</f>
        <v>0.57551484164181221</v>
      </c>
      <c r="T113" s="5">
        <f>Table1[[#This Row],[ Leave ]]/Table1[[#This Row],[ Valid Votes ]]</f>
        <v>0.42448515835818773</v>
      </c>
      <c r="U113" s="5">
        <f>Table1[[#This Row],[ Rejected Ballots ]]/Table1[[#This Row],[ Votes Cast ]]</f>
        <v>8.5142613878246064E-4</v>
      </c>
      <c r="V113" t="str">
        <f>IF(Table1[[#This Row],[Percent Leave]]&gt;Table1[[#This Row],[Percent Remain]],"Leave", "Remain")</f>
        <v>Remain</v>
      </c>
      <c r="W113">
        <v>52.912399000000001</v>
      </c>
      <c r="X113">
        <v>-1.0109699999999999</v>
      </c>
      <c r="Y113" s="1">
        <f>_xlfn.XLOOKUP(Table1[[#This Row],[Area]],Table2[Area],Table2[All Residents])</f>
        <v>111129</v>
      </c>
    </row>
    <row r="114" spans="1:25" hidden="1" x14ac:dyDescent="0.45">
      <c r="A114">
        <v>113</v>
      </c>
      <c r="B114" t="s">
        <v>253</v>
      </c>
      <c r="C114" t="s">
        <v>254</v>
      </c>
      <c r="D114" t="s">
        <v>255</v>
      </c>
      <c r="E114" t="s">
        <v>256</v>
      </c>
      <c r="F114" s="1">
        <v>707293</v>
      </c>
      <c r="G114" s="1">
        <v>451422</v>
      </c>
      <c r="H114" s="1">
        <v>451336</v>
      </c>
      <c r="I114" s="5">
        <f>Table1[[#This Row],[ Verified Ballot Papers ]]/Table1[[#This Row],[ Electorate ]]</f>
        <v>0.63811744213501331</v>
      </c>
      <c r="J114" s="1">
        <v>451316</v>
      </c>
      <c r="K114" s="1">
        <v>450702</v>
      </c>
      <c r="L114" s="1">
        <v>223451</v>
      </c>
      <c r="M114" s="1">
        <v>227251</v>
      </c>
      <c r="N114">
        <v>614</v>
      </c>
      <c r="O114">
        <v>0</v>
      </c>
      <c r="P114">
        <v>311</v>
      </c>
      <c r="Q114">
        <v>17</v>
      </c>
      <c r="R114">
        <v>286</v>
      </c>
      <c r="S114" s="5">
        <f>Table1[[#This Row],[ Remain ]]/Table1[[#This Row],[ Valid Votes ]]</f>
        <v>0.4957843541852488</v>
      </c>
      <c r="T114" s="5">
        <f>Table1[[#This Row],[ Leave ]]/Table1[[#This Row],[ Valid Votes ]]</f>
        <v>0.5042156458147512</v>
      </c>
      <c r="U114" s="5">
        <f>Table1[[#This Row],[ Rejected Ballots ]]/Table1[[#This Row],[ Votes Cast ]]</f>
        <v>1.3604658376835744E-3</v>
      </c>
      <c r="V114" t="str">
        <f>IF(Table1[[#This Row],[Percent Leave]]&gt;Table1[[#This Row],[Percent Remain]],"Leave", "Remain")</f>
        <v>Leave</v>
      </c>
      <c r="W114">
        <v>52.484039000000003</v>
      </c>
      <c r="X114">
        <v>-1.88141</v>
      </c>
      <c r="Y114" s="1">
        <f>_xlfn.XLOOKUP(Table1[[#This Row],[Area]],Table2[Area],Table2[All Residents])</f>
        <v>1073045</v>
      </c>
    </row>
    <row r="115" spans="1:25" hidden="1" x14ac:dyDescent="0.45">
      <c r="A115">
        <v>114</v>
      </c>
      <c r="B115" t="s">
        <v>253</v>
      </c>
      <c r="C115" t="s">
        <v>254</v>
      </c>
      <c r="D115" t="s">
        <v>257</v>
      </c>
      <c r="E115" t="s">
        <v>258</v>
      </c>
      <c r="F115" s="1">
        <v>221389</v>
      </c>
      <c r="G115" s="1">
        <v>153241</v>
      </c>
      <c r="H115" s="1">
        <v>153234</v>
      </c>
      <c r="I115" s="5">
        <f>Table1[[#This Row],[ Verified Ballot Papers ]]/Table1[[#This Row],[ Electorate ]]</f>
        <v>0.69214820971231628</v>
      </c>
      <c r="J115" s="1">
        <v>153234</v>
      </c>
      <c r="K115" s="1">
        <v>153064</v>
      </c>
      <c r="L115" s="1">
        <v>67967</v>
      </c>
      <c r="M115" s="1">
        <v>85097</v>
      </c>
      <c r="N115">
        <v>170</v>
      </c>
      <c r="O115">
        <v>0</v>
      </c>
      <c r="P115">
        <v>85</v>
      </c>
      <c r="Q115">
        <v>0</v>
      </c>
      <c r="R115">
        <v>85</v>
      </c>
      <c r="S115" s="5">
        <f>Table1[[#This Row],[ Remain ]]/Table1[[#This Row],[ Valid Votes ]]</f>
        <v>0.44404301468666701</v>
      </c>
      <c r="T115" s="5">
        <f>Table1[[#This Row],[ Leave ]]/Table1[[#This Row],[ Valid Votes ]]</f>
        <v>0.55595698531333293</v>
      </c>
      <c r="U115" s="5">
        <f>Table1[[#This Row],[ Rejected Ballots ]]/Table1[[#This Row],[ Votes Cast ]]</f>
        <v>1.109414359737395E-3</v>
      </c>
      <c r="V115" t="str">
        <f>IF(Table1[[#This Row],[Percent Leave]]&gt;Table1[[#This Row],[Percent Remain]],"Leave", "Remain")</f>
        <v>Leave</v>
      </c>
      <c r="W115">
        <v>52.414230000000003</v>
      </c>
      <c r="X115">
        <v>-1.51908</v>
      </c>
      <c r="Y115" s="1">
        <f>_xlfn.XLOOKUP(Table1[[#This Row],[Area]],Table2[Area],Table2[All Residents])</f>
        <v>316960</v>
      </c>
    </row>
    <row r="116" spans="1:25" hidden="1" x14ac:dyDescent="0.45">
      <c r="A116">
        <v>115</v>
      </c>
      <c r="B116" t="s">
        <v>253</v>
      </c>
      <c r="C116" t="s">
        <v>254</v>
      </c>
      <c r="D116" t="s">
        <v>259</v>
      </c>
      <c r="E116" t="s">
        <v>260</v>
      </c>
      <c r="F116" s="1">
        <v>244516</v>
      </c>
      <c r="G116" s="1">
        <v>175351</v>
      </c>
      <c r="H116" s="1">
        <v>175333</v>
      </c>
      <c r="I116" s="5">
        <f>Table1[[#This Row],[ Verified Ballot Papers ]]/Table1[[#This Row],[ Electorate ]]</f>
        <v>0.71706146019074413</v>
      </c>
      <c r="J116" s="1">
        <v>175333</v>
      </c>
      <c r="K116" s="1">
        <v>175226</v>
      </c>
      <c r="L116" s="1">
        <v>56780</v>
      </c>
      <c r="M116" s="1">
        <v>118446</v>
      </c>
      <c r="N116">
        <v>107</v>
      </c>
      <c r="O116">
        <v>0</v>
      </c>
      <c r="P116">
        <v>41</v>
      </c>
      <c r="Q116">
        <v>2</v>
      </c>
      <c r="R116">
        <v>64</v>
      </c>
      <c r="S116" s="5">
        <f>Table1[[#This Row],[ Remain ]]/Table1[[#This Row],[ Valid Votes ]]</f>
        <v>0.32403867006037917</v>
      </c>
      <c r="T116" s="5">
        <f>Table1[[#This Row],[ Leave ]]/Table1[[#This Row],[ Valid Votes ]]</f>
        <v>0.67596132993962088</v>
      </c>
      <c r="U116" s="5">
        <f>Table1[[#This Row],[ Rejected Ballots ]]/Table1[[#This Row],[ Votes Cast ]]</f>
        <v>6.1026731989984777E-4</v>
      </c>
      <c r="V116" t="str">
        <f>IF(Table1[[#This Row],[Percent Leave]]&gt;Table1[[#This Row],[Percent Remain]],"Leave", "Remain")</f>
        <v>Leave</v>
      </c>
      <c r="W116">
        <v>52.495128999999999</v>
      </c>
      <c r="X116">
        <v>-2.1017101</v>
      </c>
      <c r="Y116" s="1">
        <f>_xlfn.XLOOKUP(Table1[[#This Row],[Area]],Table2[Area],Table2[All Residents])</f>
        <v>312925</v>
      </c>
    </row>
    <row r="117" spans="1:25" hidden="1" x14ac:dyDescent="0.45">
      <c r="A117">
        <v>116</v>
      </c>
      <c r="B117" t="s">
        <v>253</v>
      </c>
      <c r="C117" t="s">
        <v>254</v>
      </c>
      <c r="D117" t="s">
        <v>261</v>
      </c>
      <c r="E117" t="s">
        <v>262</v>
      </c>
      <c r="F117" s="1">
        <v>221429</v>
      </c>
      <c r="G117" s="1">
        <v>147428</v>
      </c>
      <c r="H117" s="1">
        <v>147418</v>
      </c>
      <c r="I117" s="5">
        <f>Table1[[#This Row],[ Verified Ballot Papers ]]/Table1[[#This Row],[ Electorate ]]</f>
        <v>0.66575742111466885</v>
      </c>
      <c r="J117" s="1">
        <v>147418</v>
      </c>
      <c r="K117" s="1">
        <v>147254</v>
      </c>
      <c r="L117" s="1">
        <v>49004</v>
      </c>
      <c r="M117" s="1">
        <v>98250</v>
      </c>
      <c r="N117">
        <v>164</v>
      </c>
      <c r="O117">
        <v>0</v>
      </c>
      <c r="P117">
        <v>90</v>
      </c>
      <c r="Q117">
        <v>2</v>
      </c>
      <c r="R117">
        <v>72</v>
      </c>
      <c r="S117" s="5">
        <f>Table1[[#This Row],[ Remain ]]/Table1[[#This Row],[ Valid Votes ]]</f>
        <v>0.33278552704850123</v>
      </c>
      <c r="T117" s="5">
        <f>Table1[[#This Row],[ Leave ]]/Table1[[#This Row],[ Valid Votes ]]</f>
        <v>0.66721447295149872</v>
      </c>
      <c r="U117" s="5">
        <f>Table1[[#This Row],[ Rejected Ballots ]]/Table1[[#This Row],[ Votes Cast ]]</f>
        <v>1.1124828718338331E-3</v>
      </c>
      <c r="V117" t="str">
        <f>IF(Table1[[#This Row],[Percent Leave]]&gt;Table1[[#This Row],[Percent Remain]],"Leave", "Remain")</f>
        <v>Leave</v>
      </c>
      <c r="W117">
        <v>52.514771000000003</v>
      </c>
      <c r="X117">
        <v>-2.0077099999999999</v>
      </c>
      <c r="Y117" s="1">
        <f>_xlfn.XLOOKUP(Table1[[#This Row],[Area]],Table2[Area],Table2[All Residents])</f>
        <v>308063</v>
      </c>
    </row>
    <row r="118" spans="1:25" hidden="1" x14ac:dyDescent="0.45">
      <c r="A118">
        <v>117</v>
      </c>
      <c r="B118" t="s">
        <v>253</v>
      </c>
      <c r="C118" t="s">
        <v>254</v>
      </c>
      <c r="D118" t="s">
        <v>263</v>
      </c>
      <c r="E118" t="s">
        <v>264</v>
      </c>
      <c r="F118" s="1">
        <v>160425</v>
      </c>
      <c r="G118" s="1">
        <v>122026</v>
      </c>
      <c r="H118" s="1">
        <v>122017</v>
      </c>
      <c r="I118" s="5">
        <f>Table1[[#This Row],[ Verified Ballot Papers ]]/Table1[[#This Row],[ Electorate ]]</f>
        <v>0.7605859435873461</v>
      </c>
      <c r="J118" s="1">
        <v>122020</v>
      </c>
      <c r="K118" s="1">
        <v>121950</v>
      </c>
      <c r="L118" s="1">
        <v>53466</v>
      </c>
      <c r="M118" s="1">
        <v>68484</v>
      </c>
      <c r="N118">
        <v>70</v>
      </c>
      <c r="O118">
        <v>0</v>
      </c>
      <c r="P118">
        <v>25</v>
      </c>
      <c r="Q118">
        <v>0</v>
      </c>
      <c r="R118">
        <v>45</v>
      </c>
      <c r="S118" s="5">
        <f>Table1[[#This Row],[ Remain ]]/Table1[[#This Row],[ Valid Votes ]]</f>
        <v>0.43842558425584255</v>
      </c>
      <c r="T118" s="5">
        <f>Table1[[#This Row],[ Leave ]]/Table1[[#This Row],[ Valid Votes ]]</f>
        <v>0.56157441574415745</v>
      </c>
      <c r="U118" s="5">
        <f>Table1[[#This Row],[ Rejected Ballots ]]/Table1[[#This Row],[ Votes Cast ]]</f>
        <v>5.7367644648418292E-4</v>
      </c>
      <c r="V118" t="str">
        <f>IF(Table1[[#This Row],[Percent Leave]]&gt;Table1[[#This Row],[Percent Remain]],"Leave", "Remain")</f>
        <v>Leave</v>
      </c>
      <c r="W118">
        <v>52.430999999999997</v>
      </c>
      <c r="X118">
        <v>-1.7155800000000001</v>
      </c>
      <c r="Y118" s="1">
        <f>_xlfn.XLOOKUP(Table1[[#This Row],[Area]],Table2[Area],Table2[All Residents])</f>
        <v>206674</v>
      </c>
    </row>
    <row r="119" spans="1:25" hidden="1" x14ac:dyDescent="0.45">
      <c r="A119">
        <v>118</v>
      </c>
      <c r="B119" t="s">
        <v>253</v>
      </c>
      <c r="C119" t="s">
        <v>254</v>
      </c>
      <c r="D119" t="s">
        <v>265</v>
      </c>
      <c r="E119" t="s">
        <v>266</v>
      </c>
      <c r="F119" s="1">
        <v>194729</v>
      </c>
      <c r="G119" s="1">
        <v>135690</v>
      </c>
      <c r="H119" s="1">
        <v>135684</v>
      </c>
      <c r="I119" s="5">
        <f>Table1[[#This Row],[ Verified Ballot Papers ]]/Table1[[#This Row],[ Electorate ]]</f>
        <v>0.69678373534501792</v>
      </c>
      <c r="J119" s="1">
        <v>135685</v>
      </c>
      <c r="K119" s="1">
        <v>135579</v>
      </c>
      <c r="L119" s="1">
        <v>43572</v>
      </c>
      <c r="M119" s="1">
        <v>92007</v>
      </c>
      <c r="N119">
        <v>106</v>
      </c>
      <c r="O119">
        <v>0</v>
      </c>
      <c r="P119">
        <v>59</v>
      </c>
      <c r="Q119">
        <v>3</v>
      </c>
      <c r="R119">
        <v>44</v>
      </c>
      <c r="S119" s="5">
        <f>Table1[[#This Row],[ Remain ]]/Table1[[#This Row],[ Valid Votes ]]</f>
        <v>0.32137720443431506</v>
      </c>
      <c r="T119" s="5">
        <f>Table1[[#This Row],[ Leave ]]/Table1[[#This Row],[ Valid Votes ]]</f>
        <v>0.67862279556568494</v>
      </c>
      <c r="U119" s="5">
        <f>Table1[[#This Row],[ Rejected Ballots ]]/Table1[[#This Row],[ Votes Cast ]]</f>
        <v>7.8122121089287686E-4</v>
      </c>
      <c r="V119" t="str">
        <f>IF(Table1[[#This Row],[Percent Leave]]&gt;Table1[[#This Row],[Percent Remain]],"Leave", "Remain")</f>
        <v>Leave</v>
      </c>
      <c r="W119">
        <v>52.605029999999999</v>
      </c>
      <c r="X119">
        <v>-1.97044</v>
      </c>
      <c r="Y119" s="1">
        <f>_xlfn.XLOOKUP(Table1[[#This Row],[Area]],Table2[Area],Table2[All Residents])</f>
        <v>269323</v>
      </c>
    </row>
    <row r="120" spans="1:25" hidden="1" x14ac:dyDescent="0.45">
      <c r="A120">
        <v>119</v>
      </c>
      <c r="B120" t="s">
        <v>253</v>
      </c>
      <c r="C120" t="s">
        <v>254</v>
      </c>
      <c r="D120" t="s">
        <v>267</v>
      </c>
      <c r="E120" t="s">
        <v>268</v>
      </c>
      <c r="F120" s="1">
        <v>174760</v>
      </c>
      <c r="G120" s="1">
        <v>118038</v>
      </c>
      <c r="H120" s="1">
        <v>118037</v>
      </c>
      <c r="I120" s="5">
        <f>Table1[[#This Row],[ Verified Ballot Papers ]]/Table1[[#This Row],[ Electorate ]]</f>
        <v>0.67542343785763337</v>
      </c>
      <c r="J120" s="1">
        <v>118037</v>
      </c>
      <c r="K120" s="1">
        <v>117936</v>
      </c>
      <c r="L120" s="1">
        <v>44138</v>
      </c>
      <c r="M120" s="1">
        <v>73798</v>
      </c>
      <c r="N120">
        <v>101</v>
      </c>
      <c r="O120">
        <v>0</v>
      </c>
      <c r="P120">
        <v>45</v>
      </c>
      <c r="Q120">
        <v>7</v>
      </c>
      <c r="R120">
        <v>49</v>
      </c>
      <c r="S120" s="5">
        <f>Table1[[#This Row],[ Remain ]]/Table1[[#This Row],[ Valid Votes ]]</f>
        <v>0.37425383258716594</v>
      </c>
      <c r="T120" s="5">
        <f>Table1[[#This Row],[ Leave ]]/Table1[[#This Row],[ Valid Votes ]]</f>
        <v>0.62574616741283406</v>
      </c>
      <c r="U120" s="5">
        <f>Table1[[#This Row],[ Rejected Ballots ]]/Table1[[#This Row],[ Votes Cast ]]</f>
        <v>8.556639019968315E-4</v>
      </c>
      <c r="V120" t="str">
        <f>IF(Table1[[#This Row],[Percent Leave]]&gt;Table1[[#This Row],[Percent Remain]],"Leave", "Remain")</f>
        <v>Leave</v>
      </c>
      <c r="W120">
        <v>52.597881000000001</v>
      </c>
      <c r="X120">
        <v>-2.1274600000000001</v>
      </c>
      <c r="Y120" s="1">
        <f>_xlfn.XLOOKUP(Table1[[#This Row],[Area]],Table2[Area],Table2[All Residents])</f>
        <v>249470</v>
      </c>
    </row>
    <row r="121" spans="1:25" hidden="1" x14ac:dyDescent="0.45">
      <c r="A121">
        <v>120</v>
      </c>
      <c r="B121" t="s">
        <v>253</v>
      </c>
      <c r="C121" t="s">
        <v>254</v>
      </c>
      <c r="D121" t="s">
        <v>269</v>
      </c>
      <c r="E121" t="s">
        <v>270</v>
      </c>
      <c r="F121" s="1">
        <v>138247</v>
      </c>
      <c r="G121" s="1">
        <v>108336</v>
      </c>
      <c r="H121" s="1">
        <v>108336</v>
      </c>
      <c r="I121" s="5">
        <f>Table1[[#This Row],[ Verified Ballot Papers ]]/Table1[[#This Row],[ Electorate ]]</f>
        <v>0.78364087466635801</v>
      </c>
      <c r="J121" s="1">
        <v>108336</v>
      </c>
      <c r="K121" s="1">
        <v>108270</v>
      </c>
      <c r="L121" s="1">
        <v>44148</v>
      </c>
      <c r="M121" s="1">
        <v>64122</v>
      </c>
      <c r="N121">
        <v>66</v>
      </c>
      <c r="O121">
        <v>0</v>
      </c>
      <c r="P121">
        <v>22</v>
      </c>
      <c r="Q121">
        <v>1</v>
      </c>
      <c r="R121">
        <v>43</v>
      </c>
      <c r="S121" s="5">
        <f>Table1[[#This Row],[ Remain ]]/Table1[[#This Row],[ Valid Votes ]]</f>
        <v>0.40775838182321972</v>
      </c>
      <c r="T121" s="5">
        <f>Table1[[#This Row],[ Leave ]]/Table1[[#This Row],[ Valid Votes ]]</f>
        <v>0.59224161817678023</v>
      </c>
      <c r="U121" s="5">
        <f>Table1[[#This Row],[ Rejected Ballots ]]/Table1[[#This Row],[ Votes Cast ]]</f>
        <v>6.0921577315019933E-4</v>
      </c>
      <c r="V121" t="str">
        <f>IF(Table1[[#This Row],[Percent Leave]]&gt;Table1[[#This Row],[Percent Remain]],"Leave", "Remain")</f>
        <v>Leave</v>
      </c>
      <c r="W121">
        <v>52.081538999999999</v>
      </c>
      <c r="X121">
        <v>-2.7393100000000001</v>
      </c>
      <c r="Y121" s="1">
        <f>_xlfn.XLOOKUP(Table1[[#This Row],[Area]],Table2[Area],Table2[All Residents])</f>
        <v>183477</v>
      </c>
    </row>
    <row r="122" spans="1:25" hidden="1" x14ac:dyDescent="0.45">
      <c r="A122">
        <v>121</v>
      </c>
      <c r="B122" t="s">
        <v>253</v>
      </c>
      <c r="C122" t="s">
        <v>254</v>
      </c>
      <c r="D122" t="s">
        <v>271</v>
      </c>
      <c r="E122" t="s">
        <v>272</v>
      </c>
      <c r="F122" s="1">
        <v>124338</v>
      </c>
      <c r="G122" s="1">
        <v>89707</v>
      </c>
      <c r="H122" s="1">
        <v>89704</v>
      </c>
      <c r="I122" s="5">
        <f>Table1[[#This Row],[ Verified Ballot Papers ]]/Table1[[#This Row],[ Electorate ]]</f>
        <v>0.72145281410349205</v>
      </c>
      <c r="J122" s="1">
        <v>89704</v>
      </c>
      <c r="K122" s="1">
        <v>89603</v>
      </c>
      <c r="L122" s="1">
        <v>32954</v>
      </c>
      <c r="M122" s="1">
        <v>56649</v>
      </c>
      <c r="N122">
        <v>101</v>
      </c>
      <c r="O122">
        <v>0</v>
      </c>
      <c r="P122">
        <v>11</v>
      </c>
      <c r="Q122">
        <v>0</v>
      </c>
      <c r="R122">
        <v>90</v>
      </c>
      <c r="S122" s="5">
        <f>Table1[[#This Row],[ Remain ]]/Table1[[#This Row],[ Valid Votes ]]</f>
        <v>0.36777786458042699</v>
      </c>
      <c r="T122" s="5">
        <f>Table1[[#This Row],[ Leave ]]/Table1[[#This Row],[ Valid Votes ]]</f>
        <v>0.63222213541957295</v>
      </c>
      <c r="U122" s="5">
        <f>Table1[[#This Row],[ Rejected Ballots ]]/Table1[[#This Row],[ Votes Cast ]]</f>
        <v>1.1259252653170427E-3</v>
      </c>
      <c r="V122" t="str">
        <f>IF(Table1[[#This Row],[Percent Leave]]&gt;Table1[[#This Row],[Percent Remain]],"Leave", "Remain")</f>
        <v>Leave</v>
      </c>
      <c r="W122">
        <v>52.714168999999998</v>
      </c>
      <c r="X122">
        <v>-2.4894099000000001</v>
      </c>
      <c r="Y122" s="1">
        <f>_xlfn.XLOOKUP(Table1[[#This Row],[Area]],Table2[Area],Table2[All Residents])</f>
        <v>166641</v>
      </c>
    </row>
    <row r="123" spans="1:25" hidden="1" x14ac:dyDescent="0.45">
      <c r="A123">
        <v>122</v>
      </c>
      <c r="B123" t="s">
        <v>253</v>
      </c>
      <c r="C123" t="s">
        <v>254</v>
      </c>
      <c r="D123" t="s">
        <v>273</v>
      </c>
      <c r="E123" t="s">
        <v>274</v>
      </c>
      <c r="F123" s="1">
        <v>236788</v>
      </c>
      <c r="G123" s="1">
        <v>183328</v>
      </c>
      <c r="H123" s="1">
        <v>183324</v>
      </c>
      <c r="I123" s="5">
        <f>Table1[[#This Row],[ Verified Ballot Papers ]]/Table1[[#This Row],[ Electorate ]]</f>
        <v>0.77421153098974616</v>
      </c>
      <c r="J123" s="1">
        <v>183323</v>
      </c>
      <c r="K123" s="1">
        <v>183153</v>
      </c>
      <c r="L123" s="1">
        <v>78987</v>
      </c>
      <c r="M123" s="1">
        <v>104166</v>
      </c>
      <c r="N123">
        <v>170</v>
      </c>
      <c r="O123">
        <v>0</v>
      </c>
      <c r="P123">
        <v>42</v>
      </c>
      <c r="Q123">
        <v>0</v>
      </c>
      <c r="R123">
        <v>128</v>
      </c>
      <c r="S123" s="5">
        <f>Table1[[#This Row],[ Remain ]]/Table1[[#This Row],[ Valid Votes ]]</f>
        <v>0.43126238718448512</v>
      </c>
      <c r="T123" s="5">
        <f>Table1[[#This Row],[ Leave ]]/Table1[[#This Row],[ Valid Votes ]]</f>
        <v>0.56873761281551494</v>
      </c>
      <c r="U123" s="5">
        <f>Table1[[#This Row],[ Rejected Ballots ]]/Table1[[#This Row],[ Votes Cast ]]</f>
        <v>9.2732499468151845E-4</v>
      </c>
      <c r="V123" t="str">
        <f>IF(Table1[[#This Row],[Percent Leave]]&gt;Table1[[#This Row],[Percent Remain]],"Leave", "Remain")</f>
        <v>Leave</v>
      </c>
      <c r="W123">
        <v>52.622120000000002</v>
      </c>
      <c r="X123">
        <v>-2.7366700000000002</v>
      </c>
      <c r="Y123" s="1">
        <f>_xlfn.XLOOKUP(Table1[[#This Row],[Area]],Table2[Area],Table2[All Residents])</f>
        <v>306129</v>
      </c>
    </row>
    <row r="124" spans="1:25" hidden="1" x14ac:dyDescent="0.45">
      <c r="A124">
        <v>123</v>
      </c>
      <c r="B124" t="s">
        <v>253</v>
      </c>
      <c r="C124" t="s">
        <v>254</v>
      </c>
      <c r="D124" t="s">
        <v>275</v>
      </c>
      <c r="E124" t="s">
        <v>276</v>
      </c>
      <c r="F124" s="1">
        <v>179010</v>
      </c>
      <c r="G124" s="1">
        <v>117691</v>
      </c>
      <c r="H124" s="1">
        <v>117680</v>
      </c>
      <c r="I124" s="5">
        <f>Table1[[#This Row],[ Verified Ballot Papers ]]/Table1[[#This Row],[ Electorate ]]</f>
        <v>0.65739344170716718</v>
      </c>
      <c r="J124" s="1">
        <v>117674</v>
      </c>
      <c r="K124" s="1">
        <v>117590</v>
      </c>
      <c r="L124" s="1">
        <v>36027</v>
      </c>
      <c r="M124" s="1">
        <v>81563</v>
      </c>
      <c r="N124">
        <v>84</v>
      </c>
      <c r="O124">
        <v>0</v>
      </c>
      <c r="P124">
        <v>19</v>
      </c>
      <c r="Q124">
        <v>6</v>
      </c>
      <c r="R124">
        <v>59</v>
      </c>
      <c r="S124" s="5">
        <f>Table1[[#This Row],[ Remain ]]/Table1[[#This Row],[ Valid Votes ]]</f>
        <v>0.30637809337528704</v>
      </c>
      <c r="T124" s="5">
        <f>Table1[[#This Row],[ Leave ]]/Table1[[#This Row],[ Valid Votes ]]</f>
        <v>0.69362190662471301</v>
      </c>
      <c r="U124" s="5">
        <f>Table1[[#This Row],[ Rejected Ballots ]]/Table1[[#This Row],[ Votes Cast ]]</f>
        <v>7.1383653143430154E-4</v>
      </c>
      <c r="V124" t="str">
        <f>IF(Table1[[#This Row],[Percent Leave]]&gt;Table1[[#This Row],[Percent Remain]],"Leave", "Remain")</f>
        <v>Leave</v>
      </c>
      <c r="W124">
        <v>53.017071000000001</v>
      </c>
      <c r="X124">
        <v>-2.1588799999999999</v>
      </c>
      <c r="Y124" s="1">
        <f>_xlfn.XLOOKUP(Table1[[#This Row],[Area]],Table2[Area],Table2[All Residents])</f>
        <v>249008</v>
      </c>
    </row>
    <row r="125" spans="1:25" hidden="1" x14ac:dyDescent="0.45">
      <c r="A125">
        <v>124</v>
      </c>
      <c r="B125" t="s">
        <v>253</v>
      </c>
      <c r="C125" t="s">
        <v>254</v>
      </c>
      <c r="D125" t="s">
        <v>277</v>
      </c>
      <c r="E125" t="s">
        <v>278</v>
      </c>
      <c r="F125" s="1">
        <v>75010</v>
      </c>
      <c r="G125" s="1">
        <v>53610</v>
      </c>
      <c r="H125" s="1">
        <v>53610</v>
      </c>
      <c r="I125" s="5">
        <f>Table1[[#This Row],[ Verified Ballot Papers ]]/Table1[[#This Row],[ Electorate ]]</f>
        <v>0.71470470603919478</v>
      </c>
      <c r="J125" s="1">
        <v>53607</v>
      </c>
      <c r="K125" s="1">
        <v>53578</v>
      </c>
      <c r="L125" s="1">
        <v>16684</v>
      </c>
      <c r="M125" s="1">
        <v>36894</v>
      </c>
      <c r="N125">
        <v>29</v>
      </c>
      <c r="O125">
        <v>0</v>
      </c>
      <c r="P125">
        <v>15</v>
      </c>
      <c r="Q125">
        <v>2</v>
      </c>
      <c r="R125">
        <v>12</v>
      </c>
      <c r="S125" s="5">
        <f>Table1[[#This Row],[ Remain ]]/Table1[[#This Row],[ Valid Votes ]]</f>
        <v>0.3113964686998395</v>
      </c>
      <c r="T125" s="5">
        <f>Table1[[#This Row],[ Leave ]]/Table1[[#This Row],[ Valid Votes ]]</f>
        <v>0.6886035313001605</v>
      </c>
      <c r="U125" s="5">
        <f>Table1[[#This Row],[ Rejected Ballots ]]/Table1[[#This Row],[ Votes Cast ]]</f>
        <v>5.4097412651332851E-4</v>
      </c>
      <c r="V125" t="str">
        <f>IF(Table1[[#This Row],[Percent Leave]]&gt;Table1[[#This Row],[Percent Remain]],"Leave", "Remain")</f>
        <v>Leave</v>
      </c>
      <c r="W125">
        <v>52.701659999999997</v>
      </c>
      <c r="X125">
        <v>-1.9827699999999999</v>
      </c>
      <c r="Y125" s="1">
        <f>_xlfn.XLOOKUP(Table1[[#This Row],[Area]],Table2[Area],Table2[All Residents])</f>
        <v>97462</v>
      </c>
    </row>
    <row r="126" spans="1:25" hidden="1" x14ac:dyDescent="0.45">
      <c r="A126">
        <v>125</v>
      </c>
      <c r="B126" t="s">
        <v>253</v>
      </c>
      <c r="C126" t="s">
        <v>254</v>
      </c>
      <c r="D126" t="s">
        <v>279</v>
      </c>
      <c r="E126" t="s">
        <v>280</v>
      </c>
      <c r="F126" s="1">
        <v>83558</v>
      </c>
      <c r="G126" s="1">
        <v>62164</v>
      </c>
      <c r="H126" s="1">
        <v>62160</v>
      </c>
      <c r="I126" s="5">
        <f>Table1[[#This Row],[ Verified Ballot Papers ]]/Table1[[#This Row],[ Electorate ]]</f>
        <v>0.7439144067593767</v>
      </c>
      <c r="J126" s="1">
        <v>62161</v>
      </c>
      <c r="K126" s="1">
        <v>62116</v>
      </c>
      <c r="L126" s="1">
        <v>22850</v>
      </c>
      <c r="M126" s="1">
        <v>39266</v>
      </c>
      <c r="N126">
        <v>45</v>
      </c>
      <c r="O126">
        <v>0</v>
      </c>
      <c r="P126">
        <v>9</v>
      </c>
      <c r="Q126">
        <v>1</v>
      </c>
      <c r="R126">
        <v>35</v>
      </c>
      <c r="S126" s="5">
        <f>Table1[[#This Row],[ Remain ]]/Table1[[#This Row],[ Valid Votes ]]</f>
        <v>0.36786013265503253</v>
      </c>
      <c r="T126" s="5">
        <f>Table1[[#This Row],[ Leave ]]/Table1[[#This Row],[ Valid Votes ]]</f>
        <v>0.63213986734496752</v>
      </c>
      <c r="U126" s="5">
        <f>Table1[[#This Row],[ Rejected Ballots ]]/Table1[[#This Row],[ Votes Cast ]]</f>
        <v>7.2392657775775804E-4</v>
      </c>
      <c r="V126" t="str">
        <f>IF(Table1[[#This Row],[Percent Leave]]&gt;Table1[[#This Row],[Percent Remain]],"Leave", "Remain")</f>
        <v>Leave</v>
      </c>
      <c r="W126">
        <v>52.836509999999997</v>
      </c>
      <c r="X126">
        <v>-1.8143800000000001</v>
      </c>
      <c r="Y126" s="1">
        <f>_xlfn.XLOOKUP(Table1[[#This Row],[Area]],Table2[Area],Table2[All Residents])</f>
        <v>113583</v>
      </c>
    </row>
    <row r="127" spans="1:25" hidden="1" x14ac:dyDescent="0.45">
      <c r="A127">
        <v>126</v>
      </c>
      <c r="B127" t="s">
        <v>253</v>
      </c>
      <c r="C127" t="s">
        <v>254</v>
      </c>
      <c r="D127" t="s">
        <v>281</v>
      </c>
      <c r="E127" t="s">
        <v>282</v>
      </c>
      <c r="F127" s="1">
        <v>80369</v>
      </c>
      <c r="G127" s="1">
        <v>63324</v>
      </c>
      <c r="H127" s="1">
        <v>63318</v>
      </c>
      <c r="I127" s="5">
        <f>Table1[[#This Row],[ Verified Ballot Papers ]]/Table1[[#This Row],[ Electorate ]]</f>
        <v>0.78784108300464106</v>
      </c>
      <c r="J127" s="1">
        <v>63318</v>
      </c>
      <c r="K127" s="1">
        <v>63278</v>
      </c>
      <c r="L127" s="1">
        <v>26064</v>
      </c>
      <c r="M127" s="1">
        <v>37214</v>
      </c>
      <c r="N127">
        <v>40</v>
      </c>
      <c r="O127">
        <v>0</v>
      </c>
      <c r="P127">
        <v>16</v>
      </c>
      <c r="Q127">
        <v>1</v>
      </c>
      <c r="R127">
        <v>23</v>
      </c>
      <c r="S127" s="5">
        <f>Table1[[#This Row],[ Remain ]]/Table1[[#This Row],[ Valid Votes ]]</f>
        <v>0.41189670975694553</v>
      </c>
      <c r="T127" s="5">
        <f>Table1[[#This Row],[ Leave ]]/Table1[[#This Row],[ Valid Votes ]]</f>
        <v>0.58810329024305441</v>
      </c>
      <c r="U127" s="5">
        <f>Table1[[#This Row],[ Rejected Ballots ]]/Table1[[#This Row],[ Votes Cast ]]</f>
        <v>6.3173189298461731E-4</v>
      </c>
      <c r="V127" t="str">
        <f>IF(Table1[[#This Row],[Percent Leave]]&gt;Table1[[#This Row],[Percent Remain]],"Leave", "Remain")</f>
        <v>Leave</v>
      </c>
      <c r="W127">
        <v>52.696151999999998</v>
      </c>
      <c r="X127">
        <v>-1.7604899000000001</v>
      </c>
      <c r="Y127" s="1">
        <f>_xlfn.XLOOKUP(Table1[[#This Row],[Area]],Table2[Area],Table2[All Residents])</f>
        <v>100654</v>
      </c>
    </row>
    <row r="128" spans="1:25" hidden="1" x14ac:dyDescent="0.45">
      <c r="A128">
        <v>127</v>
      </c>
      <c r="B128" t="s">
        <v>253</v>
      </c>
      <c r="C128" t="s">
        <v>254</v>
      </c>
      <c r="D128" t="s">
        <v>283</v>
      </c>
      <c r="E128" t="s">
        <v>284</v>
      </c>
      <c r="F128" s="1">
        <v>92816</v>
      </c>
      <c r="G128" s="1">
        <v>68966</v>
      </c>
      <c r="H128" s="1">
        <v>68966</v>
      </c>
      <c r="I128" s="5">
        <f>Table1[[#This Row],[ Verified Ballot Papers ]]/Table1[[#This Row],[ Electorate ]]</f>
        <v>0.74303999310463709</v>
      </c>
      <c r="J128" s="1">
        <v>68966</v>
      </c>
      <c r="K128" s="1">
        <v>68934</v>
      </c>
      <c r="L128" s="1">
        <v>25477</v>
      </c>
      <c r="M128" s="1">
        <v>43457</v>
      </c>
      <c r="N128">
        <v>32</v>
      </c>
      <c r="O128">
        <v>0</v>
      </c>
      <c r="P128">
        <v>13</v>
      </c>
      <c r="Q128">
        <v>0</v>
      </c>
      <c r="R128">
        <v>19</v>
      </c>
      <c r="S128" s="5">
        <f>Table1[[#This Row],[ Remain ]]/Table1[[#This Row],[ Valid Votes ]]</f>
        <v>0.36958540052804134</v>
      </c>
      <c r="T128" s="5">
        <f>Table1[[#This Row],[ Leave ]]/Table1[[#This Row],[ Valid Votes ]]</f>
        <v>0.63041459947195866</v>
      </c>
      <c r="U128" s="5">
        <f>Table1[[#This Row],[ Rejected Ballots ]]/Table1[[#This Row],[ Votes Cast ]]</f>
        <v>4.6399675202273585E-4</v>
      </c>
      <c r="V128" t="str">
        <f>IF(Table1[[#This Row],[Percent Leave]]&gt;Table1[[#This Row],[Percent Remain]],"Leave", "Remain")</f>
        <v>Leave</v>
      </c>
      <c r="W128">
        <v>53.003447999999999</v>
      </c>
      <c r="X128">
        <v>-2.3263099</v>
      </c>
      <c r="Y128" s="1">
        <f>_xlfn.XLOOKUP(Table1[[#This Row],[Area]],Table2[Area],Table2[All Residents])</f>
        <v>123871</v>
      </c>
    </row>
    <row r="129" spans="1:25" hidden="1" x14ac:dyDescent="0.45">
      <c r="A129">
        <v>128</v>
      </c>
      <c r="B129" t="s">
        <v>253</v>
      </c>
      <c r="C129" t="s">
        <v>254</v>
      </c>
      <c r="D129" t="s">
        <v>285</v>
      </c>
      <c r="E129" t="s">
        <v>286</v>
      </c>
      <c r="F129" s="1">
        <v>85777</v>
      </c>
      <c r="G129" s="1">
        <v>66741</v>
      </c>
      <c r="H129" s="1">
        <v>66741</v>
      </c>
      <c r="I129" s="5">
        <f>Table1[[#This Row],[ Verified Ballot Papers ]]/Table1[[#This Row],[ Electorate ]]</f>
        <v>0.77807570794035696</v>
      </c>
      <c r="J129" s="1">
        <v>66739</v>
      </c>
      <c r="K129" s="1">
        <v>66692</v>
      </c>
      <c r="L129" s="1">
        <v>23444</v>
      </c>
      <c r="M129" s="1">
        <v>43248</v>
      </c>
      <c r="N129">
        <v>47</v>
      </c>
      <c r="O129">
        <v>0</v>
      </c>
      <c r="P129">
        <v>6</v>
      </c>
      <c r="Q129">
        <v>2</v>
      </c>
      <c r="R129">
        <v>39</v>
      </c>
      <c r="S129" s="5">
        <f>Table1[[#This Row],[ Remain ]]/Table1[[#This Row],[ Valid Votes ]]</f>
        <v>0.35152641996041506</v>
      </c>
      <c r="T129" s="5">
        <f>Table1[[#This Row],[ Leave ]]/Table1[[#This Row],[ Valid Votes ]]</f>
        <v>0.648473580039585</v>
      </c>
      <c r="U129" s="5">
        <f>Table1[[#This Row],[ Rejected Ballots ]]/Table1[[#This Row],[ Votes Cast ]]</f>
        <v>7.0423590404411214E-4</v>
      </c>
      <c r="V129" t="str">
        <f>IF(Table1[[#This Row],[Percent Leave]]&gt;Table1[[#This Row],[Percent Remain]],"Leave", "Remain")</f>
        <v>Leave</v>
      </c>
      <c r="W129">
        <v>52.696917999999997</v>
      </c>
      <c r="X129">
        <v>-2.1549499000000001</v>
      </c>
      <c r="Y129" s="1">
        <f>_xlfn.XLOOKUP(Table1[[#This Row],[Area]],Table2[Area],Table2[All Residents])</f>
        <v>108131</v>
      </c>
    </row>
    <row r="130" spans="1:25" hidden="1" x14ac:dyDescent="0.45">
      <c r="A130">
        <v>129</v>
      </c>
      <c r="B130" t="s">
        <v>253</v>
      </c>
      <c r="C130" t="s">
        <v>254</v>
      </c>
      <c r="D130" t="s">
        <v>287</v>
      </c>
      <c r="E130" t="s">
        <v>288</v>
      </c>
      <c r="F130" s="1">
        <v>99612</v>
      </c>
      <c r="G130" s="1">
        <v>77524</v>
      </c>
      <c r="H130" s="1">
        <v>77527</v>
      </c>
      <c r="I130" s="5">
        <f>Table1[[#This Row],[ Verified Ballot Papers ]]/Table1[[#This Row],[ Electorate ]]</f>
        <v>0.77828976428542751</v>
      </c>
      <c r="J130" s="1">
        <v>77527</v>
      </c>
      <c r="K130" s="1">
        <v>77484</v>
      </c>
      <c r="L130" s="1">
        <v>34098</v>
      </c>
      <c r="M130" s="1">
        <v>43386</v>
      </c>
      <c r="N130">
        <v>43</v>
      </c>
      <c r="O130">
        <v>0</v>
      </c>
      <c r="P130">
        <v>11</v>
      </c>
      <c r="Q130">
        <v>3</v>
      </c>
      <c r="R130">
        <v>29</v>
      </c>
      <c r="S130" s="5">
        <f>Table1[[#This Row],[ Remain ]]/Table1[[#This Row],[ Valid Votes ]]</f>
        <v>0.44006504568685145</v>
      </c>
      <c r="T130" s="5">
        <f>Table1[[#This Row],[ Leave ]]/Table1[[#This Row],[ Valid Votes ]]</f>
        <v>0.55993495431314855</v>
      </c>
      <c r="U130" s="5">
        <f>Table1[[#This Row],[ Rejected Ballots ]]/Table1[[#This Row],[ Votes Cast ]]</f>
        <v>5.5464547834947829E-4</v>
      </c>
      <c r="V130" t="str">
        <f>IF(Table1[[#This Row],[Percent Leave]]&gt;Table1[[#This Row],[Percent Remain]],"Leave", "Remain")</f>
        <v>Leave</v>
      </c>
      <c r="W130">
        <v>52.847918999999997</v>
      </c>
      <c r="X130">
        <v>-2.1647501</v>
      </c>
      <c r="Y130" s="1">
        <f>_xlfn.XLOOKUP(Table1[[#This Row],[Area]],Table2[Area],Table2[All Residents])</f>
        <v>130869</v>
      </c>
    </row>
    <row r="131" spans="1:25" hidden="1" x14ac:dyDescent="0.45">
      <c r="A131">
        <v>130</v>
      </c>
      <c r="B131" t="s">
        <v>253</v>
      </c>
      <c r="C131" t="s">
        <v>254</v>
      </c>
      <c r="D131" t="s">
        <v>289</v>
      </c>
      <c r="E131" t="s">
        <v>290</v>
      </c>
      <c r="F131" s="1">
        <v>79347</v>
      </c>
      <c r="G131" s="1">
        <v>59794</v>
      </c>
      <c r="H131" s="1">
        <v>59793</v>
      </c>
      <c r="I131" s="5">
        <f>Table1[[#This Row],[ Verified Ballot Papers ]]/Table1[[#This Row],[ Electorate ]]</f>
        <v>0.75356346175658817</v>
      </c>
      <c r="J131" s="1">
        <v>59793</v>
      </c>
      <c r="K131" s="1">
        <v>59760</v>
      </c>
      <c r="L131" s="1">
        <v>21076</v>
      </c>
      <c r="M131" s="1">
        <v>38684</v>
      </c>
      <c r="N131">
        <v>33</v>
      </c>
      <c r="O131">
        <v>0</v>
      </c>
      <c r="P131">
        <v>13</v>
      </c>
      <c r="Q131">
        <v>0</v>
      </c>
      <c r="R131">
        <v>20</v>
      </c>
      <c r="S131" s="5">
        <f>Table1[[#This Row],[ Remain ]]/Table1[[#This Row],[ Valid Votes ]]</f>
        <v>0.35267737617135209</v>
      </c>
      <c r="T131" s="5">
        <f>Table1[[#This Row],[ Leave ]]/Table1[[#This Row],[ Valid Votes ]]</f>
        <v>0.64732262382864791</v>
      </c>
      <c r="U131" s="5">
        <f>Table1[[#This Row],[ Rejected Ballots ]]/Table1[[#This Row],[ Votes Cast ]]</f>
        <v>5.5190406903818173E-4</v>
      </c>
      <c r="V131" t="str">
        <f>IF(Table1[[#This Row],[Percent Leave]]&gt;Table1[[#This Row],[Percent Remain]],"Leave", "Remain")</f>
        <v>Leave</v>
      </c>
      <c r="W131">
        <v>53.069240999999998</v>
      </c>
      <c r="X131">
        <v>-1.9933399999999999</v>
      </c>
      <c r="Y131" s="1">
        <f>_xlfn.XLOOKUP(Table1[[#This Row],[Area]],Table2[Area],Table2[All Residents])</f>
        <v>97106</v>
      </c>
    </row>
    <row r="132" spans="1:25" hidden="1" x14ac:dyDescent="0.45">
      <c r="A132">
        <v>131</v>
      </c>
      <c r="B132" t="s">
        <v>253</v>
      </c>
      <c r="C132" t="s">
        <v>254</v>
      </c>
      <c r="D132" t="s">
        <v>291</v>
      </c>
      <c r="E132" t="s">
        <v>292</v>
      </c>
      <c r="F132" s="1">
        <v>56825</v>
      </c>
      <c r="G132" s="1">
        <v>42152</v>
      </c>
      <c r="H132" s="1">
        <v>42151</v>
      </c>
      <c r="I132" s="5">
        <f>Table1[[#This Row],[ Verified Ballot Papers ]]/Table1[[#This Row],[ Electorate ]]</f>
        <v>0.74176858776946764</v>
      </c>
      <c r="J132" s="1">
        <v>42151</v>
      </c>
      <c r="K132" s="1">
        <v>42129</v>
      </c>
      <c r="L132" s="1">
        <v>13705</v>
      </c>
      <c r="M132" s="1">
        <v>28424</v>
      </c>
      <c r="N132">
        <v>22</v>
      </c>
      <c r="O132">
        <v>0</v>
      </c>
      <c r="P132">
        <v>12</v>
      </c>
      <c r="Q132">
        <v>0</v>
      </c>
      <c r="R132">
        <v>10</v>
      </c>
      <c r="S132" s="5">
        <f>Table1[[#This Row],[ Remain ]]/Table1[[#This Row],[ Valid Votes ]]</f>
        <v>0.3253103562866434</v>
      </c>
      <c r="T132" s="5">
        <f>Table1[[#This Row],[ Leave ]]/Table1[[#This Row],[ Valid Votes ]]</f>
        <v>0.6746896437133566</v>
      </c>
      <c r="U132" s="5">
        <f>Table1[[#This Row],[ Rejected Ballots ]]/Table1[[#This Row],[ Votes Cast ]]</f>
        <v>5.2193305022419398E-4</v>
      </c>
      <c r="V132" t="str">
        <f>IF(Table1[[#This Row],[Percent Leave]]&gt;Table1[[#This Row],[Percent Remain]],"Leave", "Remain")</f>
        <v>Leave</v>
      </c>
      <c r="W132">
        <v>52.620311999999998</v>
      </c>
      <c r="X132">
        <v>-1.68451</v>
      </c>
      <c r="Y132" s="1">
        <f>_xlfn.XLOOKUP(Table1[[#This Row],[Area]],Table2[Area],Table2[All Residents])</f>
        <v>76813</v>
      </c>
    </row>
    <row r="133" spans="1:25" hidden="1" x14ac:dyDescent="0.45">
      <c r="A133">
        <v>132</v>
      </c>
      <c r="B133" t="s">
        <v>253</v>
      </c>
      <c r="C133" t="s">
        <v>254</v>
      </c>
      <c r="D133" t="s">
        <v>293</v>
      </c>
      <c r="E133" t="s">
        <v>294</v>
      </c>
      <c r="F133" s="1">
        <v>49790</v>
      </c>
      <c r="G133" s="1">
        <v>37975</v>
      </c>
      <c r="H133" s="1">
        <v>37975</v>
      </c>
      <c r="I133" s="5">
        <f>Table1[[#This Row],[ Verified Ballot Papers ]]/Table1[[#This Row],[ Electorate ]]</f>
        <v>0.76270335408716605</v>
      </c>
      <c r="J133" s="1">
        <v>37975</v>
      </c>
      <c r="K133" s="1">
        <v>37954</v>
      </c>
      <c r="L133" s="1">
        <v>12569</v>
      </c>
      <c r="M133" s="1">
        <v>25385</v>
      </c>
      <c r="N133">
        <v>21</v>
      </c>
      <c r="O133">
        <v>0</v>
      </c>
      <c r="P133">
        <v>9</v>
      </c>
      <c r="Q133">
        <v>0</v>
      </c>
      <c r="R133">
        <v>12</v>
      </c>
      <c r="S133" s="5">
        <f>Table1[[#This Row],[ Remain ]]/Table1[[#This Row],[ Valid Votes ]]</f>
        <v>0.33116404068082417</v>
      </c>
      <c r="T133" s="5">
        <f>Table1[[#This Row],[ Leave ]]/Table1[[#This Row],[ Valid Votes ]]</f>
        <v>0.66883595931917583</v>
      </c>
      <c r="U133" s="5">
        <f>Table1[[#This Row],[ Rejected Ballots ]]/Table1[[#This Row],[ Votes Cast ]]</f>
        <v>5.5299539170506912E-4</v>
      </c>
      <c r="V133" t="str">
        <f>IF(Table1[[#This Row],[Percent Leave]]&gt;Table1[[#This Row],[Percent Remain]],"Leave", "Remain")</f>
        <v>Leave</v>
      </c>
      <c r="W133">
        <v>52.564838000000002</v>
      </c>
      <c r="X133">
        <v>-1.6242000000000001</v>
      </c>
      <c r="Y133" s="1">
        <f>_xlfn.XLOOKUP(Table1[[#This Row],[Area]],Table2[Area],Table2[All Residents])</f>
        <v>62014</v>
      </c>
    </row>
    <row r="134" spans="1:25" hidden="1" x14ac:dyDescent="0.45">
      <c r="A134">
        <v>133</v>
      </c>
      <c r="B134" t="s">
        <v>253</v>
      </c>
      <c r="C134" t="s">
        <v>254</v>
      </c>
      <c r="D134" t="s">
        <v>295</v>
      </c>
      <c r="E134" t="s">
        <v>296</v>
      </c>
      <c r="F134" s="1">
        <v>93978</v>
      </c>
      <c r="G134" s="1">
        <v>69878</v>
      </c>
      <c r="H134" s="1">
        <v>69876</v>
      </c>
      <c r="I134" s="5">
        <f>Table1[[#This Row],[ Verified Ballot Papers ]]/Table1[[#This Row],[ Electorate ]]</f>
        <v>0.74353572112622102</v>
      </c>
      <c r="J134" s="1">
        <v>69876</v>
      </c>
      <c r="K134" s="1">
        <v>69831</v>
      </c>
      <c r="L134" s="1">
        <v>23736</v>
      </c>
      <c r="M134" s="1">
        <v>46095</v>
      </c>
      <c r="N134">
        <v>45</v>
      </c>
      <c r="O134">
        <v>0</v>
      </c>
      <c r="P134">
        <v>20</v>
      </c>
      <c r="Q134">
        <v>2</v>
      </c>
      <c r="R134">
        <v>23</v>
      </c>
      <c r="S134" s="5">
        <f>Table1[[#This Row],[ Remain ]]/Table1[[#This Row],[ Valid Votes ]]</f>
        <v>0.33990634531941399</v>
      </c>
      <c r="T134" s="5">
        <f>Table1[[#This Row],[ Leave ]]/Table1[[#This Row],[ Valid Votes ]]</f>
        <v>0.66009365468058601</v>
      </c>
      <c r="U134" s="5">
        <f>Table1[[#This Row],[ Rejected Ballots ]]/Table1[[#This Row],[ Votes Cast ]]</f>
        <v>6.4399793920659454E-4</v>
      </c>
      <c r="V134" t="str">
        <f>IF(Table1[[#This Row],[Percent Leave]]&gt;Table1[[#This Row],[Percent Remain]],"Leave", "Remain")</f>
        <v>Leave</v>
      </c>
      <c r="W134">
        <v>52.500937999999998</v>
      </c>
      <c r="X134">
        <v>-1.4796499999999999</v>
      </c>
      <c r="Y134" s="1">
        <f>_xlfn.XLOOKUP(Table1[[#This Row],[Area]],Table2[Area],Table2[All Residents])</f>
        <v>125252</v>
      </c>
    </row>
    <row r="135" spans="1:25" hidden="1" x14ac:dyDescent="0.45">
      <c r="A135">
        <v>134</v>
      </c>
      <c r="B135" t="s">
        <v>253</v>
      </c>
      <c r="C135" t="s">
        <v>254</v>
      </c>
      <c r="D135" t="s">
        <v>297</v>
      </c>
      <c r="E135" t="s">
        <v>298</v>
      </c>
      <c r="F135" s="1">
        <v>74137</v>
      </c>
      <c r="G135" s="1">
        <v>58599</v>
      </c>
      <c r="H135" s="1">
        <v>58593</v>
      </c>
      <c r="I135" s="5">
        <f>Table1[[#This Row],[ Verified Ballot Papers ]]/Table1[[#This Row],[ Electorate ]]</f>
        <v>0.79033411117255892</v>
      </c>
      <c r="J135" s="1">
        <v>58593</v>
      </c>
      <c r="K135" s="1">
        <v>58549</v>
      </c>
      <c r="L135" s="1">
        <v>25350</v>
      </c>
      <c r="M135" s="1">
        <v>33199</v>
      </c>
      <c r="N135">
        <v>44</v>
      </c>
      <c r="O135">
        <v>0</v>
      </c>
      <c r="P135">
        <v>13</v>
      </c>
      <c r="Q135">
        <v>2</v>
      </c>
      <c r="R135">
        <v>29</v>
      </c>
      <c r="S135" s="5">
        <f>Table1[[#This Row],[ Remain ]]/Table1[[#This Row],[ Valid Votes ]]</f>
        <v>0.43297067413619361</v>
      </c>
      <c r="T135" s="5">
        <f>Table1[[#This Row],[ Leave ]]/Table1[[#This Row],[ Valid Votes ]]</f>
        <v>0.56702932586380639</v>
      </c>
      <c r="U135" s="5">
        <f>Table1[[#This Row],[ Rejected Ballots ]]/Table1[[#This Row],[ Votes Cast ]]</f>
        <v>7.509429454030345E-4</v>
      </c>
      <c r="V135" t="str">
        <f>IF(Table1[[#This Row],[Percent Leave]]&gt;Table1[[#This Row],[Percent Remain]],"Leave", "Remain")</f>
        <v>Leave</v>
      </c>
      <c r="W135">
        <v>52.382277999999999</v>
      </c>
      <c r="X135">
        <v>-1.3182799999999999</v>
      </c>
      <c r="Y135" s="1">
        <f>_xlfn.XLOOKUP(Table1[[#This Row],[Area]],Table2[Area],Table2[All Residents])</f>
        <v>100075</v>
      </c>
    </row>
    <row r="136" spans="1:25" hidden="1" x14ac:dyDescent="0.45">
      <c r="A136">
        <v>135</v>
      </c>
      <c r="B136" t="s">
        <v>253</v>
      </c>
      <c r="C136" t="s">
        <v>254</v>
      </c>
      <c r="D136" t="s">
        <v>299</v>
      </c>
      <c r="E136" t="s">
        <v>300</v>
      </c>
      <c r="F136" s="1">
        <v>98014</v>
      </c>
      <c r="G136" s="1">
        <v>79223</v>
      </c>
      <c r="H136" s="1">
        <v>79217</v>
      </c>
      <c r="I136" s="5">
        <f>Table1[[#This Row],[ Verified Ballot Papers ]]/Table1[[#This Row],[ Electorate ]]</f>
        <v>0.80822127451180448</v>
      </c>
      <c r="J136" s="1">
        <v>79217</v>
      </c>
      <c r="K136" s="1">
        <v>79158</v>
      </c>
      <c r="L136" s="1">
        <v>38341</v>
      </c>
      <c r="M136" s="1">
        <v>40817</v>
      </c>
      <c r="N136">
        <v>59</v>
      </c>
      <c r="O136">
        <v>0</v>
      </c>
      <c r="P136">
        <v>9</v>
      </c>
      <c r="Q136">
        <v>0</v>
      </c>
      <c r="R136">
        <v>50</v>
      </c>
      <c r="S136" s="5">
        <f>Table1[[#This Row],[ Remain ]]/Table1[[#This Row],[ Valid Votes ]]</f>
        <v>0.48436039313777507</v>
      </c>
      <c r="T136" s="5">
        <f>Table1[[#This Row],[ Leave ]]/Table1[[#This Row],[ Valid Votes ]]</f>
        <v>0.51563960686222488</v>
      </c>
      <c r="U136" s="5">
        <f>Table1[[#This Row],[ Rejected Ballots ]]/Table1[[#This Row],[ Votes Cast ]]</f>
        <v>7.4478962848883448E-4</v>
      </c>
      <c r="V136" t="str">
        <f>IF(Table1[[#This Row],[Percent Leave]]&gt;Table1[[#This Row],[Percent Remain]],"Leave", "Remain")</f>
        <v>Leave</v>
      </c>
      <c r="W136">
        <v>52.161541</v>
      </c>
      <c r="X136">
        <v>-1.63565</v>
      </c>
      <c r="Y136" s="1">
        <f>_xlfn.XLOOKUP(Table1[[#This Row],[Area]],Table2[Area],Table2[All Residents])</f>
        <v>120485</v>
      </c>
    </row>
    <row r="137" spans="1:25" hidden="1" x14ac:dyDescent="0.45">
      <c r="A137">
        <v>136</v>
      </c>
      <c r="B137" t="s">
        <v>253</v>
      </c>
      <c r="C137" t="s">
        <v>254</v>
      </c>
      <c r="D137" t="s">
        <v>301</v>
      </c>
      <c r="E137" t="s">
        <v>302</v>
      </c>
      <c r="F137" s="1">
        <v>103099</v>
      </c>
      <c r="G137" s="1">
        <v>81695</v>
      </c>
      <c r="H137" s="1">
        <v>81695</v>
      </c>
      <c r="I137" s="5">
        <f>Table1[[#This Row],[ Verified Ballot Papers ]]/Table1[[#This Row],[ Electorate ]]</f>
        <v>0.79239371865876485</v>
      </c>
      <c r="J137" s="1">
        <v>81680</v>
      </c>
      <c r="K137" s="1">
        <v>81618</v>
      </c>
      <c r="L137" s="1">
        <v>47976</v>
      </c>
      <c r="M137" s="1">
        <v>33642</v>
      </c>
      <c r="N137">
        <v>62</v>
      </c>
      <c r="O137">
        <v>0</v>
      </c>
      <c r="P137">
        <v>33</v>
      </c>
      <c r="Q137">
        <v>0</v>
      </c>
      <c r="R137">
        <v>29</v>
      </c>
      <c r="S137" s="5">
        <f>Table1[[#This Row],[ Remain ]]/Table1[[#This Row],[ Valid Votes ]]</f>
        <v>0.5878115121664339</v>
      </c>
      <c r="T137" s="5">
        <f>Table1[[#This Row],[ Leave ]]/Table1[[#This Row],[ Valid Votes ]]</f>
        <v>0.41218848783356615</v>
      </c>
      <c r="U137" s="5">
        <f>Table1[[#This Row],[ Rejected Ballots ]]/Table1[[#This Row],[ Votes Cast ]]</f>
        <v>7.5905974534769835E-4</v>
      </c>
      <c r="V137" t="str">
        <f>IF(Table1[[#This Row],[Percent Leave]]&gt;Table1[[#This Row],[Percent Remain]],"Leave", "Remain")</f>
        <v>Remain</v>
      </c>
      <c r="W137">
        <v>52.301417999999998</v>
      </c>
      <c r="X137">
        <v>-1.58369</v>
      </c>
      <c r="Y137" s="1">
        <f>_xlfn.XLOOKUP(Table1[[#This Row],[Area]],Table2[Area],Table2[All Residents])</f>
        <v>137648</v>
      </c>
    </row>
    <row r="138" spans="1:25" hidden="1" x14ac:dyDescent="0.45">
      <c r="A138">
        <v>137</v>
      </c>
      <c r="B138" t="s">
        <v>253</v>
      </c>
      <c r="C138" t="s">
        <v>254</v>
      </c>
      <c r="D138" t="s">
        <v>303</v>
      </c>
      <c r="E138" t="s">
        <v>304</v>
      </c>
      <c r="F138" s="1">
        <v>74170</v>
      </c>
      <c r="G138" s="1">
        <v>58855</v>
      </c>
      <c r="H138" s="1">
        <v>58855</v>
      </c>
      <c r="I138" s="5">
        <f>Table1[[#This Row],[ Verified Ballot Papers ]]/Table1[[#This Row],[ Electorate ]]</f>
        <v>0.79351489820682219</v>
      </c>
      <c r="J138" s="1">
        <v>58855</v>
      </c>
      <c r="K138" s="1">
        <v>58815</v>
      </c>
      <c r="L138" s="1">
        <v>26252</v>
      </c>
      <c r="M138" s="1">
        <v>32563</v>
      </c>
      <c r="N138">
        <v>40</v>
      </c>
      <c r="O138">
        <v>0</v>
      </c>
      <c r="P138">
        <v>11</v>
      </c>
      <c r="Q138">
        <v>2</v>
      </c>
      <c r="R138">
        <v>27</v>
      </c>
      <c r="S138" s="5">
        <f>Table1[[#This Row],[ Remain ]]/Table1[[#This Row],[ Valid Votes ]]</f>
        <v>0.44634872056448183</v>
      </c>
      <c r="T138" s="5">
        <f>Table1[[#This Row],[ Leave ]]/Table1[[#This Row],[ Valid Votes ]]</f>
        <v>0.55365127943551817</v>
      </c>
      <c r="U138" s="5">
        <f>Table1[[#This Row],[ Rejected Ballots ]]/Table1[[#This Row],[ Votes Cast ]]</f>
        <v>6.7963639452892706E-4</v>
      </c>
      <c r="V138" t="str">
        <f>IF(Table1[[#This Row],[Percent Leave]]&gt;Table1[[#This Row],[Percent Remain]],"Leave", "Remain")</f>
        <v>Leave</v>
      </c>
      <c r="W138">
        <v>52.361691</v>
      </c>
      <c r="X138">
        <v>-2.0037601</v>
      </c>
      <c r="Y138" s="1">
        <f>_xlfn.XLOOKUP(Table1[[#This Row],[Area]],Table2[Area],Table2[All Residents])</f>
        <v>93637</v>
      </c>
    </row>
    <row r="139" spans="1:25" hidden="1" x14ac:dyDescent="0.45">
      <c r="A139">
        <v>138</v>
      </c>
      <c r="B139" t="s">
        <v>253</v>
      </c>
      <c r="C139" t="s">
        <v>254</v>
      </c>
      <c r="D139" t="s">
        <v>305</v>
      </c>
      <c r="E139" t="s">
        <v>306</v>
      </c>
      <c r="F139" s="1">
        <v>60217</v>
      </c>
      <c r="G139" s="1">
        <v>48538</v>
      </c>
      <c r="H139" s="1">
        <v>48538</v>
      </c>
      <c r="I139" s="5">
        <f>Table1[[#This Row],[ Verified Ballot Papers ]]/Table1[[#This Row],[ Electorate ]]</f>
        <v>0.80605144726572231</v>
      </c>
      <c r="J139" s="1">
        <v>48538</v>
      </c>
      <c r="K139" s="1">
        <v>48497</v>
      </c>
      <c r="L139" s="1">
        <v>23203</v>
      </c>
      <c r="M139" s="1">
        <v>25294</v>
      </c>
      <c r="N139">
        <v>41</v>
      </c>
      <c r="O139">
        <v>0</v>
      </c>
      <c r="P139">
        <v>10</v>
      </c>
      <c r="Q139">
        <v>0</v>
      </c>
      <c r="R139">
        <v>31</v>
      </c>
      <c r="S139" s="5">
        <f>Table1[[#This Row],[ Remain ]]/Table1[[#This Row],[ Valid Votes ]]</f>
        <v>0.47844196548240098</v>
      </c>
      <c r="T139" s="5">
        <f>Table1[[#This Row],[ Leave ]]/Table1[[#This Row],[ Valid Votes ]]</f>
        <v>0.52155803451759908</v>
      </c>
      <c r="U139" s="5">
        <f>Table1[[#This Row],[ Rejected Ballots ]]/Table1[[#This Row],[ Votes Cast ]]</f>
        <v>8.4469899872265033E-4</v>
      </c>
      <c r="V139" t="str">
        <f>IF(Table1[[#This Row],[Percent Leave]]&gt;Table1[[#This Row],[Percent Remain]],"Leave", "Remain")</f>
        <v>Leave</v>
      </c>
      <c r="W139">
        <v>52.167580000000001</v>
      </c>
      <c r="X139">
        <v>-2.3308898999999998</v>
      </c>
      <c r="Y139" s="1">
        <f>_xlfn.XLOOKUP(Table1[[#This Row],[Area]],Table2[Area],Table2[All Residents])</f>
        <v>74631</v>
      </c>
    </row>
    <row r="140" spans="1:25" hidden="1" x14ac:dyDescent="0.45">
      <c r="A140">
        <v>139</v>
      </c>
      <c r="B140" t="s">
        <v>253</v>
      </c>
      <c r="C140" t="s">
        <v>254</v>
      </c>
      <c r="D140" t="s">
        <v>307</v>
      </c>
      <c r="E140" t="s">
        <v>308</v>
      </c>
      <c r="F140" s="1">
        <v>61038</v>
      </c>
      <c r="G140" s="1">
        <v>45914</v>
      </c>
      <c r="H140" s="1">
        <v>45913</v>
      </c>
      <c r="I140" s="5">
        <f>Table1[[#This Row],[ Verified Ballot Papers ]]/Table1[[#This Row],[ Electorate ]]</f>
        <v>0.75220354533241585</v>
      </c>
      <c r="J140" s="1">
        <v>45912</v>
      </c>
      <c r="K140" s="1">
        <v>45882</v>
      </c>
      <c r="L140" s="1">
        <v>17303</v>
      </c>
      <c r="M140" s="1">
        <v>28579</v>
      </c>
      <c r="N140">
        <v>30</v>
      </c>
      <c r="O140">
        <v>0</v>
      </c>
      <c r="P140">
        <v>7</v>
      </c>
      <c r="Q140">
        <v>0</v>
      </c>
      <c r="R140">
        <v>23</v>
      </c>
      <c r="S140" s="5">
        <f>Table1[[#This Row],[ Remain ]]/Table1[[#This Row],[ Valid Votes ]]</f>
        <v>0.37711956758641735</v>
      </c>
      <c r="T140" s="5">
        <f>Table1[[#This Row],[ Leave ]]/Table1[[#This Row],[ Valid Votes ]]</f>
        <v>0.62288043241358271</v>
      </c>
      <c r="U140" s="5">
        <f>Table1[[#This Row],[ Rejected Ballots ]]/Table1[[#This Row],[ Votes Cast ]]</f>
        <v>6.5342394145321485E-4</v>
      </c>
      <c r="V140" t="str">
        <f>IF(Table1[[#This Row],[Percent Leave]]&gt;Table1[[#This Row],[Percent Remain]],"Leave", "Remain")</f>
        <v>Leave</v>
      </c>
      <c r="W140">
        <v>52.285412000000001</v>
      </c>
      <c r="X140">
        <v>-1.9471000000000001</v>
      </c>
      <c r="Y140" s="1">
        <f>_xlfn.XLOOKUP(Table1[[#This Row],[Area]],Table2[Area],Table2[All Residents])</f>
        <v>84214</v>
      </c>
    </row>
    <row r="141" spans="1:25" hidden="1" x14ac:dyDescent="0.45">
      <c r="A141">
        <v>140</v>
      </c>
      <c r="B141" t="s">
        <v>253</v>
      </c>
      <c r="C141" t="s">
        <v>254</v>
      </c>
      <c r="D141" t="s">
        <v>309</v>
      </c>
      <c r="E141" t="s">
        <v>310</v>
      </c>
      <c r="F141" s="1">
        <v>73516</v>
      </c>
      <c r="G141" s="1">
        <v>54293</v>
      </c>
      <c r="H141" s="1">
        <v>54289</v>
      </c>
      <c r="I141" s="5">
        <f>Table1[[#This Row],[ Verified Ballot Papers ]]/Table1[[#This Row],[ Electorate ]]</f>
        <v>0.73846509603351651</v>
      </c>
      <c r="J141" s="1">
        <v>54290</v>
      </c>
      <c r="K141" s="1">
        <v>54239</v>
      </c>
      <c r="L141" s="1">
        <v>25125</v>
      </c>
      <c r="M141" s="1">
        <v>29114</v>
      </c>
      <c r="N141">
        <v>51</v>
      </c>
      <c r="O141">
        <v>7</v>
      </c>
      <c r="P141">
        <v>22</v>
      </c>
      <c r="Q141">
        <v>2</v>
      </c>
      <c r="R141">
        <v>20</v>
      </c>
      <c r="S141" s="5">
        <f>Table1[[#This Row],[ Remain ]]/Table1[[#This Row],[ Valid Votes ]]</f>
        <v>0.46322756687992034</v>
      </c>
      <c r="T141" s="5">
        <f>Table1[[#This Row],[ Leave ]]/Table1[[#This Row],[ Valid Votes ]]</f>
        <v>0.53677243312007961</v>
      </c>
      <c r="U141" s="5">
        <f>Table1[[#This Row],[ Rejected Ballots ]]/Table1[[#This Row],[ Votes Cast ]]</f>
        <v>9.3939952109044027E-4</v>
      </c>
      <c r="V141" t="str">
        <f>IF(Table1[[#This Row],[Percent Leave]]&gt;Table1[[#This Row],[Percent Remain]],"Leave", "Remain")</f>
        <v>Leave</v>
      </c>
      <c r="W141">
        <v>52.19482</v>
      </c>
      <c r="X141">
        <v>-2.2102499</v>
      </c>
      <c r="Y141" s="1">
        <f>_xlfn.XLOOKUP(Table1[[#This Row],[Area]],Table2[Area],Table2[All Residents])</f>
        <v>98768</v>
      </c>
    </row>
    <row r="142" spans="1:25" hidden="1" x14ac:dyDescent="0.45">
      <c r="A142">
        <v>141</v>
      </c>
      <c r="B142" t="s">
        <v>253</v>
      </c>
      <c r="C142" t="s">
        <v>254</v>
      </c>
      <c r="D142" t="s">
        <v>311</v>
      </c>
      <c r="E142" t="s">
        <v>312</v>
      </c>
      <c r="F142" s="1">
        <v>94497</v>
      </c>
      <c r="G142" s="1">
        <v>76428</v>
      </c>
      <c r="H142" s="1">
        <v>76425</v>
      </c>
      <c r="I142" s="5">
        <f>Table1[[#This Row],[ Verified Ballot Papers ]]/Table1[[#This Row],[ Electorate ]]</f>
        <v>0.80875583351852443</v>
      </c>
      <c r="J142" s="1">
        <v>76425</v>
      </c>
      <c r="K142" s="1">
        <v>76389</v>
      </c>
      <c r="L142" s="1">
        <v>32188</v>
      </c>
      <c r="M142" s="1">
        <v>44201</v>
      </c>
      <c r="N142">
        <v>36</v>
      </c>
      <c r="O142">
        <v>0</v>
      </c>
      <c r="P142">
        <v>15</v>
      </c>
      <c r="Q142">
        <v>0</v>
      </c>
      <c r="R142">
        <v>21</v>
      </c>
      <c r="S142" s="5">
        <f>Table1[[#This Row],[ Remain ]]/Table1[[#This Row],[ Valid Votes ]]</f>
        <v>0.42136956891699068</v>
      </c>
      <c r="T142" s="5">
        <f>Table1[[#This Row],[ Leave ]]/Table1[[#This Row],[ Valid Votes ]]</f>
        <v>0.57863043108300938</v>
      </c>
      <c r="U142" s="5">
        <f>Table1[[#This Row],[ Rejected Ballots ]]/Table1[[#This Row],[ Votes Cast ]]</f>
        <v>4.7105004906771342E-4</v>
      </c>
      <c r="V142" t="str">
        <f>IF(Table1[[#This Row],[Percent Leave]]&gt;Table1[[#This Row],[Percent Remain]],"Leave", "Remain")</f>
        <v>Leave</v>
      </c>
      <c r="W142">
        <v>52.128860000000003</v>
      </c>
      <c r="X142">
        <v>-2.01614</v>
      </c>
      <c r="Y142" s="1">
        <f>_xlfn.XLOOKUP(Table1[[#This Row],[Area]],Table2[Area],Table2[All Residents])</f>
        <v>116944</v>
      </c>
    </row>
    <row r="143" spans="1:25" hidden="1" x14ac:dyDescent="0.45">
      <c r="A143">
        <v>142</v>
      </c>
      <c r="B143" t="s">
        <v>253</v>
      </c>
      <c r="C143" t="s">
        <v>254</v>
      </c>
      <c r="D143" t="s">
        <v>313</v>
      </c>
      <c r="E143" t="s">
        <v>314</v>
      </c>
      <c r="F143" s="1">
        <v>77878</v>
      </c>
      <c r="G143" s="1">
        <v>57668</v>
      </c>
      <c r="H143" s="1">
        <v>57666</v>
      </c>
      <c r="I143" s="5">
        <f>Table1[[#This Row],[ Verified Ballot Papers ]]/Table1[[#This Row],[ Electorate ]]</f>
        <v>0.74046585685302657</v>
      </c>
      <c r="J143" s="1">
        <v>57666</v>
      </c>
      <c r="K143" s="1">
        <v>57632</v>
      </c>
      <c r="L143" s="1">
        <v>21240</v>
      </c>
      <c r="M143" s="1">
        <v>36392</v>
      </c>
      <c r="N143">
        <v>34</v>
      </c>
      <c r="O143">
        <v>0</v>
      </c>
      <c r="P143">
        <v>6</v>
      </c>
      <c r="Q143">
        <v>0</v>
      </c>
      <c r="R143">
        <v>28</v>
      </c>
      <c r="S143" s="5">
        <f>Table1[[#This Row],[ Remain ]]/Table1[[#This Row],[ Valid Votes ]]</f>
        <v>0.36854525263742366</v>
      </c>
      <c r="T143" s="5">
        <f>Table1[[#This Row],[ Leave ]]/Table1[[#This Row],[ Valid Votes ]]</f>
        <v>0.63145474736257634</v>
      </c>
      <c r="U143" s="5">
        <f>Table1[[#This Row],[ Rejected Ballots ]]/Table1[[#This Row],[ Votes Cast ]]</f>
        <v>5.8960219193285475E-4</v>
      </c>
      <c r="V143" t="str">
        <f>IF(Table1[[#This Row],[Percent Leave]]&gt;Table1[[#This Row],[Percent Remain]],"Leave", "Remain")</f>
        <v>Leave</v>
      </c>
      <c r="W143">
        <v>52.385300000000001</v>
      </c>
      <c r="X143">
        <v>-2.2349401000000002</v>
      </c>
      <c r="Y143" s="1">
        <f>_xlfn.XLOOKUP(Table1[[#This Row],[Area]],Table2[Area],Table2[All Residents])</f>
        <v>97975</v>
      </c>
    </row>
    <row r="144" spans="1:25" x14ac:dyDescent="0.45">
      <c r="A144">
        <v>143</v>
      </c>
      <c r="B144" t="s">
        <v>315</v>
      </c>
      <c r="C144" t="s">
        <v>316</v>
      </c>
      <c r="D144" t="s">
        <v>317</v>
      </c>
      <c r="E144" t="s">
        <v>318</v>
      </c>
      <c r="F144" s="1">
        <v>120892</v>
      </c>
      <c r="G144" s="1">
        <v>87474</v>
      </c>
      <c r="H144" s="1">
        <v>87469</v>
      </c>
      <c r="I144" s="5">
        <f>Table1[[#This Row],[ Verified Ballot Papers ]]/Table1[[#This Row],[ Electorate ]]</f>
        <v>0.72353009297554838</v>
      </c>
      <c r="J144" s="1">
        <v>87469</v>
      </c>
      <c r="K144" s="1">
        <v>87392</v>
      </c>
      <c r="L144" s="1">
        <v>34176</v>
      </c>
      <c r="M144" s="1">
        <v>53216</v>
      </c>
      <c r="N144">
        <v>77</v>
      </c>
      <c r="O144">
        <v>0</v>
      </c>
      <c r="P144">
        <v>32</v>
      </c>
      <c r="Q144">
        <v>7</v>
      </c>
      <c r="R144">
        <v>38</v>
      </c>
      <c r="S144" s="5">
        <f>Table1[[#This Row],[ Remain ]]/Table1[[#This Row],[ Valid Votes ]]</f>
        <v>0.39106554375686564</v>
      </c>
      <c r="T144" s="5">
        <f>Table1[[#This Row],[ Leave ]]/Table1[[#This Row],[ Valid Votes ]]</f>
        <v>0.60893445624313436</v>
      </c>
      <c r="U144" s="5">
        <f>Table1[[#This Row],[ Rejected Ballots ]]/Table1[[#This Row],[ Votes Cast ]]</f>
        <v>8.8031188192388163E-4</v>
      </c>
      <c r="V144" t="str">
        <f>IF(Table1[[#This Row],[Percent Leave]]&gt;Table1[[#This Row],[Percent Remain]],"Leave", "Remain")</f>
        <v>Leave</v>
      </c>
      <c r="W144">
        <v>52.592140000000001</v>
      </c>
      <c r="X144">
        <v>-0.26873999999999998</v>
      </c>
      <c r="Y144" s="1">
        <f>_xlfn.XLOOKUP(Table1[[#This Row],[Area]],Table2[Area],Table2[All Residents])</f>
        <v>183631</v>
      </c>
    </row>
    <row r="145" spans="1:25" x14ac:dyDescent="0.45">
      <c r="A145">
        <v>144</v>
      </c>
      <c r="B145" t="s">
        <v>315</v>
      </c>
      <c r="C145" t="s">
        <v>316</v>
      </c>
      <c r="D145" t="s">
        <v>319</v>
      </c>
      <c r="E145" t="s">
        <v>320</v>
      </c>
      <c r="F145" s="1">
        <v>127612</v>
      </c>
      <c r="G145" s="1">
        <v>84633</v>
      </c>
      <c r="H145" s="1">
        <v>84636</v>
      </c>
      <c r="I145" s="5">
        <f>Table1[[#This Row],[ Verified Ballot Papers ]]/Table1[[#This Row],[ Electorate ]]</f>
        <v>0.66322916340156102</v>
      </c>
      <c r="J145" s="1">
        <v>84616</v>
      </c>
      <c r="K145" s="1">
        <v>84481</v>
      </c>
      <c r="L145" s="1">
        <v>36708</v>
      </c>
      <c r="M145" s="1">
        <v>47773</v>
      </c>
      <c r="N145">
        <v>135</v>
      </c>
      <c r="O145">
        <v>0</v>
      </c>
      <c r="P145">
        <v>85</v>
      </c>
      <c r="Q145">
        <v>0</v>
      </c>
      <c r="R145">
        <v>50</v>
      </c>
      <c r="S145" s="5">
        <f>Table1[[#This Row],[ Remain ]]/Table1[[#This Row],[ Valid Votes ]]</f>
        <v>0.43451190208449236</v>
      </c>
      <c r="T145" s="5">
        <f>Table1[[#This Row],[ Leave ]]/Table1[[#This Row],[ Valid Votes ]]</f>
        <v>0.56548809791550758</v>
      </c>
      <c r="U145" s="5">
        <f>Table1[[#This Row],[ Rejected Ballots ]]/Table1[[#This Row],[ Votes Cast ]]</f>
        <v>1.5954429422331475E-3</v>
      </c>
      <c r="V145" t="str">
        <f>IF(Table1[[#This Row],[Percent Leave]]&gt;Table1[[#This Row],[Percent Remain]],"Leave", "Remain")</f>
        <v>Leave</v>
      </c>
      <c r="W145">
        <v>51.891022</v>
      </c>
      <c r="X145">
        <v>-0.42319000000000001</v>
      </c>
      <c r="Y145" s="1">
        <f>_xlfn.XLOOKUP(Table1[[#This Row],[Area]],Table2[Area],Table2[All Residents])</f>
        <v>203201</v>
      </c>
    </row>
    <row r="146" spans="1:25" x14ac:dyDescent="0.45">
      <c r="A146">
        <v>145</v>
      </c>
      <c r="B146" t="s">
        <v>315</v>
      </c>
      <c r="C146" t="s">
        <v>316</v>
      </c>
      <c r="D146" t="s">
        <v>321</v>
      </c>
      <c r="E146" t="s">
        <v>322</v>
      </c>
      <c r="F146" s="1">
        <v>119530</v>
      </c>
      <c r="G146" s="1">
        <v>86136</v>
      </c>
      <c r="H146" s="1">
        <v>86136</v>
      </c>
      <c r="I146" s="5">
        <f>Table1[[#This Row],[ Verified Ballot Papers ]]/Table1[[#This Row],[ Electorate ]]</f>
        <v>0.72062243788170333</v>
      </c>
      <c r="J146" s="1">
        <v>86135</v>
      </c>
      <c r="K146" s="1">
        <v>86066</v>
      </c>
      <c r="L146" s="1">
        <v>41497</v>
      </c>
      <c r="M146" s="1">
        <v>44569</v>
      </c>
      <c r="N146">
        <v>69</v>
      </c>
      <c r="O146">
        <v>0</v>
      </c>
      <c r="P146">
        <v>26</v>
      </c>
      <c r="Q146">
        <v>1</v>
      </c>
      <c r="R146">
        <v>42</v>
      </c>
      <c r="S146" s="5">
        <f>Table1[[#This Row],[ Remain ]]/Table1[[#This Row],[ Valid Votes ]]</f>
        <v>0.48215323124114051</v>
      </c>
      <c r="T146" s="5">
        <f>Table1[[#This Row],[ Leave ]]/Table1[[#This Row],[ Valid Votes ]]</f>
        <v>0.51784676875885949</v>
      </c>
      <c r="U146" s="5">
        <f>Table1[[#This Row],[ Rejected Ballots ]]/Table1[[#This Row],[ Votes Cast ]]</f>
        <v>8.0106809078771691E-4</v>
      </c>
      <c r="V146" t="str">
        <f>IF(Table1[[#This Row],[Percent Leave]]&gt;Table1[[#This Row],[Percent Remain]],"Leave", "Remain")</f>
        <v>Leave</v>
      </c>
      <c r="W146">
        <v>52.196280999999999</v>
      </c>
      <c r="X146">
        <v>-0.45462998999999998</v>
      </c>
      <c r="Y146" s="1">
        <f>_xlfn.XLOOKUP(Table1[[#This Row],[Area]],Table2[Area],Table2[All Residents])</f>
        <v>157479</v>
      </c>
    </row>
    <row r="147" spans="1:25" x14ac:dyDescent="0.45">
      <c r="A147">
        <v>146</v>
      </c>
      <c r="B147" t="s">
        <v>315</v>
      </c>
      <c r="C147" t="s">
        <v>316</v>
      </c>
      <c r="D147" t="s">
        <v>323</v>
      </c>
      <c r="E147" t="s">
        <v>324</v>
      </c>
      <c r="F147" s="1">
        <v>204004</v>
      </c>
      <c r="G147" s="1">
        <v>158904</v>
      </c>
      <c r="H147" s="1">
        <v>158896</v>
      </c>
      <c r="I147" s="5">
        <f>Table1[[#This Row],[ Verified Ballot Papers ]]/Table1[[#This Row],[ Electorate ]]</f>
        <v>0.77888668849630405</v>
      </c>
      <c r="J147" s="1">
        <v>158894</v>
      </c>
      <c r="K147" s="1">
        <v>158804</v>
      </c>
      <c r="L147" s="1">
        <v>69670</v>
      </c>
      <c r="M147" s="1">
        <v>89134</v>
      </c>
      <c r="N147">
        <v>90</v>
      </c>
      <c r="O147">
        <v>0</v>
      </c>
      <c r="P147">
        <v>34</v>
      </c>
      <c r="Q147">
        <v>1</v>
      </c>
      <c r="R147">
        <v>55</v>
      </c>
      <c r="S147" s="5">
        <f>Table1[[#This Row],[ Remain ]]/Table1[[#This Row],[ Valid Votes ]]</f>
        <v>0.43871690889398252</v>
      </c>
      <c r="T147" s="5">
        <f>Table1[[#This Row],[ Leave ]]/Table1[[#This Row],[ Valid Votes ]]</f>
        <v>0.56128309110601748</v>
      </c>
      <c r="U147" s="5">
        <f>Table1[[#This Row],[ Rejected Ballots ]]/Table1[[#This Row],[ Votes Cast ]]</f>
        <v>5.6641534607977651E-4</v>
      </c>
      <c r="V147" t="str">
        <f>IF(Table1[[#This Row],[Percent Leave]]&gt;Table1[[#This Row],[Percent Remain]],"Leave", "Remain")</f>
        <v>Leave</v>
      </c>
      <c r="W147">
        <v>51.999031000000002</v>
      </c>
      <c r="X147">
        <v>-0.47753999000000003</v>
      </c>
      <c r="Y147" s="1">
        <f>_xlfn.XLOOKUP(Table1[[#This Row],[Area]],Table2[Area],Table2[All Residents])</f>
        <v>254381</v>
      </c>
    </row>
    <row r="148" spans="1:25" x14ac:dyDescent="0.45">
      <c r="A148">
        <v>147</v>
      </c>
      <c r="B148" t="s">
        <v>315</v>
      </c>
      <c r="C148" t="s">
        <v>316</v>
      </c>
      <c r="D148" t="s">
        <v>325</v>
      </c>
      <c r="E148" t="s">
        <v>326</v>
      </c>
      <c r="F148" s="1">
        <v>128856</v>
      </c>
      <c r="G148" s="1">
        <v>93948</v>
      </c>
      <c r="H148" s="1">
        <v>93939</v>
      </c>
      <c r="I148" s="5">
        <f>Table1[[#This Row],[ Verified Ballot Papers ]]/Table1[[#This Row],[ Electorate ]]</f>
        <v>0.7290230955485193</v>
      </c>
      <c r="J148" s="1">
        <v>93939</v>
      </c>
      <c r="K148" s="1">
        <v>93870</v>
      </c>
      <c r="L148" s="1">
        <v>39348</v>
      </c>
      <c r="M148" s="1">
        <v>54522</v>
      </c>
      <c r="N148">
        <v>69</v>
      </c>
      <c r="O148">
        <v>0</v>
      </c>
      <c r="P148">
        <v>21</v>
      </c>
      <c r="Q148">
        <v>0</v>
      </c>
      <c r="R148">
        <v>48</v>
      </c>
      <c r="S148" s="5">
        <f>Table1[[#This Row],[ Remain ]]/Table1[[#This Row],[ Valid Votes ]]</f>
        <v>0.41917545541706613</v>
      </c>
      <c r="T148" s="5">
        <f>Table1[[#This Row],[ Leave ]]/Table1[[#This Row],[ Valid Votes ]]</f>
        <v>0.58082454458293387</v>
      </c>
      <c r="U148" s="5">
        <f>Table1[[#This Row],[ Rejected Ballots ]]/Table1[[#This Row],[ Votes Cast ]]</f>
        <v>7.3451920927410336E-4</v>
      </c>
      <c r="V148" t="str">
        <f>IF(Table1[[#This Row],[Percent Leave]]&gt;Table1[[#This Row],[Percent Remain]],"Leave", "Remain")</f>
        <v>Leave</v>
      </c>
      <c r="W148">
        <v>51.549171000000001</v>
      </c>
      <c r="X148">
        <v>0.70692301000000002</v>
      </c>
      <c r="Y148" s="1">
        <f>_xlfn.XLOOKUP(Table1[[#This Row],[Area]],Table2[Area],Table2[All Residents])</f>
        <v>173658</v>
      </c>
    </row>
    <row r="149" spans="1:25" x14ac:dyDescent="0.45">
      <c r="A149">
        <v>148</v>
      </c>
      <c r="B149" t="s">
        <v>315</v>
      </c>
      <c r="C149" t="s">
        <v>316</v>
      </c>
      <c r="D149" t="s">
        <v>327</v>
      </c>
      <c r="E149" t="s">
        <v>328</v>
      </c>
      <c r="F149" s="1">
        <v>109897</v>
      </c>
      <c r="G149" s="1">
        <v>79969</v>
      </c>
      <c r="H149" s="1">
        <v>79954</v>
      </c>
      <c r="I149" s="5">
        <f>Table1[[#This Row],[ Verified Ballot Papers ]]/Table1[[#This Row],[ Electorate ]]</f>
        <v>0.72753578350637416</v>
      </c>
      <c r="J149" s="1">
        <v>79950</v>
      </c>
      <c r="K149" s="1">
        <v>79916</v>
      </c>
      <c r="L149" s="1">
        <v>22151</v>
      </c>
      <c r="M149" s="1">
        <v>57765</v>
      </c>
      <c r="N149">
        <v>34</v>
      </c>
      <c r="O149">
        <v>0</v>
      </c>
      <c r="P149">
        <v>8</v>
      </c>
      <c r="Q149">
        <v>3</v>
      </c>
      <c r="R149">
        <v>23</v>
      </c>
      <c r="S149" s="5">
        <f>Table1[[#This Row],[ Remain ]]/Table1[[#This Row],[ Valid Votes ]]</f>
        <v>0.27717853746433757</v>
      </c>
      <c r="T149" s="5">
        <f>Table1[[#This Row],[ Leave ]]/Table1[[#This Row],[ Valid Votes ]]</f>
        <v>0.72282146253566248</v>
      </c>
      <c r="U149" s="5">
        <f>Table1[[#This Row],[ Rejected Ballots ]]/Table1[[#This Row],[ Votes Cast ]]</f>
        <v>4.2526579111944966E-4</v>
      </c>
      <c r="V149" t="str">
        <f>IF(Table1[[#This Row],[Percent Leave]]&gt;Table1[[#This Row],[Percent Remain]],"Leave", "Remain")</f>
        <v>Leave</v>
      </c>
      <c r="W149">
        <v>51.509979000000001</v>
      </c>
      <c r="X149">
        <v>0.33486101000000001</v>
      </c>
      <c r="Y149" s="1">
        <f>_xlfn.XLOOKUP(Table1[[#This Row],[Area]],Table2[Area],Table2[All Residents])</f>
        <v>157705</v>
      </c>
    </row>
    <row r="150" spans="1:25" x14ac:dyDescent="0.45">
      <c r="A150">
        <v>149</v>
      </c>
      <c r="B150" t="s">
        <v>315</v>
      </c>
      <c r="C150" t="s">
        <v>316</v>
      </c>
      <c r="D150" t="s">
        <v>329</v>
      </c>
      <c r="E150" t="s">
        <v>330</v>
      </c>
      <c r="F150" s="1">
        <v>80108</v>
      </c>
      <c r="G150" s="1">
        <v>57871</v>
      </c>
      <c r="H150" s="1">
        <v>57860</v>
      </c>
      <c r="I150" s="5">
        <f>Table1[[#This Row],[ Verified Ballot Papers ]]/Table1[[#This Row],[ Electorate ]]</f>
        <v>0.72227492884605782</v>
      </c>
      <c r="J150" s="1">
        <v>57852</v>
      </c>
      <c r="K150" s="1">
        <v>57799</v>
      </c>
      <c r="L150" s="1">
        <v>42682</v>
      </c>
      <c r="M150" s="1">
        <v>15117</v>
      </c>
      <c r="N150">
        <v>53</v>
      </c>
      <c r="O150">
        <v>0</v>
      </c>
      <c r="P150">
        <v>13</v>
      </c>
      <c r="Q150">
        <v>0</v>
      </c>
      <c r="R150">
        <v>40</v>
      </c>
      <c r="S150" s="5">
        <f>Table1[[#This Row],[ Remain ]]/Table1[[#This Row],[ Valid Votes ]]</f>
        <v>0.73845568262426686</v>
      </c>
      <c r="T150" s="5">
        <f>Table1[[#This Row],[ Leave ]]/Table1[[#This Row],[ Valid Votes ]]</f>
        <v>0.26154431737573314</v>
      </c>
      <c r="U150" s="5">
        <f>Table1[[#This Row],[ Rejected Ballots ]]/Table1[[#This Row],[ Votes Cast ]]</f>
        <v>9.1613081656641087E-4</v>
      </c>
      <c r="V150" t="str">
        <f>IF(Table1[[#This Row],[Percent Leave]]&gt;Table1[[#This Row],[Percent Remain]],"Leave", "Remain")</f>
        <v>Remain</v>
      </c>
      <c r="W150">
        <v>52.200169000000002</v>
      </c>
      <c r="X150">
        <v>0.12643599999999999</v>
      </c>
      <c r="Y150" s="1">
        <f>_xlfn.XLOOKUP(Table1[[#This Row],[Area]],Table2[Area],Table2[All Residents])</f>
        <v>123867</v>
      </c>
    </row>
    <row r="151" spans="1:25" x14ac:dyDescent="0.45">
      <c r="A151">
        <v>150</v>
      </c>
      <c r="B151" t="s">
        <v>315</v>
      </c>
      <c r="C151" t="s">
        <v>316</v>
      </c>
      <c r="D151" t="s">
        <v>331</v>
      </c>
      <c r="E151" t="s">
        <v>332</v>
      </c>
      <c r="F151" s="1">
        <v>62435</v>
      </c>
      <c r="G151" s="1">
        <v>48129</v>
      </c>
      <c r="H151" s="1">
        <v>48120</v>
      </c>
      <c r="I151" s="5">
        <f>Table1[[#This Row],[ Verified Ballot Papers ]]/Table1[[#This Row],[ Electorate ]]</f>
        <v>0.77072155041242896</v>
      </c>
      <c r="J151" s="1">
        <v>48124</v>
      </c>
      <c r="K151" s="1">
        <v>48086</v>
      </c>
      <c r="L151" s="1">
        <v>23599</v>
      </c>
      <c r="M151" s="1">
        <v>24487</v>
      </c>
      <c r="N151">
        <v>38</v>
      </c>
      <c r="O151">
        <v>0</v>
      </c>
      <c r="P151">
        <v>18</v>
      </c>
      <c r="Q151">
        <v>0</v>
      </c>
      <c r="R151">
        <v>20</v>
      </c>
      <c r="S151" s="5">
        <f>Table1[[#This Row],[ Remain ]]/Table1[[#This Row],[ Valid Votes ]]</f>
        <v>0.49076654327662939</v>
      </c>
      <c r="T151" s="5">
        <f>Table1[[#This Row],[ Leave ]]/Table1[[#This Row],[ Valid Votes ]]</f>
        <v>0.50923345672337061</v>
      </c>
      <c r="U151" s="5">
        <f>Table1[[#This Row],[ Rejected Ballots ]]/Table1[[#This Row],[ Votes Cast ]]</f>
        <v>7.8962679743994684E-4</v>
      </c>
      <c r="V151" t="str">
        <f>IF(Table1[[#This Row],[Percent Leave]]&gt;Table1[[#This Row],[Percent Remain]],"Leave", "Remain")</f>
        <v>Leave</v>
      </c>
      <c r="W151">
        <v>52.357880000000002</v>
      </c>
      <c r="X151">
        <v>0.28314899999999998</v>
      </c>
      <c r="Y151" s="1">
        <f>_xlfn.XLOOKUP(Table1[[#This Row],[Area]],Table2[Area],Table2[All Residents])</f>
        <v>83818</v>
      </c>
    </row>
    <row r="152" spans="1:25" x14ac:dyDescent="0.45">
      <c r="A152">
        <v>151</v>
      </c>
      <c r="B152" t="s">
        <v>315</v>
      </c>
      <c r="C152" t="s">
        <v>316</v>
      </c>
      <c r="D152" t="s">
        <v>333</v>
      </c>
      <c r="E152" t="s">
        <v>334</v>
      </c>
      <c r="F152" s="1">
        <v>71447</v>
      </c>
      <c r="G152" s="1">
        <v>52653</v>
      </c>
      <c r="H152" s="1">
        <v>52649</v>
      </c>
      <c r="I152" s="5">
        <f>Table1[[#This Row],[ Verified Ballot Papers ]]/Table1[[#This Row],[ Electorate ]]</f>
        <v>0.73689588086273738</v>
      </c>
      <c r="J152" s="1">
        <v>52649</v>
      </c>
      <c r="K152" s="1">
        <v>52626</v>
      </c>
      <c r="L152" s="1">
        <v>15055</v>
      </c>
      <c r="M152" s="1">
        <v>37571</v>
      </c>
      <c r="N152">
        <v>23</v>
      </c>
      <c r="O152">
        <v>0</v>
      </c>
      <c r="P152">
        <v>10</v>
      </c>
      <c r="Q152">
        <v>1</v>
      </c>
      <c r="R152">
        <v>12</v>
      </c>
      <c r="S152" s="5">
        <f>Table1[[#This Row],[ Remain ]]/Table1[[#This Row],[ Valid Votes ]]</f>
        <v>0.28607532398434232</v>
      </c>
      <c r="T152" s="5">
        <f>Table1[[#This Row],[ Leave ]]/Table1[[#This Row],[ Valid Votes ]]</f>
        <v>0.71392467601565768</v>
      </c>
      <c r="U152" s="5">
        <f>Table1[[#This Row],[ Rejected Ballots ]]/Table1[[#This Row],[ Votes Cast ]]</f>
        <v>4.3685540086231458E-4</v>
      </c>
      <c r="V152" t="str">
        <f>IF(Table1[[#This Row],[Percent Leave]]&gt;Table1[[#This Row],[Percent Remain]],"Leave", "Remain")</f>
        <v>Leave</v>
      </c>
      <c r="W152">
        <v>52.535438999999997</v>
      </c>
      <c r="X152">
        <v>9.0159999999999997E-3</v>
      </c>
      <c r="Y152" s="1">
        <f>_xlfn.XLOOKUP(Table1[[#This Row],[Area]],Table2[Area],Table2[All Residents])</f>
        <v>95262</v>
      </c>
    </row>
    <row r="153" spans="1:25" x14ac:dyDescent="0.45">
      <c r="A153">
        <v>152</v>
      </c>
      <c r="B153" t="s">
        <v>315</v>
      </c>
      <c r="C153" t="s">
        <v>316</v>
      </c>
      <c r="D153" t="s">
        <v>335</v>
      </c>
      <c r="E153" t="s">
        <v>336</v>
      </c>
      <c r="F153" s="1">
        <v>128486</v>
      </c>
      <c r="G153" s="1">
        <v>99996</v>
      </c>
      <c r="H153" s="1">
        <v>99990</v>
      </c>
      <c r="I153" s="5">
        <f>Table1[[#This Row],[ Verified Ballot Papers ]]/Table1[[#This Row],[ Electorate ]]</f>
        <v>0.7782170820167178</v>
      </c>
      <c r="J153" s="1">
        <v>99990</v>
      </c>
      <c r="K153" s="1">
        <v>99927</v>
      </c>
      <c r="L153" s="1">
        <v>45729</v>
      </c>
      <c r="M153" s="1">
        <v>54198</v>
      </c>
      <c r="N153">
        <v>63</v>
      </c>
      <c r="O153">
        <v>0</v>
      </c>
      <c r="P153">
        <v>31</v>
      </c>
      <c r="Q153">
        <v>0</v>
      </c>
      <c r="R153">
        <v>32</v>
      </c>
      <c r="S153" s="5">
        <f>Table1[[#This Row],[ Remain ]]/Table1[[#This Row],[ Valid Votes ]]</f>
        <v>0.45762406556786456</v>
      </c>
      <c r="T153" s="5">
        <f>Table1[[#This Row],[ Leave ]]/Table1[[#This Row],[ Valid Votes ]]</f>
        <v>0.5423759344321355</v>
      </c>
      <c r="U153" s="5">
        <f>Table1[[#This Row],[ Rejected Ballots ]]/Table1[[#This Row],[ Votes Cast ]]</f>
        <v>6.3006300630063009E-4</v>
      </c>
      <c r="V153" t="str">
        <f>IF(Table1[[#This Row],[Percent Leave]]&gt;Table1[[#This Row],[Percent Remain]],"Leave", "Remain")</f>
        <v>Leave</v>
      </c>
      <c r="W153">
        <v>52.353149000000002</v>
      </c>
      <c r="X153">
        <v>-0.22470000000000001</v>
      </c>
      <c r="Y153" s="1">
        <f>_xlfn.XLOOKUP(Table1[[#This Row],[Area]],Table2[Area],Table2[All Residents])</f>
        <v>169508</v>
      </c>
    </row>
    <row r="154" spans="1:25" x14ac:dyDescent="0.45">
      <c r="A154">
        <v>153</v>
      </c>
      <c r="B154" t="s">
        <v>315</v>
      </c>
      <c r="C154" t="s">
        <v>316</v>
      </c>
      <c r="D154" t="s">
        <v>337</v>
      </c>
      <c r="E154" t="s">
        <v>338</v>
      </c>
      <c r="F154" s="1">
        <v>114830</v>
      </c>
      <c r="G154" s="1">
        <v>93268</v>
      </c>
      <c r="H154" s="1">
        <v>93263</v>
      </c>
      <c r="I154" s="5">
        <f>Table1[[#This Row],[ Verified Ballot Papers ]]/Table1[[#This Row],[ Electorate ]]</f>
        <v>0.81218322737960458</v>
      </c>
      <c r="J154" s="1">
        <v>93250</v>
      </c>
      <c r="K154" s="1">
        <v>93189</v>
      </c>
      <c r="L154" s="1">
        <v>56128</v>
      </c>
      <c r="M154" s="1">
        <v>37061</v>
      </c>
      <c r="N154">
        <v>61</v>
      </c>
      <c r="O154">
        <v>0</v>
      </c>
      <c r="P154">
        <v>24</v>
      </c>
      <c r="Q154">
        <v>0</v>
      </c>
      <c r="R154">
        <v>37</v>
      </c>
      <c r="S154" s="5">
        <f>Table1[[#This Row],[ Remain ]]/Table1[[#This Row],[ Valid Votes ]]</f>
        <v>0.60230284690253144</v>
      </c>
      <c r="T154" s="5">
        <f>Table1[[#This Row],[ Leave ]]/Table1[[#This Row],[ Valid Votes ]]</f>
        <v>0.39769715309746856</v>
      </c>
      <c r="U154" s="5">
        <f>Table1[[#This Row],[ Rejected Ballots ]]/Table1[[#This Row],[ Votes Cast ]]</f>
        <v>6.541554959785523E-4</v>
      </c>
      <c r="V154" t="str">
        <f>IF(Table1[[#This Row],[Percent Leave]]&gt;Table1[[#This Row],[Percent Remain]],"Leave", "Remain")</f>
        <v>Remain</v>
      </c>
      <c r="W154">
        <v>52.108051000000003</v>
      </c>
      <c r="X154">
        <v>9.1017000000000001E-2</v>
      </c>
      <c r="Y154" s="1">
        <f>_xlfn.XLOOKUP(Table1[[#This Row],[Area]],Table2[Area],Table2[All Residents])</f>
        <v>148755</v>
      </c>
    </row>
    <row r="155" spans="1:25" x14ac:dyDescent="0.45">
      <c r="A155">
        <v>154</v>
      </c>
      <c r="B155" t="s">
        <v>315</v>
      </c>
      <c r="C155" t="s">
        <v>316</v>
      </c>
      <c r="D155" t="s">
        <v>339</v>
      </c>
      <c r="E155" t="s">
        <v>340</v>
      </c>
      <c r="F155" s="1">
        <v>132771</v>
      </c>
      <c r="G155" s="1">
        <v>98087</v>
      </c>
      <c r="H155" s="1">
        <v>98071</v>
      </c>
      <c r="I155" s="5">
        <f>Table1[[#This Row],[ Verified Ballot Papers ]]/Table1[[#This Row],[ Electorate ]]</f>
        <v>0.73864774687243451</v>
      </c>
      <c r="J155" s="1">
        <v>98062</v>
      </c>
      <c r="K155" s="1">
        <v>97999</v>
      </c>
      <c r="L155" s="1">
        <v>30748</v>
      </c>
      <c r="M155" s="1">
        <v>67251</v>
      </c>
      <c r="N155">
        <v>63</v>
      </c>
      <c r="O155">
        <v>3</v>
      </c>
      <c r="P155">
        <v>26</v>
      </c>
      <c r="Q155">
        <v>2</v>
      </c>
      <c r="R155">
        <v>32</v>
      </c>
      <c r="S155" s="5">
        <f>Table1[[#This Row],[ Remain ]]/Table1[[#This Row],[ Valid Votes ]]</f>
        <v>0.31375830365615975</v>
      </c>
      <c r="T155" s="5">
        <f>Table1[[#This Row],[ Leave ]]/Table1[[#This Row],[ Valid Votes ]]</f>
        <v>0.68624169634384025</v>
      </c>
      <c r="U155" s="5">
        <f>Table1[[#This Row],[ Rejected Ballots ]]/Table1[[#This Row],[ Votes Cast ]]</f>
        <v>6.4245069445860784E-4</v>
      </c>
      <c r="V155" t="str">
        <f>IF(Table1[[#This Row],[Percent Leave]]&gt;Table1[[#This Row],[Percent Remain]],"Leave", "Remain")</f>
        <v>Leave</v>
      </c>
      <c r="W155">
        <v>51.590358999999999</v>
      </c>
      <c r="X155">
        <v>0.47505501</v>
      </c>
      <c r="Y155" s="1">
        <f>_xlfn.XLOOKUP(Table1[[#This Row],[Area]],Table2[Area],Table2[All Residents])</f>
        <v>174497</v>
      </c>
    </row>
    <row r="156" spans="1:25" x14ac:dyDescent="0.45">
      <c r="A156">
        <v>155</v>
      </c>
      <c r="B156" t="s">
        <v>315</v>
      </c>
      <c r="C156" t="s">
        <v>316</v>
      </c>
      <c r="D156" t="s">
        <v>341</v>
      </c>
      <c r="E156" t="s">
        <v>342</v>
      </c>
      <c r="F156" s="1">
        <v>112562</v>
      </c>
      <c r="G156" s="1">
        <v>86316</v>
      </c>
      <c r="H156" s="1">
        <v>86309</v>
      </c>
      <c r="I156" s="5">
        <f>Table1[[#This Row],[ Verified Ballot Papers ]]/Table1[[#This Row],[ Electorate ]]</f>
        <v>0.7667685364510225</v>
      </c>
      <c r="J156" s="1">
        <v>86303</v>
      </c>
      <c r="K156" s="1">
        <v>86236</v>
      </c>
      <c r="L156" s="1">
        <v>33523</v>
      </c>
      <c r="M156" s="1">
        <v>52713</v>
      </c>
      <c r="N156">
        <v>67</v>
      </c>
      <c r="O156">
        <v>0</v>
      </c>
      <c r="P156">
        <v>23</v>
      </c>
      <c r="Q156">
        <v>0</v>
      </c>
      <c r="R156">
        <v>44</v>
      </c>
      <c r="S156" s="5">
        <f>Table1[[#This Row],[ Remain ]]/Table1[[#This Row],[ Valid Votes ]]</f>
        <v>0.38873556287397376</v>
      </c>
      <c r="T156" s="5">
        <f>Table1[[#This Row],[ Leave ]]/Table1[[#This Row],[ Valid Votes ]]</f>
        <v>0.61126443712602629</v>
      </c>
      <c r="U156" s="5">
        <f>Table1[[#This Row],[ Rejected Ballots ]]/Table1[[#This Row],[ Votes Cast ]]</f>
        <v>7.7633454225229715E-4</v>
      </c>
      <c r="V156" t="str">
        <f>IF(Table1[[#This Row],[Percent Leave]]&gt;Table1[[#This Row],[Percent Remain]],"Leave", "Remain")</f>
        <v>Leave</v>
      </c>
      <c r="W156">
        <v>51.916339999999998</v>
      </c>
      <c r="X156">
        <v>0.57591099000000001</v>
      </c>
      <c r="Y156" s="1">
        <f>_xlfn.XLOOKUP(Table1[[#This Row],[Area]],Table2[Area],Table2[All Residents])</f>
        <v>147084</v>
      </c>
    </row>
    <row r="157" spans="1:25" x14ac:dyDescent="0.45">
      <c r="A157">
        <v>156</v>
      </c>
      <c r="B157" t="s">
        <v>315</v>
      </c>
      <c r="C157" t="s">
        <v>316</v>
      </c>
      <c r="D157" t="s">
        <v>343</v>
      </c>
      <c r="E157" t="s">
        <v>344</v>
      </c>
      <c r="F157" s="1">
        <v>58777</v>
      </c>
      <c r="G157" s="1">
        <v>46726</v>
      </c>
      <c r="H157" s="1">
        <v>46724</v>
      </c>
      <c r="I157" s="5">
        <f>Table1[[#This Row],[ Verified Ballot Papers ]]/Table1[[#This Row],[ Electorate ]]</f>
        <v>0.79493679500484882</v>
      </c>
      <c r="J157" s="1">
        <v>46725</v>
      </c>
      <c r="K157" s="1">
        <v>46704</v>
      </c>
      <c r="L157" s="1">
        <v>19077</v>
      </c>
      <c r="M157" s="1">
        <v>27627</v>
      </c>
      <c r="N157">
        <v>21</v>
      </c>
      <c r="O157">
        <v>0</v>
      </c>
      <c r="P157">
        <v>3</v>
      </c>
      <c r="Q157">
        <v>1</v>
      </c>
      <c r="R157">
        <v>17</v>
      </c>
      <c r="S157" s="5">
        <f>Table1[[#This Row],[ Remain ]]/Table1[[#This Row],[ Valid Votes ]]</f>
        <v>0.40846608427543679</v>
      </c>
      <c r="T157" s="5">
        <f>Table1[[#This Row],[ Leave ]]/Table1[[#This Row],[ Valid Votes ]]</f>
        <v>0.59153391572456315</v>
      </c>
      <c r="U157" s="5">
        <f>Table1[[#This Row],[ Rejected Ballots ]]/Table1[[#This Row],[ Votes Cast ]]</f>
        <v>4.4943820224719103E-4</v>
      </c>
      <c r="V157" t="str">
        <f>IF(Table1[[#This Row],[Percent Leave]]&gt;Table1[[#This Row],[Percent Remain]],"Leave", "Remain")</f>
        <v>Leave</v>
      </c>
      <c r="W157">
        <v>51.641078999999998</v>
      </c>
      <c r="X157">
        <v>0.29009100999999998</v>
      </c>
      <c r="Y157" s="1">
        <f>_xlfn.XLOOKUP(Table1[[#This Row],[Area]],Table2[Area],Table2[All Residents])</f>
        <v>73601</v>
      </c>
    </row>
    <row r="158" spans="1:25" x14ac:dyDescent="0.45">
      <c r="A158">
        <v>157</v>
      </c>
      <c r="B158" t="s">
        <v>315</v>
      </c>
      <c r="C158" t="s">
        <v>316</v>
      </c>
      <c r="D158" t="s">
        <v>345</v>
      </c>
      <c r="E158" t="s">
        <v>346</v>
      </c>
      <c r="F158" s="1">
        <v>68860</v>
      </c>
      <c r="G158" s="1">
        <v>51909</v>
      </c>
      <c r="H158" s="1">
        <v>51909</v>
      </c>
      <c r="I158" s="5">
        <f>Table1[[#This Row],[ Verified Ballot Papers ]]/Table1[[#This Row],[ Electorate ]]</f>
        <v>0.75383386581469647</v>
      </c>
      <c r="J158" s="1">
        <v>51909</v>
      </c>
      <c r="K158" s="1">
        <v>51845</v>
      </c>
      <c r="L158" s="1">
        <v>14154</v>
      </c>
      <c r="M158" s="1">
        <v>37691</v>
      </c>
      <c r="N158">
        <v>64</v>
      </c>
      <c r="O158">
        <v>0</v>
      </c>
      <c r="P158">
        <v>15</v>
      </c>
      <c r="Q158">
        <v>1</v>
      </c>
      <c r="R158">
        <v>48</v>
      </c>
      <c r="S158" s="5">
        <f>Table1[[#This Row],[ Remain ]]/Table1[[#This Row],[ Valid Votes ]]</f>
        <v>0.27300607580287395</v>
      </c>
      <c r="T158" s="5">
        <f>Table1[[#This Row],[ Leave ]]/Table1[[#This Row],[ Valid Votes ]]</f>
        <v>0.72699392419712605</v>
      </c>
      <c r="U158" s="5">
        <f>Table1[[#This Row],[ Rejected Ballots ]]/Table1[[#This Row],[ Votes Cast ]]</f>
        <v>1.2329268527615635E-3</v>
      </c>
      <c r="V158" t="str">
        <f>IF(Table1[[#This Row],[Percent Leave]]&gt;Table1[[#This Row],[Percent Remain]],"Leave", "Remain")</f>
        <v>Leave</v>
      </c>
      <c r="W158">
        <v>51.561588</v>
      </c>
      <c r="X158">
        <v>0.58808397999999995</v>
      </c>
      <c r="Y158" s="1">
        <f>_xlfn.XLOOKUP(Table1[[#This Row],[Area]],Table2[Area],Table2[All Residents])</f>
        <v>88011</v>
      </c>
    </row>
    <row r="159" spans="1:25" x14ac:dyDescent="0.45">
      <c r="A159">
        <v>158</v>
      </c>
      <c r="B159" t="s">
        <v>315</v>
      </c>
      <c r="C159" t="s">
        <v>316</v>
      </c>
      <c r="D159" t="s">
        <v>347</v>
      </c>
      <c r="E159" t="s">
        <v>348</v>
      </c>
      <c r="F159" s="1">
        <v>129971</v>
      </c>
      <c r="G159" s="1">
        <v>100867</v>
      </c>
      <c r="H159" s="1">
        <v>100866</v>
      </c>
      <c r="I159" s="5">
        <f>Table1[[#This Row],[ Verified Ballot Papers ]]/Table1[[#This Row],[ Electorate ]]</f>
        <v>0.77606542998053407</v>
      </c>
      <c r="J159" s="1">
        <v>100852</v>
      </c>
      <c r="K159" s="1">
        <v>100794</v>
      </c>
      <c r="L159" s="1">
        <v>47545</v>
      </c>
      <c r="M159" s="1">
        <v>53249</v>
      </c>
      <c r="N159">
        <v>58</v>
      </c>
      <c r="O159">
        <v>0</v>
      </c>
      <c r="P159">
        <v>23</v>
      </c>
      <c r="Q159">
        <v>2</v>
      </c>
      <c r="R159">
        <v>33</v>
      </c>
      <c r="S159" s="5">
        <f>Table1[[#This Row],[ Remain ]]/Table1[[#This Row],[ Valid Votes ]]</f>
        <v>0.4717046649602159</v>
      </c>
      <c r="T159" s="5">
        <f>Table1[[#This Row],[ Leave ]]/Table1[[#This Row],[ Valid Votes ]]</f>
        <v>0.5282953350397841</v>
      </c>
      <c r="U159" s="5">
        <f>Table1[[#This Row],[ Rejected Ballots ]]/Table1[[#This Row],[ Votes Cast ]]</f>
        <v>5.7510014674969263E-4</v>
      </c>
      <c r="V159" t="str">
        <f>IF(Table1[[#This Row],[Percent Leave]]&gt;Table1[[#This Row],[Percent Remain]],"Leave", "Remain")</f>
        <v>Leave</v>
      </c>
      <c r="W159">
        <v>51.735030999999999</v>
      </c>
      <c r="X159">
        <v>0.49117698999999998</v>
      </c>
      <c r="Y159" s="1">
        <f>_xlfn.XLOOKUP(Table1[[#This Row],[Area]],Table2[Area],Table2[All Residents])</f>
        <v>168310</v>
      </c>
    </row>
    <row r="160" spans="1:25" x14ac:dyDescent="0.45">
      <c r="A160">
        <v>159</v>
      </c>
      <c r="B160" t="s">
        <v>315</v>
      </c>
      <c r="C160" t="s">
        <v>316</v>
      </c>
      <c r="D160" t="s">
        <v>349</v>
      </c>
      <c r="E160" t="s">
        <v>350</v>
      </c>
      <c r="F160" s="1">
        <v>127520</v>
      </c>
      <c r="G160" s="1">
        <v>95805</v>
      </c>
      <c r="H160" s="1">
        <v>95802</v>
      </c>
      <c r="I160" s="5">
        <f>Table1[[#This Row],[ Verified Ballot Papers ]]/Table1[[#This Row],[ Electorate ]]</f>
        <v>0.75127038895859477</v>
      </c>
      <c r="J160" s="1">
        <v>95782</v>
      </c>
      <c r="K160" s="1">
        <v>95719</v>
      </c>
      <c r="L160" s="1">
        <v>44414</v>
      </c>
      <c r="M160" s="1">
        <v>51305</v>
      </c>
      <c r="N160">
        <v>63</v>
      </c>
      <c r="O160">
        <v>2</v>
      </c>
      <c r="P160">
        <v>17</v>
      </c>
      <c r="Q160">
        <v>5</v>
      </c>
      <c r="R160">
        <v>39</v>
      </c>
      <c r="S160" s="5">
        <f>Table1[[#This Row],[ Remain ]]/Table1[[#This Row],[ Valid Votes ]]</f>
        <v>0.46400401174270522</v>
      </c>
      <c r="T160" s="5">
        <f>Table1[[#This Row],[ Leave ]]/Table1[[#This Row],[ Valid Votes ]]</f>
        <v>0.53599598825729478</v>
      </c>
      <c r="U160" s="5">
        <f>Table1[[#This Row],[ Rejected Ballots ]]/Table1[[#This Row],[ Votes Cast ]]</f>
        <v>6.5774362615105139E-4</v>
      </c>
      <c r="V160" t="str">
        <f>IF(Table1[[#This Row],[Percent Leave]]&gt;Table1[[#This Row],[Percent Remain]],"Leave", "Remain")</f>
        <v>Leave</v>
      </c>
      <c r="W160">
        <v>51.877021999999997</v>
      </c>
      <c r="X160">
        <v>0.85977696999999997</v>
      </c>
      <c r="Y160" s="1">
        <f>_xlfn.XLOOKUP(Table1[[#This Row],[Area]],Table2[Area],Table2[All Residents])</f>
        <v>173074</v>
      </c>
    </row>
    <row r="161" spans="1:25" x14ac:dyDescent="0.45">
      <c r="A161">
        <v>160</v>
      </c>
      <c r="B161" t="s">
        <v>315</v>
      </c>
      <c r="C161" t="s">
        <v>316</v>
      </c>
      <c r="D161" t="s">
        <v>351</v>
      </c>
      <c r="E161" t="s">
        <v>352</v>
      </c>
      <c r="F161" s="1">
        <v>100016</v>
      </c>
      <c r="G161" s="1">
        <v>76905</v>
      </c>
      <c r="H161" s="1">
        <v>76900</v>
      </c>
      <c r="I161" s="5">
        <f>Table1[[#This Row],[ Verified Ballot Papers ]]/Table1[[#This Row],[ Electorate ]]</f>
        <v>0.76887697968325064</v>
      </c>
      <c r="J161" s="1">
        <v>76900</v>
      </c>
      <c r="K161" s="1">
        <v>76852</v>
      </c>
      <c r="L161" s="1">
        <v>28676</v>
      </c>
      <c r="M161" s="1">
        <v>48176</v>
      </c>
      <c r="N161">
        <v>48</v>
      </c>
      <c r="O161">
        <v>0</v>
      </c>
      <c r="P161">
        <v>21</v>
      </c>
      <c r="Q161">
        <v>2</v>
      </c>
      <c r="R161">
        <v>25</v>
      </c>
      <c r="S161" s="5">
        <f>Table1[[#This Row],[ Remain ]]/Table1[[#This Row],[ Valid Votes ]]</f>
        <v>0.37313277468380784</v>
      </c>
      <c r="T161" s="5">
        <f>Table1[[#This Row],[ Leave ]]/Table1[[#This Row],[ Valid Votes ]]</f>
        <v>0.62686722531619221</v>
      </c>
      <c r="U161" s="5">
        <f>Table1[[#This Row],[ Rejected Ballots ]]/Table1[[#This Row],[ Votes Cast ]]</f>
        <v>6.2418725617685307E-4</v>
      </c>
      <c r="V161" t="str">
        <f>IF(Table1[[#This Row],[Percent Leave]]&gt;Table1[[#This Row],[Percent Remain]],"Leave", "Remain")</f>
        <v>Leave</v>
      </c>
      <c r="W161">
        <v>51.712791000000003</v>
      </c>
      <c r="X161">
        <v>0.15414700000000001</v>
      </c>
      <c r="Y161" s="1">
        <f>_xlfn.XLOOKUP(Table1[[#This Row],[Area]],Table2[Area],Table2[All Residents])</f>
        <v>124659</v>
      </c>
    </row>
    <row r="162" spans="1:25" x14ac:dyDescent="0.45">
      <c r="A162">
        <v>161</v>
      </c>
      <c r="B162" t="s">
        <v>315</v>
      </c>
      <c r="C162" t="s">
        <v>316</v>
      </c>
      <c r="D162" t="s">
        <v>353</v>
      </c>
      <c r="E162" t="s">
        <v>354</v>
      </c>
      <c r="F162" s="1">
        <v>59124</v>
      </c>
      <c r="G162" s="1">
        <v>43493</v>
      </c>
      <c r="H162" s="1">
        <v>43489</v>
      </c>
      <c r="I162" s="5">
        <f>Table1[[#This Row],[ Verified Ballot Papers ]]/Table1[[#This Row],[ Electorate ]]</f>
        <v>0.73555578107029296</v>
      </c>
      <c r="J162" s="1">
        <v>43489</v>
      </c>
      <c r="K162" s="1">
        <v>43469</v>
      </c>
      <c r="L162" s="1">
        <v>13867</v>
      </c>
      <c r="M162" s="1">
        <v>29602</v>
      </c>
      <c r="N162">
        <v>20</v>
      </c>
      <c r="O162">
        <v>0</v>
      </c>
      <c r="P162">
        <v>1</v>
      </c>
      <c r="Q162">
        <v>0</v>
      </c>
      <c r="R162">
        <v>19</v>
      </c>
      <c r="S162" s="5">
        <f>Table1[[#This Row],[ Remain ]]/Table1[[#This Row],[ Valid Votes ]]</f>
        <v>0.31900894890611703</v>
      </c>
      <c r="T162" s="5">
        <f>Table1[[#This Row],[ Leave ]]/Table1[[#This Row],[ Valid Votes ]]</f>
        <v>0.68099105109388303</v>
      </c>
      <c r="U162" s="5">
        <f>Table1[[#This Row],[ Rejected Ballots ]]/Table1[[#This Row],[ Votes Cast ]]</f>
        <v>4.5988640805720988E-4</v>
      </c>
      <c r="V162" t="str">
        <f>IF(Table1[[#This Row],[Percent Leave]]&gt;Table1[[#This Row],[Percent Remain]],"Leave", "Remain")</f>
        <v>Leave</v>
      </c>
      <c r="W162">
        <v>51.76614</v>
      </c>
      <c r="X162">
        <v>0.10388799999999999</v>
      </c>
      <c r="Y162" s="1">
        <f>_xlfn.XLOOKUP(Table1[[#This Row],[Area]],Table2[Area],Table2[All Residents])</f>
        <v>81944</v>
      </c>
    </row>
    <row r="163" spans="1:25" x14ac:dyDescent="0.45">
      <c r="A163">
        <v>162</v>
      </c>
      <c r="B163" t="s">
        <v>315</v>
      </c>
      <c r="C163" t="s">
        <v>316</v>
      </c>
      <c r="D163" t="s">
        <v>355</v>
      </c>
      <c r="E163" t="s">
        <v>356</v>
      </c>
      <c r="F163" s="1">
        <v>49073</v>
      </c>
      <c r="G163" s="1">
        <v>38851</v>
      </c>
      <c r="H163" s="1">
        <v>38850</v>
      </c>
      <c r="I163" s="5">
        <f>Table1[[#This Row],[ Verified Ballot Papers ]]/Table1[[#This Row],[ Electorate ]]</f>
        <v>0.7916777046441017</v>
      </c>
      <c r="J163" s="1">
        <v>38850</v>
      </c>
      <c r="K163" s="1">
        <v>38831</v>
      </c>
      <c r="L163" s="1">
        <v>14529</v>
      </c>
      <c r="M163" s="1">
        <v>24302</v>
      </c>
      <c r="N163">
        <v>19</v>
      </c>
      <c r="O163">
        <v>1</v>
      </c>
      <c r="P163">
        <v>9</v>
      </c>
      <c r="Q163">
        <v>1</v>
      </c>
      <c r="R163">
        <v>8</v>
      </c>
      <c r="S163" s="5">
        <f>Table1[[#This Row],[ Remain ]]/Table1[[#This Row],[ Valid Votes ]]</f>
        <v>0.37415982076176252</v>
      </c>
      <c r="T163" s="5">
        <f>Table1[[#This Row],[ Leave ]]/Table1[[#This Row],[ Valid Votes ]]</f>
        <v>0.62584017923823754</v>
      </c>
      <c r="U163" s="5">
        <f>Table1[[#This Row],[ Rejected Ballots ]]/Table1[[#This Row],[ Votes Cast ]]</f>
        <v>4.8906048906048908E-4</v>
      </c>
      <c r="V163" t="str">
        <f>IF(Table1[[#This Row],[Percent Leave]]&gt;Table1[[#This Row],[Percent Remain]],"Leave", "Remain")</f>
        <v>Leave</v>
      </c>
      <c r="W163">
        <v>51.774577999999998</v>
      </c>
      <c r="X163">
        <v>0.77310597999999997</v>
      </c>
      <c r="Y163" s="1">
        <f>_xlfn.XLOOKUP(Table1[[#This Row],[Area]],Table2[Area],Table2[All Residents])</f>
        <v>61629</v>
      </c>
    </row>
    <row r="164" spans="1:25" x14ac:dyDescent="0.45">
      <c r="A164">
        <v>163</v>
      </c>
      <c r="B164" t="s">
        <v>315</v>
      </c>
      <c r="C164" t="s">
        <v>316</v>
      </c>
      <c r="D164" t="s">
        <v>357</v>
      </c>
      <c r="E164" t="s">
        <v>358</v>
      </c>
      <c r="F164" s="1">
        <v>66589</v>
      </c>
      <c r="G164" s="1">
        <v>52487</v>
      </c>
      <c r="H164" s="1">
        <v>52479</v>
      </c>
      <c r="I164" s="5">
        <f>Table1[[#This Row],[ Verified Ballot Papers ]]/Table1[[#This Row],[ Electorate ]]</f>
        <v>0.78810314015828442</v>
      </c>
      <c r="J164" s="1">
        <v>52479</v>
      </c>
      <c r="K164" s="1">
        <v>52447</v>
      </c>
      <c r="L164" s="1">
        <v>17510</v>
      </c>
      <c r="M164" s="1">
        <v>34937</v>
      </c>
      <c r="N164">
        <v>32</v>
      </c>
      <c r="O164">
        <v>0</v>
      </c>
      <c r="P164">
        <v>13</v>
      </c>
      <c r="Q164">
        <v>1</v>
      </c>
      <c r="R164">
        <v>18</v>
      </c>
      <c r="S164" s="5">
        <f>Table1[[#This Row],[ Remain ]]/Table1[[#This Row],[ Valid Votes ]]</f>
        <v>0.33386085000095334</v>
      </c>
      <c r="T164" s="5">
        <f>Table1[[#This Row],[ Leave ]]/Table1[[#This Row],[ Valid Votes ]]</f>
        <v>0.66613914999904666</v>
      </c>
      <c r="U164" s="5">
        <f>Table1[[#This Row],[ Rejected Ballots ]]/Table1[[#This Row],[ Votes Cast ]]</f>
        <v>6.0976771661045369E-4</v>
      </c>
      <c r="V164" t="str">
        <f>IF(Table1[[#This Row],[Percent Leave]]&gt;Table1[[#This Row],[Percent Remain]],"Leave", "Remain")</f>
        <v>Leave</v>
      </c>
      <c r="W164">
        <v>51.590899999999998</v>
      </c>
      <c r="X164">
        <v>0.68344199999999999</v>
      </c>
      <c r="Y164" s="1">
        <f>_xlfn.XLOOKUP(Table1[[#This Row],[Area]],Table2[Area],Table2[All Residents])</f>
        <v>83287</v>
      </c>
    </row>
    <row r="165" spans="1:25" x14ac:dyDescent="0.45">
      <c r="A165">
        <v>164</v>
      </c>
      <c r="B165" t="s">
        <v>315</v>
      </c>
      <c r="C165" t="s">
        <v>316</v>
      </c>
      <c r="D165" t="s">
        <v>359</v>
      </c>
      <c r="E165" t="s">
        <v>360</v>
      </c>
      <c r="F165" s="1">
        <v>111167</v>
      </c>
      <c r="G165" s="1">
        <v>82724</v>
      </c>
      <c r="H165" s="1">
        <v>82725</v>
      </c>
      <c r="I165" s="5">
        <f>Table1[[#This Row],[ Verified Ballot Papers ]]/Table1[[#This Row],[ Electorate ]]</f>
        <v>0.74415069220182251</v>
      </c>
      <c r="J165" s="1">
        <v>82703</v>
      </c>
      <c r="K165" s="1">
        <v>82657</v>
      </c>
      <c r="L165" s="1">
        <v>25210</v>
      </c>
      <c r="M165" s="1">
        <v>57447</v>
      </c>
      <c r="N165">
        <v>46</v>
      </c>
      <c r="O165">
        <v>0</v>
      </c>
      <c r="P165">
        <v>17</v>
      </c>
      <c r="Q165">
        <v>2</v>
      </c>
      <c r="R165">
        <v>27</v>
      </c>
      <c r="S165" s="5">
        <f>Table1[[#This Row],[ Remain ]]/Table1[[#This Row],[ Valid Votes ]]</f>
        <v>0.30499534219727309</v>
      </c>
      <c r="T165" s="5">
        <f>Table1[[#This Row],[ Leave ]]/Table1[[#This Row],[ Valid Votes ]]</f>
        <v>0.69500465780272691</v>
      </c>
      <c r="U165" s="5">
        <f>Table1[[#This Row],[ Rejected Ballots ]]/Table1[[#This Row],[ Votes Cast ]]</f>
        <v>5.5620715088932683E-4</v>
      </c>
      <c r="V165" t="str">
        <f>IF(Table1[[#This Row],[Percent Leave]]&gt;Table1[[#This Row],[Percent Remain]],"Leave", "Remain")</f>
        <v>Leave</v>
      </c>
      <c r="W165">
        <v>51.856738999999997</v>
      </c>
      <c r="X165">
        <v>1.108981</v>
      </c>
      <c r="Y165" s="1">
        <f>_xlfn.XLOOKUP(Table1[[#This Row],[Area]],Table2[Area],Table2[All Residents])</f>
        <v>138048</v>
      </c>
    </row>
    <row r="166" spans="1:25" x14ac:dyDescent="0.45">
      <c r="A166">
        <v>165</v>
      </c>
      <c r="B166" t="s">
        <v>315</v>
      </c>
      <c r="C166" t="s">
        <v>316</v>
      </c>
      <c r="D166" t="s">
        <v>361</v>
      </c>
      <c r="E166" t="s">
        <v>362</v>
      </c>
      <c r="F166" s="1">
        <v>64735</v>
      </c>
      <c r="G166" s="1">
        <v>51973</v>
      </c>
      <c r="H166" s="1">
        <v>51972</v>
      </c>
      <c r="I166" s="5">
        <f>Table1[[#This Row],[ Verified Ballot Papers ]]/Table1[[#This Row],[ Electorate ]]</f>
        <v>0.80284235730285003</v>
      </c>
      <c r="J166" s="1">
        <v>51972</v>
      </c>
      <c r="K166" s="1">
        <v>51943</v>
      </c>
      <c r="L166" s="1">
        <v>25619</v>
      </c>
      <c r="M166" s="1">
        <v>26324</v>
      </c>
      <c r="N166">
        <v>29</v>
      </c>
      <c r="O166">
        <v>0</v>
      </c>
      <c r="P166">
        <v>5</v>
      </c>
      <c r="Q166">
        <v>0</v>
      </c>
      <c r="R166">
        <v>24</v>
      </c>
      <c r="S166" s="5">
        <f>Table1[[#This Row],[ Remain ]]/Table1[[#This Row],[ Valid Votes ]]</f>
        <v>0.49321371503378703</v>
      </c>
      <c r="T166" s="5">
        <f>Table1[[#This Row],[ Leave ]]/Table1[[#This Row],[ Valid Votes ]]</f>
        <v>0.50678628496621292</v>
      </c>
      <c r="U166" s="5">
        <f>Table1[[#This Row],[ Rejected Ballots ]]/Table1[[#This Row],[ Votes Cast ]]</f>
        <v>5.5799276533518053E-4</v>
      </c>
      <c r="V166" t="str">
        <f>IF(Table1[[#This Row],[Percent Leave]]&gt;Table1[[#This Row],[Percent Remain]],"Leave", "Remain")</f>
        <v>Leave</v>
      </c>
      <c r="W166">
        <v>51.935921</v>
      </c>
      <c r="X166">
        <v>0.294485</v>
      </c>
      <c r="Y166" s="1">
        <f>_xlfn.XLOOKUP(Table1[[#This Row],[Area]],Table2[Area],Table2[All Residents])</f>
        <v>79443</v>
      </c>
    </row>
    <row r="167" spans="1:25" x14ac:dyDescent="0.45">
      <c r="A167">
        <v>166</v>
      </c>
      <c r="B167" t="s">
        <v>315</v>
      </c>
      <c r="C167" t="s">
        <v>316</v>
      </c>
      <c r="D167" t="s">
        <v>363</v>
      </c>
      <c r="E167" t="s">
        <v>364</v>
      </c>
      <c r="F167" s="1">
        <v>68997</v>
      </c>
      <c r="G167" s="1">
        <v>50915</v>
      </c>
      <c r="H167" s="1">
        <v>50907</v>
      </c>
      <c r="I167" s="5">
        <f>Table1[[#This Row],[ Verified Ballot Papers ]]/Table1[[#This Row],[ Electorate ]]</f>
        <v>0.73781468759511282</v>
      </c>
      <c r="J167" s="1">
        <v>50907</v>
      </c>
      <c r="K167" s="1">
        <v>50872</v>
      </c>
      <c r="L167" s="1">
        <v>17166</v>
      </c>
      <c r="M167" s="1">
        <v>33706</v>
      </c>
      <c r="N167">
        <v>35</v>
      </c>
      <c r="O167">
        <v>0</v>
      </c>
      <c r="P167">
        <v>14</v>
      </c>
      <c r="Q167">
        <v>0</v>
      </c>
      <c r="R167">
        <v>21</v>
      </c>
      <c r="S167" s="5">
        <f>Table1[[#This Row],[ Remain ]]/Table1[[#This Row],[ Valid Votes ]]</f>
        <v>0.33743513130995439</v>
      </c>
      <c r="T167" s="5">
        <f>Table1[[#This Row],[ Leave ]]/Table1[[#This Row],[ Valid Votes ]]</f>
        <v>0.66256486869004561</v>
      </c>
      <c r="U167" s="5">
        <f>Table1[[#This Row],[ Rejected Ballots ]]/Table1[[#This Row],[ Votes Cast ]]</f>
        <v>6.8752823776690823E-4</v>
      </c>
      <c r="V167" t="str">
        <f>IF(Table1[[#This Row],[Percent Leave]]&gt;Table1[[#This Row],[Percent Remain]],"Leave", "Remain")</f>
        <v>Leave</v>
      </c>
      <c r="W167">
        <v>51.720798000000002</v>
      </c>
      <c r="X167">
        <v>-5.0730000999999997E-2</v>
      </c>
      <c r="Y167" s="1">
        <f>_xlfn.XLOOKUP(Table1[[#This Row],[Area]],Table2[Area],Table2[All Residents])</f>
        <v>93609</v>
      </c>
    </row>
    <row r="168" spans="1:25" x14ac:dyDescent="0.45">
      <c r="A168">
        <v>167</v>
      </c>
      <c r="B168" t="s">
        <v>315</v>
      </c>
      <c r="C168" t="s">
        <v>316</v>
      </c>
      <c r="D168" t="s">
        <v>365</v>
      </c>
      <c r="E168" t="s">
        <v>366</v>
      </c>
      <c r="F168" s="1">
        <v>108965</v>
      </c>
      <c r="G168" s="1">
        <v>86313</v>
      </c>
      <c r="H168" s="1">
        <v>86308</v>
      </c>
      <c r="I168" s="5">
        <f>Table1[[#This Row],[ Verified Ballot Papers ]]/Table1[[#This Row],[ Electorate ]]</f>
        <v>0.7920708484375717</v>
      </c>
      <c r="J168" s="1">
        <v>86307</v>
      </c>
      <c r="K168" s="1">
        <v>86244</v>
      </c>
      <c r="L168" s="1">
        <v>42542</v>
      </c>
      <c r="M168" s="1">
        <v>43702</v>
      </c>
      <c r="N168">
        <v>63</v>
      </c>
      <c r="O168">
        <v>4</v>
      </c>
      <c r="P168">
        <v>24</v>
      </c>
      <c r="Q168">
        <v>0</v>
      </c>
      <c r="R168">
        <v>35</v>
      </c>
      <c r="S168" s="5">
        <f>Table1[[#This Row],[ Remain ]]/Table1[[#This Row],[ Valid Votes ]]</f>
        <v>0.49327489448541345</v>
      </c>
      <c r="T168" s="5">
        <f>Table1[[#This Row],[ Leave ]]/Table1[[#This Row],[ Valid Votes ]]</f>
        <v>0.50672510551458649</v>
      </c>
      <c r="U168" s="5">
        <f>Table1[[#This Row],[ Rejected Ballots ]]/Table1[[#This Row],[ Votes Cast ]]</f>
        <v>7.2995237929716016E-4</v>
      </c>
      <c r="V168" t="str">
        <f>IF(Table1[[#This Row],[Percent Leave]]&gt;Table1[[#This Row],[Percent Remain]],"Leave", "Remain")</f>
        <v>Leave</v>
      </c>
      <c r="W168">
        <v>51.768452000000003</v>
      </c>
      <c r="X168">
        <v>-0.55097996999999999</v>
      </c>
      <c r="Y168" s="1">
        <f>_xlfn.XLOOKUP(Table1[[#This Row],[Area]],Table2[Area],Table2[All Residents])</f>
        <v>144847</v>
      </c>
    </row>
    <row r="169" spans="1:25" x14ac:dyDescent="0.45">
      <c r="A169">
        <v>168</v>
      </c>
      <c r="B169" t="s">
        <v>315</v>
      </c>
      <c r="C169" t="s">
        <v>316</v>
      </c>
      <c r="D169" t="s">
        <v>367</v>
      </c>
      <c r="E169" t="s">
        <v>368</v>
      </c>
      <c r="F169" s="1">
        <v>106260</v>
      </c>
      <c r="G169" s="1">
        <v>85446</v>
      </c>
      <c r="H169" s="1">
        <v>85435</v>
      </c>
      <c r="I169" s="5">
        <f>Table1[[#This Row],[ Verified Ballot Papers ]]/Table1[[#This Row],[ Electorate ]]</f>
        <v>0.8040184453227931</v>
      </c>
      <c r="J169" s="1">
        <v>85433</v>
      </c>
      <c r="K169" s="1">
        <v>85366</v>
      </c>
      <c r="L169" s="1">
        <v>42372</v>
      </c>
      <c r="M169" s="1">
        <v>42994</v>
      </c>
      <c r="N169">
        <v>67</v>
      </c>
      <c r="O169">
        <v>0</v>
      </c>
      <c r="P169">
        <v>26</v>
      </c>
      <c r="Q169">
        <v>5</v>
      </c>
      <c r="R169">
        <v>36</v>
      </c>
      <c r="S169" s="5">
        <f>Table1[[#This Row],[ Remain ]]/Table1[[#This Row],[ Valid Votes ]]</f>
        <v>0.4963568633882342</v>
      </c>
      <c r="T169" s="5">
        <f>Table1[[#This Row],[ Leave ]]/Table1[[#This Row],[ Valid Votes ]]</f>
        <v>0.50364313661176585</v>
      </c>
      <c r="U169" s="5">
        <f>Table1[[#This Row],[ Rejected Ballots ]]/Table1[[#This Row],[ Votes Cast ]]</f>
        <v>7.8424028185829827E-4</v>
      </c>
      <c r="V169" t="str">
        <f>IF(Table1[[#This Row],[Percent Leave]]&gt;Table1[[#This Row],[Percent Remain]],"Leave", "Remain")</f>
        <v>Leave</v>
      </c>
      <c r="W169">
        <v>51.864849</v>
      </c>
      <c r="X169">
        <v>2.7390000000000001E-3</v>
      </c>
      <c r="Y169" s="1">
        <f>_xlfn.XLOOKUP(Table1[[#This Row],[Area]],Table2[Area],Table2[All Residents])</f>
        <v>137687</v>
      </c>
    </row>
    <row r="170" spans="1:25" x14ac:dyDescent="0.45">
      <c r="A170">
        <v>169</v>
      </c>
      <c r="B170" t="s">
        <v>315</v>
      </c>
      <c r="C170" t="s">
        <v>316</v>
      </c>
      <c r="D170" t="s">
        <v>369</v>
      </c>
      <c r="E170" t="s">
        <v>370</v>
      </c>
      <c r="F170" s="1">
        <v>73295</v>
      </c>
      <c r="G170" s="1">
        <v>56161</v>
      </c>
      <c r="H170" s="1">
        <v>56159</v>
      </c>
      <c r="I170" s="5">
        <f>Table1[[#This Row],[ Verified Ballot Papers ]]/Table1[[#This Row],[ Electorate ]]</f>
        <v>0.76620506173681702</v>
      </c>
      <c r="J170" s="1">
        <v>56159</v>
      </c>
      <c r="K170" s="1">
        <v>56125</v>
      </c>
      <c r="L170" s="1">
        <v>27593</v>
      </c>
      <c r="M170" s="1">
        <v>28532</v>
      </c>
      <c r="N170">
        <v>34</v>
      </c>
      <c r="O170">
        <v>0</v>
      </c>
      <c r="P170">
        <v>12</v>
      </c>
      <c r="Q170">
        <v>0</v>
      </c>
      <c r="R170">
        <v>22</v>
      </c>
      <c r="S170" s="5">
        <f>Table1[[#This Row],[ Remain ]]/Table1[[#This Row],[ Valid Votes ]]</f>
        <v>0.49163474387527839</v>
      </c>
      <c r="T170" s="5">
        <f>Table1[[#This Row],[ Leave ]]/Table1[[#This Row],[ Valid Votes ]]</f>
        <v>0.50836525612472161</v>
      </c>
      <c r="U170" s="5">
        <f>Table1[[#This Row],[ Rejected Ballots ]]/Table1[[#This Row],[ Votes Cast ]]</f>
        <v>6.0542388575295146E-4</v>
      </c>
      <c r="V170" t="str">
        <f>IF(Table1[[#This Row],[Percent Leave]]&gt;Table1[[#This Row],[Percent Remain]],"Leave", "Remain")</f>
        <v>Leave</v>
      </c>
      <c r="W170">
        <v>51.680168000000002</v>
      </c>
      <c r="X170">
        <v>-0.26899001</v>
      </c>
      <c r="Y170" s="1">
        <f>_xlfn.XLOOKUP(Table1[[#This Row],[Area]],Table2[Area],Table2[All Residents])</f>
        <v>100031</v>
      </c>
    </row>
    <row r="171" spans="1:25" x14ac:dyDescent="0.45">
      <c r="A171">
        <v>170</v>
      </c>
      <c r="B171" t="s">
        <v>315</v>
      </c>
      <c r="C171" t="s">
        <v>316</v>
      </c>
      <c r="D171" t="s">
        <v>371</v>
      </c>
      <c r="E171" t="s">
        <v>372</v>
      </c>
      <c r="F171" s="1">
        <v>99316</v>
      </c>
      <c r="G171" s="1">
        <v>77748</v>
      </c>
      <c r="H171" s="1">
        <v>77741</v>
      </c>
      <c r="I171" s="5">
        <f>Table1[[#This Row],[ Verified Ballot Papers ]]/Table1[[#This Row],[ Electorate ]]</f>
        <v>0.78276410648838057</v>
      </c>
      <c r="J171" s="1">
        <v>77737</v>
      </c>
      <c r="K171" s="1">
        <v>77672</v>
      </c>
      <c r="L171" s="1">
        <v>42234</v>
      </c>
      <c r="M171" s="1">
        <v>35438</v>
      </c>
      <c r="N171">
        <v>65</v>
      </c>
      <c r="O171">
        <v>0</v>
      </c>
      <c r="P171">
        <v>29</v>
      </c>
      <c r="Q171">
        <v>1</v>
      </c>
      <c r="R171">
        <v>35</v>
      </c>
      <c r="S171" s="5">
        <f>Table1[[#This Row],[ Remain ]]/Table1[[#This Row],[ Valid Votes ]]</f>
        <v>0.54374806880214233</v>
      </c>
      <c r="T171" s="5">
        <f>Table1[[#This Row],[ Leave ]]/Table1[[#This Row],[ Valid Votes ]]</f>
        <v>0.45625193119785767</v>
      </c>
      <c r="U171" s="5">
        <f>Table1[[#This Row],[ Rejected Ballots ]]/Table1[[#This Row],[ Votes Cast ]]</f>
        <v>8.3615266861340157E-4</v>
      </c>
      <c r="V171" t="str">
        <f>IF(Table1[[#This Row],[Percent Leave]]&gt;Table1[[#This Row],[Percent Remain]],"Leave", "Remain")</f>
        <v>Remain</v>
      </c>
      <c r="W171">
        <v>51.957377999999999</v>
      </c>
      <c r="X171">
        <v>-0.22314000000000001</v>
      </c>
      <c r="Y171" s="1">
        <f>_xlfn.XLOOKUP(Table1[[#This Row],[Area]],Table2[Area],Table2[All Residents])</f>
        <v>127114</v>
      </c>
    </row>
    <row r="172" spans="1:25" x14ac:dyDescent="0.45">
      <c r="A172">
        <v>171</v>
      </c>
      <c r="B172" t="s">
        <v>315</v>
      </c>
      <c r="C172" t="s">
        <v>316</v>
      </c>
      <c r="D172" t="s">
        <v>373</v>
      </c>
      <c r="E172" t="s">
        <v>374</v>
      </c>
      <c r="F172" s="1">
        <v>104859</v>
      </c>
      <c r="G172" s="1">
        <v>86519</v>
      </c>
      <c r="H172" s="1">
        <v>86516</v>
      </c>
      <c r="I172" s="5">
        <f>Table1[[#This Row],[ Verified Ballot Papers ]]/Table1[[#This Row],[ Electorate ]]</f>
        <v>0.82506985571100244</v>
      </c>
      <c r="J172" s="1">
        <v>86524</v>
      </c>
      <c r="K172" s="1">
        <v>86445</v>
      </c>
      <c r="L172" s="1">
        <v>54208</v>
      </c>
      <c r="M172" s="1">
        <v>32237</v>
      </c>
      <c r="N172">
        <v>79</v>
      </c>
      <c r="O172">
        <v>0</v>
      </c>
      <c r="P172">
        <v>31</v>
      </c>
      <c r="Q172">
        <v>0</v>
      </c>
      <c r="R172">
        <v>48</v>
      </c>
      <c r="S172" s="5">
        <f>Table1[[#This Row],[ Remain ]]/Table1[[#This Row],[ Valid Votes ]]</f>
        <v>0.62708080282260392</v>
      </c>
      <c r="T172" s="5">
        <f>Table1[[#This Row],[ Leave ]]/Table1[[#This Row],[ Valid Votes ]]</f>
        <v>0.37291919717739602</v>
      </c>
      <c r="U172" s="5">
        <f>Table1[[#This Row],[ Rejected Ballots ]]/Table1[[#This Row],[ Votes Cast ]]</f>
        <v>9.130414682631409E-4</v>
      </c>
      <c r="V172" t="str">
        <f>IF(Table1[[#This Row],[Percent Leave]]&gt;Table1[[#This Row],[Percent Remain]],"Leave", "Remain")</f>
        <v>Remain</v>
      </c>
      <c r="W172">
        <v>51.773560000000003</v>
      </c>
      <c r="X172">
        <v>-0.3407</v>
      </c>
      <c r="Y172" s="1">
        <f>_xlfn.XLOOKUP(Table1[[#This Row],[Area]],Table2[Area],Table2[All Residents])</f>
        <v>140664</v>
      </c>
    </row>
    <row r="173" spans="1:25" x14ac:dyDescent="0.45">
      <c r="A173">
        <v>172</v>
      </c>
      <c r="B173" t="s">
        <v>315</v>
      </c>
      <c r="C173" t="s">
        <v>316</v>
      </c>
      <c r="D173" t="s">
        <v>375</v>
      </c>
      <c r="E173" t="s">
        <v>376</v>
      </c>
      <c r="F173" s="1">
        <v>62156</v>
      </c>
      <c r="G173" s="1">
        <v>45811</v>
      </c>
      <c r="H173" s="1">
        <v>45811</v>
      </c>
      <c r="I173" s="5">
        <f>Table1[[#This Row],[ Verified Ballot Papers ]]/Table1[[#This Row],[ Electorate ]]</f>
        <v>0.73703262758221255</v>
      </c>
      <c r="J173" s="1">
        <v>45811</v>
      </c>
      <c r="K173" s="1">
        <v>45785</v>
      </c>
      <c r="L173" s="1">
        <v>18659</v>
      </c>
      <c r="M173" s="1">
        <v>27126</v>
      </c>
      <c r="N173">
        <v>26</v>
      </c>
      <c r="O173">
        <v>0</v>
      </c>
      <c r="P173">
        <v>12</v>
      </c>
      <c r="Q173">
        <v>2</v>
      </c>
      <c r="R173">
        <v>12</v>
      </c>
      <c r="S173" s="5">
        <f>Table1[[#This Row],[ Remain ]]/Table1[[#This Row],[ Valid Votes ]]</f>
        <v>0.40753521895817407</v>
      </c>
      <c r="T173" s="5">
        <f>Table1[[#This Row],[ Leave ]]/Table1[[#This Row],[ Valid Votes ]]</f>
        <v>0.59246478104182587</v>
      </c>
      <c r="U173" s="5">
        <f>Table1[[#This Row],[ Rejected Ballots ]]/Table1[[#This Row],[ Votes Cast ]]</f>
        <v>5.6754927855755168E-4</v>
      </c>
      <c r="V173" t="str">
        <f>IF(Table1[[#This Row],[Percent Leave]]&gt;Table1[[#This Row],[Percent Remain]],"Leave", "Remain")</f>
        <v>Leave</v>
      </c>
      <c r="W173">
        <v>51.905391999999999</v>
      </c>
      <c r="X173">
        <v>-0.18987000000000001</v>
      </c>
      <c r="Y173" s="1">
        <f>_xlfn.XLOOKUP(Table1[[#This Row],[Area]],Table2[Area],Table2[All Residents])</f>
        <v>83957</v>
      </c>
    </row>
    <row r="174" spans="1:25" x14ac:dyDescent="0.45">
      <c r="A174">
        <v>173</v>
      </c>
      <c r="B174" t="s">
        <v>315</v>
      </c>
      <c r="C174" t="s">
        <v>316</v>
      </c>
      <c r="D174" t="s">
        <v>377</v>
      </c>
      <c r="E174" t="s">
        <v>378</v>
      </c>
      <c r="F174" s="1">
        <v>67380</v>
      </c>
      <c r="G174" s="1">
        <v>52900</v>
      </c>
      <c r="H174" s="1">
        <v>52898</v>
      </c>
      <c r="I174" s="5">
        <f>Table1[[#This Row],[ Verified Ballot Papers ]]/Table1[[#This Row],[ Electorate ]]</f>
        <v>0.78506975363609377</v>
      </c>
      <c r="J174" s="1">
        <v>52896</v>
      </c>
      <c r="K174" s="1">
        <v>52848</v>
      </c>
      <c r="L174" s="1">
        <v>25751</v>
      </c>
      <c r="M174" s="1">
        <v>27097</v>
      </c>
      <c r="N174">
        <v>48</v>
      </c>
      <c r="O174">
        <v>4</v>
      </c>
      <c r="P174">
        <v>15</v>
      </c>
      <c r="Q174">
        <v>4</v>
      </c>
      <c r="R174">
        <v>25</v>
      </c>
      <c r="S174" s="5">
        <f>Table1[[#This Row],[ Remain ]]/Table1[[#This Row],[ Valid Votes ]]</f>
        <v>0.48726536481986071</v>
      </c>
      <c r="T174" s="5">
        <f>Table1[[#This Row],[ Leave ]]/Table1[[#This Row],[ Valid Votes ]]</f>
        <v>0.51273463518013929</v>
      </c>
      <c r="U174" s="5">
        <f>Table1[[#This Row],[ Rejected Ballots ]]/Table1[[#This Row],[ Votes Cast ]]</f>
        <v>9.0744101633393826E-4</v>
      </c>
      <c r="V174" t="str">
        <f>IF(Table1[[#This Row],[Percent Leave]]&gt;Table1[[#This Row],[Percent Remain]],"Leave", "Remain")</f>
        <v>Leave</v>
      </c>
      <c r="W174">
        <v>51.656319000000003</v>
      </c>
      <c r="X174">
        <v>-0.45005000000000001</v>
      </c>
      <c r="Y174" s="1">
        <f>_xlfn.XLOOKUP(Table1[[#This Row],[Area]],Table2[Area],Table2[All Residents])</f>
        <v>87317</v>
      </c>
    </row>
    <row r="175" spans="1:25" x14ac:dyDescent="0.45">
      <c r="A175">
        <v>174</v>
      </c>
      <c r="B175" t="s">
        <v>315</v>
      </c>
      <c r="C175" t="s">
        <v>316</v>
      </c>
      <c r="D175" t="s">
        <v>379</v>
      </c>
      <c r="E175" t="s">
        <v>380</v>
      </c>
      <c r="F175" s="1">
        <v>65060</v>
      </c>
      <c r="G175" s="1">
        <v>46635</v>
      </c>
      <c r="H175" s="1">
        <v>46635</v>
      </c>
      <c r="I175" s="5">
        <f>Table1[[#This Row],[ Verified Ballot Papers ]]/Table1[[#This Row],[ Electorate ]]</f>
        <v>0.71679987703658166</v>
      </c>
      <c r="J175" s="1">
        <v>46635</v>
      </c>
      <c r="K175" s="1">
        <v>46586</v>
      </c>
      <c r="L175" s="1">
        <v>23167</v>
      </c>
      <c r="M175" s="1">
        <v>23419</v>
      </c>
      <c r="N175">
        <v>49</v>
      </c>
      <c r="O175">
        <v>0</v>
      </c>
      <c r="P175">
        <v>23</v>
      </c>
      <c r="Q175">
        <v>4</v>
      </c>
      <c r="R175">
        <v>22</v>
      </c>
      <c r="S175" s="5">
        <f>Table1[[#This Row],[ Remain ]]/Table1[[#This Row],[ Valid Votes ]]</f>
        <v>0.49729532477568367</v>
      </c>
      <c r="T175" s="5">
        <f>Table1[[#This Row],[ Leave ]]/Table1[[#This Row],[ Valid Votes ]]</f>
        <v>0.50270467522431628</v>
      </c>
      <c r="U175" s="5">
        <f>Table1[[#This Row],[ Rejected Ballots ]]/Table1[[#This Row],[ Votes Cast ]]</f>
        <v>1.0507129838104427E-3</v>
      </c>
      <c r="V175" t="str">
        <f>IF(Table1[[#This Row],[Percent Leave]]&gt;Table1[[#This Row],[Percent Remain]],"Leave", "Remain")</f>
        <v>Leave</v>
      </c>
      <c r="W175">
        <v>51.671700000000001</v>
      </c>
      <c r="X175">
        <v>-0.40428998999999999</v>
      </c>
      <c r="Y175" s="1">
        <f>_xlfn.XLOOKUP(Table1[[#This Row],[Area]],Table2[Area],Table2[All Residents])</f>
        <v>90301</v>
      </c>
    </row>
    <row r="176" spans="1:25" x14ac:dyDescent="0.45">
      <c r="A176">
        <v>175</v>
      </c>
      <c r="B176" t="s">
        <v>315</v>
      </c>
      <c r="C176" t="s">
        <v>316</v>
      </c>
      <c r="D176" t="s">
        <v>381</v>
      </c>
      <c r="E176" t="s">
        <v>382</v>
      </c>
      <c r="F176" s="1">
        <v>78146</v>
      </c>
      <c r="G176" s="1">
        <v>58649</v>
      </c>
      <c r="H176" s="1">
        <v>58641</v>
      </c>
      <c r="I176" s="5">
        <f>Table1[[#This Row],[ Verified Ballot Papers ]]/Table1[[#This Row],[ Electorate ]]</f>
        <v>0.75040309164896479</v>
      </c>
      <c r="J176" s="1">
        <v>58641</v>
      </c>
      <c r="K176" s="1">
        <v>58610</v>
      </c>
      <c r="L176" s="1">
        <v>27550</v>
      </c>
      <c r="M176" s="1">
        <v>31060</v>
      </c>
      <c r="N176">
        <v>31</v>
      </c>
      <c r="O176">
        <v>0</v>
      </c>
      <c r="P176">
        <v>10</v>
      </c>
      <c r="Q176">
        <v>0</v>
      </c>
      <c r="R176">
        <v>21</v>
      </c>
      <c r="S176" s="5">
        <f>Table1[[#This Row],[ Remain ]]/Table1[[#This Row],[ Valid Votes ]]</f>
        <v>0.47005630438491725</v>
      </c>
      <c r="T176" s="5">
        <f>Table1[[#This Row],[ Leave ]]/Table1[[#This Row],[ Valid Votes ]]</f>
        <v>0.5299436956150827</v>
      </c>
      <c r="U176" s="5">
        <f>Table1[[#This Row],[ Rejected Ballots ]]/Table1[[#This Row],[ Votes Cast ]]</f>
        <v>5.2864037107143468E-4</v>
      </c>
      <c r="V176" t="str">
        <f>IF(Table1[[#This Row],[Percent Leave]]&gt;Table1[[#This Row],[Percent Remain]],"Leave", "Remain")</f>
        <v>Leave</v>
      </c>
      <c r="W176">
        <v>51.760871999999999</v>
      </c>
      <c r="X176">
        <v>-0.18517998999999999</v>
      </c>
      <c r="Y176" s="1">
        <f>_xlfn.XLOOKUP(Table1[[#This Row],[Area]],Table2[Area],Table2[All Residents])</f>
        <v>110535</v>
      </c>
    </row>
    <row r="177" spans="1:25" x14ac:dyDescent="0.45">
      <c r="A177">
        <v>176</v>
      </c>
      <c r="B177" t="s">
        <v>315</v>
      </c>
      <c r="C177" t="s">
        <v>316</v>
      </c>
      <c r="D177" t="s">
        <v>383</v>
      </c>
      <c r="E177" t="s">
        <v>384</v>
      </c>
      <c r="F177" s="1">
        <v>98989</v>
      </c>
      <c r="G177" s="1">
        <v>73593</v>
      </c>
      <c r="H177" s="1">
        <v>73593</v>
      </c>
      <c r="I177" s="5">
        <f>Table1[[#This Row],[ Verified Ballot Papers ]]/Table1[[#This Row],[ Electorate ]]</f>
        <v>0.74344624150158101</v>
      </c>
      <c r="J177" s="1">
        <v>73593</v>
      </c>
      <c r="K177" s="1">
        <v>73548</v>
      </c>
      <c r="L177" s="1">
        <v>26313</v>
      </c>
      <c r="M177" s="1">
        <v>47235</v>
      </c>
      <c r="N177">
        <v>45</v>
      </c>
      <c r="O177">
        <v>0</v>
      </c>
      <c r="P177">
        <v>10</v>
      </c>
      <c r="Q177">
        <v>0</v>
      </c>
      <c r="R177">
        <v>35</v>
      </c>
      <c r="S177" s="5">
        <f>Table1[[#This Row],[ Remain ]]/Table1[[#This Row],[ Valid Votes ]]</f>
        <v>0.35776635666503509</v>
      </c>
      <c r="T177" s="5">
        <f>Table1[[#This Row],[ Leave ]]/Table1[[#This Row],[ Valid Votes ]]</f>
        <v>0.64223364333496491</v>
      </c>
      <c r="U177" s="5">
        <f>Table1[[#This Row],[ Rejected Ballots ]]/Table1[[#This Row],[ Votes Cast ]]</f>
        <v>6.1147119970649379E-4</v>
      </c>
      <c r="V177" t="str">
        <f>IF(Table1[[#This Row],[Percent Leave]]&gt;Table1[[#This Row],[Percent Remain]],"Leave", "Remain")</f>
        <v>Leave</v>
      </c>
      <c r="W177">
        <v>52.594211999999999</v>
      </c>
      <c r="X177">
        <v>0.81871598999999995</v>
      </c>
      <c r="Y177" s="1">
        <f>_xlfn.XLOOKUP(Table1[[#This Row],[Area]],Table2[Area],Table2[All Residents])</f>
        <v>130491</v>
      </c>
    </row>
    <row r="178" spans="1:25" x14ac:dyDescent="0.45">
      <c r="A178">
        <v>177</v>
      </c>
      <c r="B178" t="s">
        <v>315</v>
      </c>
      <c r="C178" t="s">
        <v>316</v>
      </c>
      <c r="D178" t="s">
        <v>385</v>
      </c>
      <c r="E178" t="s">
        <v>386</v>
      </c>
      <c r="F178" s="1">
        <v>99254</v>
      </c>
      <c r="G178" s="1">
        <v>77785</v>
      </c>
      <c r="H178" s="1">
        <v>77783</v>
      </c>
      <c r="I178" s="5">
        <f>Table1[[#This Row],[ Verified Ballot Papers ]]/Table1[[#This Row],[ Electorate ]]</f>
        <v>0.7836762246357829</v>
      </c>
      <c r="J178" s="1">
        <v>77781</v>
      </c>
      <c r="K178" s="1">
        <v>77737</v>
      </c>
      <c r="L178" s="1">
        <v>35469</v>
      </c>
      <c r="M178" s="1">
        <v>42268</v>
      </c>
      <c r="N178">
        <v>44</v>
      </c>
      <c r="O178">
        <v>0</v>
      </c>
      <c r="P178">
        <v>0</v>
      </c>
      <c r="Q178">
        <v>0</v>
      </c>
      <c r="R178">
        <v>44</v>
      </c>
      <c r="S178" s="5">
        <f>Table1[[#This Row],[ Remain ]]/Table1[[#This Row],[ Valid Votes ]]</f>
        <v>0.4562692154315191</v>
      </c>
      <c r="T178" s="5">
        <f>Table1[[#This Row],[ Leave ]]/Table1[[#This Row],[ Valid Votes ]]</f>
        <v>0.5437307845684809</v>
      </c>
      <c r="U178" s="5">
        <f>Table1[[#This Row],[ Rejected Ballots ]]/Table1[[#This Row],[ Votes Cast ]]</f>
        <v>5.65690849950502E-4</v>
      </c>
      <c r="V178" t="str">
        <f>IF(Table1[[#This Row],[Percent Leave]]&gt;Table1[[#This Row],[Percent Remain]],"Leave", "Remain")</f>
        <v>Leave</v>
      </c>
      <c r="W178">
        <v>52.696219999999997</v>
      </c>
      <c r="X178">
        <v>1.2523169999999999</v>
      </c>
      <c r="Y178" s="1">
        <f>_xlfn.XLOOKUP(Table1[[#This Row],[Area]],Table2[Area],Table2[All Residents])</f>
        <v>124646</v>
      </c>
    </row>
    <row r="179" spans="1:25" x14ac:dyDescent="0.45">
      <c r="A179">
        <v>178</v>
      </c>
      <c r="B179" t="s">
        <v>315</v>
      </c>
      <c r="C179" t="s">
        <v>316</v>
      </c>
      <c r="D179" t="s">
        <v>387</v>
      </c>
      <c r="E179" t="s">
        <v>388</v>
      </c>
      <c r="F179" s="1">
        <v>72634</v>
      </c>
      <c r="G179" s="1">
        <v>50157</v>
      </c>
      <c r="H179" s="1">
        <v>50156</v>
      </c>
      <c r="I179" s="5">
        <f>Table1[[#This Row],[ Verified Ballot Papers ]]/Table1[[#This Row],[ Electorate ]]</f>
        <v>0.69053060550155576</v>
      </c>
      <c r="J179" s="1">
        <v>50158</v>
      </c>
      <c r="K179" s="1">
        <v>50128</v>
      </c>
      <c r="L179" s="1">
        <v>14284</v>
      </c>
      <c r="M179" s="1">
        <v>35844</v>
      </c>
      <c r="N179">
        <v>30</v>
      </c>
      <c r="O179">
        <v>0</v>
      </c>
      <c r="P179">
        <v>14</v>
      </c>
      <c r="Q179">
        <v>7</v>
      </c>
      <c r="R179">
        <v>9</v>
      </c>
      <c r="S179" s="5">
        <f>Table1[[#This Row],[ Remain ]]/Table1[[#This Row],[ Valid Votes ]]</f>
        <v>0.28495052665177145</v>
      </c>
      <c r="T179" s="5">
        <f>Table1[[#This Row],[ Leave ]]/Table1[[#This Row],[ Valid Votes ]]</f>
        <v>0.71504947334822855</v>
      </c>
      <c r="U179" s="5">
        <f>Table1[[#This Row],[ Rejected Ballots ]]/Table1[[#This Row],[ Votes Cast ]]</f>
        <v>5.9810997248694122E-4</v>
      </c>
      <c r="V179" t="str">
        <f>IF(Table1[[#This Row],[Percent Leave]]&gt;Table1[[#This Row],[Percent Remain]],"Leave", "Remain")</f>
        <v>Leave</v>
      </c>
      <c r="W179">
        <v>52.684390999999998</v>
      </c>
      <c r="X179">
        <v>1.64951</v>
      </c>
      <c r="Y179" s="1">
        <f>_xlfn.XLOOKUP(Table1[[#This Row],[Area]],Table2[Area],Table2[All Residents])</f>
        <v>97277</v>
      </c>
    </row>
    <row r="180" spans="1:25" x14ac:dyDescent="0.45">
      <c r="A180">
        <v>179</v>
      </c>
      <c r="B180" t="s">
        <v>315</v>
      </c>
      <c r="C180" t="s">
        <v>316</v>
      </c>
      <c r="D180" s="8" t="s">
        <v>389</v>
      </c>
      <c r="E180" s="8" t="s">
        <v>390</v>
      </c>
      <c r="F180" s="1">
        <v>113884</v>
      </c>
      <c r="G180" s="1">
        <v>85134</v>
      </c>
      <c r="H180" s="1">
        <v>85128</v>
      </c>
      <c r="I180" s="5">
        <f>Table1[[#This Row],[ Verified Ballot Papers ]]/Table1[[#This Row],[ Electorate ]]</f>
        <v>0.74749745354922548</v>
      </c>
      <c r="J180" s="1">
        <v>85128</v>
      </c>
      <c r="K180" s="1">
        <v>85080</v>
      </c>
      <c r="L180" s="1">
        <v>28587</v>
      </c>
      <c r="M180" s="1">
        <v>56493</v>
      </c>
      <c r="N180">
        <v>48</v>
      </c>
      <c r="O180">
        <v>0</v>
      </c>
      <c r="P180">
        <v>13</v>
      </c>
      <c r="Q180">
        <v>3</v>
      </c>
      <c r="R180">
        <v>32</v>
      </c>
      <c r="S180" s="5">
        <f>Table1[[#This Row],[ Remain ]]/Table1[[#This Row],[ Valid Votes ]]</f>
        <v>0.33600141043723553</v>
      </c>
      <c r="T180" s="5">
        <f>Table1[[#This Row],[ Leave ]]/Table1[[#This Row],[ Valid Votes ]]</f>
        <v>0.66399858956276447</v>
      </c>
      <c r="U180" s="5">
        <f>Table1[[#This Row],[ Rejected Ballots ]]/Table1[[#This Row],[ Votes Cast ]]</f>
        <v>5.6385678037778404E-4</v>
      </c>
      <c r="V180" t="str">
        <f>IF(Table1[[#This Row],[Percent Leave]]&gt;Table1[[#This Row],[Percent Remain]],"Leave", "Remain")</f>
        <v>Leave</v>
      </c>
      <c r="W180">
        <v>52.712829999999997</v>
      </c>
      <c r="X180">
        <v>0.53324300000000002</v>
      </c>
      <c r="Y180" s="1">
        <f>_xlfn.XLOOKUP(Table1[[#This Row],[Area]],Table2[Area],Table2[All Residents])</f>
        <v>147451</v>
      </c>
    </row>
    <row r="181" spans="1:25" x14ac:dyDescent="0.45">
      <c r="A181">
        <v>180</v>
      </c>
      <c r="B181" t="s">
        <v>315</v>
      </c>
      <c r="C181" t="s">
        <v>316</v>
      </c>
      <c r="D181" t="s">
        <v>391</v>
      </c>
      <c r="E181" t="s">
        <v>392</v>
      </c>
      <c r="F181" s="1">
        <v>83065</v>
      </c>
      <c r="G181" s="1">
        <v>63841</v>
      </c>
      <c r="H181" s="1">
        <v>63838</v>
      </c>
      <c r="I181" s="5">
        <f>Table1[[#This Row],[ Verified Ballot Papers ]]/Table1[[#This Row],[ Electorate ]]</f>
        <v>0.76853066875338594</v>
      </c>
      <c r="J181" s="1">
        <v>63829</v>
      </c>
      <c r="K181" s="1">
        <v>63790</v>
      </c>
      <c r="L181" s="1">
        <v>26214</v>
      </c>
      <c r="M181" s="1">
        <v>37576</v>
      </c>
      <c r="N181">
        <v>39</v>
      </c>
      <c r="O181">
        <v>0</v>
      </c>
      <c r="P181">
        <v>4</v>
      </c>
      <c r="Q181">
        <v>2</v>
      </c>
      <c r="R181">
        <v>33</v>
      </c>
      <c r="S181" s="5">
        <f>Table1[[#This Row],[ Remain ]]/Table1[[#This Row],[ Valid Votes ]]</f>
        <v>0.41094215394262423</v>
      </c>
      <c r="T181" s="5">
        <f>Table1[[#This Row],[ Leave ]]/Table1[[#This Row],[ Valid Votes ]]</f>
        <v>0.58905784605737577</v>
      </c>
      <c r="U181" s="5">
        <f>Table1[[#This Row],[ Rejected Ballots ]]/Table1[[#This Row],[ Votes Cast ]]</f>
        <v>6.1100753575960768E-4</v>
      </c>
      <c r="V181" t="str">
        <f>IF(Table1[[#This Row],[Percent Leave]]&gt;Table1[[#This Row],[Percent Remain]],"Leave", "Remain")</f>
        <v>Leave</v>
      </c>
      <c r="W181">
        <v>52.833888999999999</v>
      </c>
      <c r="X181">
        <v>1.132099</v>
      </c>
      <c r="Y181" s="1">
        <f>_xlfn.XLOOKUP(Table1[[#This Row],[Area]],Table2[Area],Table2[All Residents])</f>
        <v>101499</v>
      </c>
    </row>
    <row r="182" spans="1:25" x14ac:dyDescent="0.45">
      <c r="A182">
        <v>181</v>
      </c>
      <c r="B182" t="s">
        <v>315</v>
      </c>
      <c r="C182" t="s">
        <v>316</v>
      </c>
      <c r="D182" t="s">
        <v>393</v>
      </c>
      <c r="E182" t="s">
        <v>394</v>
      </c>
      <c r="F182" s="1">
        <v>96091</v>
      </c>
      <c r="G182" s="1">
        <v>66420</v>
      </c>
      <c r="H182" s="1">
        <v>66423</v>
      </c>
      <c r="I182" s="5">
        <f>Table1[[#This Row],[ Verified Ballot Papers ]]/Table1[[#This Row],[ Electorate ]]</f>
        <v>0.69125100165468145</v>
      </c>
      <c r="J182" s="1">
        <v>66422</v>
      </c>
      <c r="K182" s="1">
        <v>66366</v>
      </c>
      <c r="L182" s="1">
        <v>37326</v>
      </c>
      <c r="M182" s="1">
        <v>29040</v>
      </c>
      <c r="N182">
        <v>56</v>
      </c>
      <c r="O182">
        <v>0</v>
      </c>
      <c r="P182">
        <v>17</v>
      </c>
      <c r="Q182">
        <v>1</v>
      </c>
      <c r="R182">
        <v>38</v>
      </c>
      <c r="S182" s="5">
        <f>Table1[[#This Row],[ Remain ]]/Table1[[#This Row],[ Valid Votes ]]</f>
        <v>0.56242654371214174</v>
      </c>
      <c r="T182" s="5">
        <f>Table1[[#This Row],[ Leave ]]/Table1[[#This Row],[ Valid Votes ]]</f>
        <v>0.43757345628785826</v>
      </c>
      <c r="U182" s="5">
        <f>Table1[[#This Row],[ Rejected Ballots ]]/Table1[[#This Row],[ Votes Cast ]]</f>
        <v>8.4309415555087173E-4</v>
      </c>
      <c r="V182" t="str">
        <f>IF(Table1[[#This Row],[Percent Leave]]&gt;Table1[[#This Row],[Percent Remain]],"Leave", "Remain")</f>
        <v>Remain</v>
      </c>
      <c r="W182">
        <v>52.640129000000002</v>
      </c>
      <c r="X182">
        <v>1.2849790000000001</v>
      </c>
      <c r="Y182" s="1">
        <f>_xlfn.XLOOKUP(Table1[[#This Row],[Area]],Table2[Area],Table2[All Residents])</f>
        <v>132512</v>
      </c>
    </row>
    <row r="183" spans="1:25" x14ac:dyDescent="0.45">
      <c r="A183">
        <v>182</v>
      </c>
      <c r="B183" t="s">
        <v>315</v>
      </c>
      <c r="C183" t="s">
        <v>316</v>
      </c>
      <c r="D183" t="s">
        <v>395</v>
      </c>
      <c r="E183" t="s">
        <v>396</v>
      </c>
      <c r="F183" s="1">
        <v>102395</v>
      </c>
      <c r="G183" s="1">
        <v>80418</v>
      </c>
      <c r="H183" s="1">
        <v>80418</v>
      </c>
      <c r="I183" s="5">
        <f>Table1[[#This Row],[ Verified Ballot Papers ]]/Table1[[#This Row],[ Electorate ]]</f>
        <v>0.78537037941305732</v>
      </c>
      <c r="J183" s="1">
        <v>80418</v>
      </c>
      <c r="K183" s="1">
        <v>80358</v>
      </c>
      <c r="L183" s="1">
        <v>38817</v>
      </c>
      <c r="M183" s="1">
        <v>41541</v>
      </c>
      <c r="N183">
        <v>60</v>
      </c>
      <c r="O183">
        <v>0</v>
      </c>
      <c r="P183">
        <v>24</v>
      </c>
      <c r="Q183">
        <v>1</v>
      </c>
      <c r="R183">
        <v>35</v>
      </c>
      <c r="S183" s="5">
        <f>Table1[[#This Row],[ Remain ]]/Table1[[#This Row],[ Valid Votes ]]</f>
        <v>0.48305084745762711</v>
      </c>
      <c r="T183" s="5">
        <f>Table1[[#This Row],[ Leave ]]/Table1[[#This Row],[ Valid Votes ]]</f>
        <v>0.51694915254237284</v>
      </c>
      <c r="U183" s="5">
        <f>Table1[[#This Row],[ Rejected Ballots ]]/Table1[[#This Row],[ Votes Cast ]]</f>
        <v>7.4610161904051329E-4</v>
      </c>
      <c r="V183" t="str">
        <f>IF(Table1[[#This Row],[Percent Leave]]&gt;Table1[[#This Row],[Percent Remain]],"Leave", "Remain")</f>
        <v>Leave</v>
      </c>
      <c r="W183">
        <v>52.512180000000001</v>
      </c>
      <c r="X183">
        <v>1.3732329999999999</v>
      </c>
      <c r="Y183" s="1">
        <f>_xlfn.XLOOKUP(Table1[[#This Row],[Area]],Table2[Area],Table2[All Residents])</f>
        <v>124012</v>
      </c>
    </row>
    <row r="184" spans="1:25" x14ac:dyDescent="0.45">
      <c r="A184">
        <v>183</v>
      </c>
      <c r="B184" t="s">
        <v>315</v>
      </c>
      <c r="C184" t="s">
        <v>316</v>
      </c>
      <c r="D184" t="s">
        <v>397</v>
      </c>
      <c r="E184" t="s">
        <v>398</v>
      </c>
      <c r="F184" s="1">
        <v>70628</v>
      </c>
      <c r="G184" s="1">
        <v>55274</v>
      </c>
      <c r="H184" s="1">
        <v>55274</v>
      </c>
      <c r="I184" s="5">
        <f>Table1[[#This Row],[ Verified Ballot Papers ]]/Table1[[#This Row],[ Electorate ]]</f>
        <v>0.78260746446168661</v>
      </c>
      <c r="J184" s="1">
        <v>55272</v>
      </c>
      <c r="K184" s="1">
        <v>55242</v>
      </c>
      <c r="L184" s="1">
        <v>25309</v>
      </c>
      <c r="M184" s="1">
        <v>29933</v>
      </c>
      <c r="N184">
        <v>30</v>
      </c>
      <c r="O184">
        <v>0</v>
      </c>
      <c r="P184">
        <v>13</v>
      </c>
      <c r="Q184">
        <v>0</v>
      </c>
      <c r="R184">
        <v>17</v>
      </c>
      <c r="S184" s="5">
        <f>Table1[[#This Row],[ Remain ]]/Table1[[#This Row],[ Valid Votes ]]</f>
        <v>0.45814778610477536</v>
      </c>
      <c r="T184" s="5">
        <f>Table1[[#This Row],[ Leave ]]/Table1[[#This Row],[ Valid Votes ]]</f>
        <v>0.54185221389522464</v>
      </c>
      <c r="U184" s="5">
        <f>Table1[[#This Row],[ Rejected Ballots ]]/Table1[[#This Row],[ Votes Cast ]]</f>
        <v>5.4277029960920543E-4</v>
      </c>
      <c r="V184" t="str">
        <f>IF(Table1[[#This Row],[Percent Leave]]&gt;Table1[[#This Row],[Percent Remain]],"Leave", "Remain")</f>
        <v>Leave</v>
      </c>
      <c r="W184">
        <v>52.064498999999998</v>
      </c>
      <c r="X184">
        <v>0.91614901999999998</v>
      </c>
      <c r="Y184" s="1">
        <f>_xlfn.XLOOKUP(Table1[[#This Row],[Area]],Table2[Area],Table2[All Residents])</f>
        <v>87740</v>
      </c>
    </row>
    <row r="185" spans="1:25" x14ac:dyDescent="0.45">
      <c r="A185">
        <v>184</v>
      </c>
      <c r="B185" t="s">
        <v>315</v>
      </c>
      <c r="C185" t="s">
        <v>316</v>
      </c>
      <c r="D185" t="s">
        <v>399</v>
      </c>
      <c r="E185" t="s">
        <v>400</v>
      </c>
      <c r="F185" s="1">
        <v>38527</v>
      </c>
      <c r="G185" s="1">
        <v>27976</v>
      </c>
      <c r="H185" s="1">
        <v>27977</v>
      </c>
      <c r="I185" s="5">
        <f>Table1[[#This Row],[ Verified Ballot Papers ]]/Table1[[#This Row],[ Electorate ]]</f>
        <v>0.72616606535676276</v>
      </c>
      <c r="J185" s="1">
        <v>27977</v>
      </c>
      <c r="K185" s="1">
        <v>27951</v>
      </c>
      <c r="L185" s="1">
        <v>9791</v>
      </c>
      <c r="M185" s="1">
        <v>18160</v>
      </c>
      <c r="N185">
        <v>26</v>
      </c>
      <c r="O185">
        <v>2</v>
      </c>
      <c r="P185">
        <v>4</v>
      </c>
      <c r="Q185">
        <v>2</v>
      </c>
      <c r="R185">
        <v>18</v>
      </c>
      <c r="S185" s="5">
        <f>Table1[[#This Row],[ Remain ]]/Table1[[#This Row],[ Valid Votes ]]</f>
        <v>0.3502915816965404</v>
      </c>
      <c r="T185" s="5">
        <f>Table1[[#This Row],[ Leave ]]/Table1[[#This Row],[ Valid Votes ]]</f>
        <v>0.6497084183034596</v>
      </c>
      <c r="U185" s="5">
        <f>Table1[[#This Row],[ Rejected Ballots ]]/Table1[[#This Row],[ Votes Cast ]]</f>
        <v>9.2933481073739148E-4</v>
      </c>
      <c r="V185" t="str">
        <f>IF(Table1[[#This Row],[Percent Leave]]&gt;Table1[[#This Row],[Percent Remain]],"Leave", "Remain")</f>
        <v>Leave</v>
      </c>
      <c r="W185">
        <v>52.33330917</v>
      </c>
      <c r="X185">
        <v>0.52760600999999996</v>
      </c>
      <c r="Y185" s="1">
        <f>_xlfn.XLOOKUP(Table1[[#This Row],[Area]],Table2[Area],Table2[All Residents])</f>
        <v>59748</v>
      </c>
    </row>
    <row r="186" spans="1:25" x14ac:dyDescent="0.45">
      <c r="A186">
        <v>185</v>
      </c>
      <c r="B186" t="s">
        <v>315</v>
      </c>
      <c r="C186" t="s">
        <v>316</v>
      </c>
      <c r="D186" t="s">
        <v>401</v>
      </c>
      <c r="E186" t="s">
        <v>402</v>
      </c>
      <c r="F186" s="1">
        <v>91574</v>
      </c>
      <c r="G186" s="1">
        <v>66405</v>
      </c>
      <c r="H186" s="1">
        <v>66405</v>
      </c>
      <c r="I186" s="5">
        <f>Table1[[#This Row],[ Verified Ballot Papers ]]/Table1[[#This Row],[ Electorate ]]</f>
        <v>0.72515124380282614</v>
      </c>
      <c r="J186" s="1">
        <v>66400</v>
      </c>
      <c r="K186" s="1">
        <v>66353</v>
      </c>
      <c r="L186" s="1">
        <v>27698</v>
      </c>
      <c r="M186" s="1">
        <v>38655</v>
      </c>
      <c r="N186">
        <v>47</v>
      </c>
      <c r="O186">
        <v>0</v>
      </c>
      <c r="P186">
        <v>1</v>
      </c>
      <c r="Q186">
        <v>7</v>
      </c>
      <c r="R186">
        <v>39</v>
      </c>
      <c r="S186" s="5">
        <f>Table1[[#This Row],[ Remain ]]/Table1[[#This Row],[ Valid Votes ]]</f>
        <v>0.41743402709749372</v>
      </c>
      <c r="T186" s="5">
        <f>Table1[[#This Row],[ Leave ]]/Table1[[#This Row],[ Valid Votes ]]</f>
        <v>0.58256597290250633</v>
      </c>
      <c r="U186" s="5">
        <f>Table1[[#This Row],[ Rejected Ballots ]]/Table1[[#This Row],[ Votes Cast ]]</f>
        <v>7.0783132530120483E-4</v>
      </c>
      <c r="V186" t="str">
        <f>IF(Table1[[#This Row],[Percent Leave]]&gt;Table1[[#This Row],[Percent Remain]],"Leave", "Remain")</f>
        <v>Leave</v>
      </c>
      <c r="W186">
        <v>52.05592</v>
      </c>
      <c r="X186">
        <v>1.166145</v>
      </c>
      <c r="Y186" s="1">
        <f>_xlfn.XLOOKUP(Table1[[#This Row],[Area]],Table2[Area],Table2[All Residents])</f>
        <v>133384</v>
      </c>
    </row>
    <row r="187" spans="1:25" x14ac:dyDescent="0.45">
      <c r="A187">
        <v>186</v>
      </c>
      <c r="B187" t="s">
        <v>315</v>
      </c>
      <c r="C187" t="s">
        <v>316</v>
      </c>
      <c r="D187" t="s">
        <v>403</v>
      </c>
      <c r="E187" t="s">
        <v>404</v>
      </c>
      <c r="F187" s="1">
        <v>78325</v>
      </c>
      <c r="G187" s="1">
        <v>61231</v>
      </c>
      <c r="H187" s="1">
        <v>61231</v>
      </c>
      <c r="I187" s="5">
        <f>Table1[[#This Row],[ Verified Ballot Papers ]]/Table1[[#This Row],[ Electorate ]]</f>
        <v>0.78175550590488352</v>
      </c>
      <c r="J187" s="1">
        <v>61222</v>
      </c>
      <c r="K187" s="1">
        <v>61185</v>
      </c>
      <c r="L187" s="1">
        <v>27391</v>
      </c>
      <c r="M187" s="1">
        <v>33794</v>
      </c>
      <c r="N187">
        <v>37</v>
      </c>
      <c r="O187">
        <v>0</v>
      </c>
      <c r="P187">
        <v>4</v>
      </c>
      <c r="Q187">
        <v>0</v>
      </c>
      <c r="R187">
        <v>33</v>
      </c>
      <c r="S187" s="5">
        <f>Table1[[#This Row],[ Remain ]]/Table1[[#This Row],[ Valid Votes ]]</f>
        <v>0.44767508376236004</v>
      </c>
      <c r="T187" s="5">
        <f>Table1[[#This Row],[ Leave ]]/Table1[[#This Row],[ Valid Votes ]]</f>
        <v>0.55232491623763991</v>
      </c>
      <c r="U187" s="5">
        <f>Table1[[#This Row],[ Rejected Ballots ]]/Table1[[#This Row],[ Votes Cast ]]</f>
        <v>6.0435791055502919E-4</v>
      </c>
      <c r="V187" t="str">
        <f>IF(Table1[[#This Row],[Percent Leave]]&gt;Table1[[#This Row],[Percent Remain]],"Leave", "Remain")</f>
        <v>Leave</v>
      </c>
      <c r="W187">
        <v>52.218589999999999</v>
      </c>
      <c r="X187">
        <v>1.0969530000000001</v>
      </c>
      <c r="Y187" s="1">
        <f>_xlfn.XLOOKUP(Table1[[#This Row],[Area]],Table2[Area],Table2[All Residents])</f>
        <v>96731</v>
      </c>
    </row>
    <row r="188" spans="1:25" x14ac:dyDescent="0.45">
      <c r="A188">
        <v>187</v>
      </c>
      <c r="B188" t="s">
        <v>315</v>
      </c>
      <c r="C188" t="s">
        <v>316</v>
      </c>
      <c r="D188" t="s">
        <v>405</v>
      </c>
      <c r="E188" t="s">
        <v>406</v>
      </c>
      <c r="F188" s="1">
        <v>81148</v>
      </c>
      <c r="G188" s="1">
        <v>62258</v>
      </c>
      <c r="H188" s="1">
        <v>62256</v>
      </c>
      <c r="I188" s="5">
        <f>Table1[[#This Row],[ Verified Ballot Papers ]]/Table1[[#This Row],[ Electorate ]]</f>
        <v>0.76719081184995319</v>
      </c>
      <c r="J188" s="1">
        <v>62255</v>
      </c>
      <c r="K188" s="1">
        <v>62210</v>
      </c>
      <c r="L188" s="1">
        <v>26986</v>
      </c>
      <c r="M188" s="1">
        <v>35224</v>
      </c>
      <c r="N188">
        <v>45</v>
      </c>
      <c r="O188">
        <v>1</v>
      </c>
      <c r="P188">
        <v>14</v>
      </c>
      <c r="Q188">
        <v>0</v>
      </c>
      <c r="R188">
        <v>30</v>
      </c>
      <c r="S188" s="5">
        <f>Table1[[#This Row],[ Remain ]]/Table1[[#This Row],[ Valid Votes ]]</f>
        <v>0.43378877993891657</v>
      </c>
      <c r="T188" s="5">
        <f>Table1[[#This Row],[ Leave ]]/Table1[[#This Row],[ Valid Votes ]]</f>
        <v>0.56621122006108338</v>
      </c>
      <c r="U188" s="5">
        <f>Table1[[#This Row],[ Rejected Ballots ]]/Table1[[#This Row],[ Votes Cast ]]</f>
        <v>7.2283350734880737E-4</v>
      </c>
      <c r="V188" t="str">
        <f>IF(Table1[[#This Row],[Percent Leave]]&gt;Table1[[#This Row],[Percent Remain]],"Leave", "Remain")</f>
        <v>Leave</v>
      </c>
      <c r="W188">
        <v>52.261180879999998</v>
      </c>
      <c r="X188">
        <v>0.67527300000000001</v>
      </c>
      <c r="Y188" s="1">
        <f>_xlfn.XLOOKUP(Table1[[#This Row],[Area]],Table2[Area],Table2[All Residents])</f>
        <v>111008</v>
      </c>
    </row>
    <row r="189" spans="1:25" x14ac:dyDescent="0.45">
      <c r="A189">
        <v>188</v>
      </c>
      <c r="B189" t="s">
        <v>315</v>
      </c>
      <c r="C189" t="s">
        <v>316</v>
      </c>
      <c r="D189" t="s">
        <v>407</v>
      </c>
      <c r="E189" t="s">
        <v>408</v>
      </c>
      <c r="F189" s="1">
        <v>98195</v>
      </c>
      <c r="G189" s="1">
        <v>79234</v>
      </c>
      <c r="H189" s="1">
        <v>79231</v>
      </c>
      <c r="I189" s="5">
        <f>Table1[[#This Row],[ Verified Ballot Papers ]]/Table1[[#This Row],[ Electorate ]]</f>
        <v>0.80687407709150161</v>
      </c>
      <c r="J189" s="1">
        <v>79226</v>
      </c>
      <c r="K189" s="1">
        <v>79184</v>
      </c>
      <c r="L189" s="1">
        <v>37218</v>
      </c>
      <c r="M189" s="1">
        <v>41966</v>
      </c>
      <c r="N189">
        <v>42</v>
      </c>
      <c r="O189">
        <v>0</v>
      </c>
      <c r="P189">
        <v>15</v>
      </c>
      <c r="Q189">
        <v>3</v>
      </c>
      <c r="R189">
        <v>24</v>
      </c>
      <c r="S189" s="5">
        <f>Table1[[#This Row],[ Remain ]]/Table1[[#This Row],[ Valid Votes ]]</f>
        <v>0.47001919579713075</v>
      </c>
      <c r="T189" s="5">
        <f>Table1[[#This Row],[ Leave ]]/Table1[[#This Row],[ Valid Votes ]]</f>
        <v>0.5299808042028693</v>
      </c>
      <c r="U189" s="5">
        <f>Table1[[#This Row],[ Rejected Ballots ]]/Table1[[#This Row],[ Votes Cast ]]</f>
        <v>5.3012899805619372E-4</v>
      </c>
      <c r="V189" t="str">
        <f>IF(Table1[[#This Row],[Percent Leave]]&gt;Table1[[#This Row],[Percent Remain]],"Leave", "Remain")</f>
        <v>Leave</v>
      </c>
      <c r="W189">
        <v>52.17782974</v>
      </c>
      <c r="X189">
        <v>1.4101419399999999</v>
      </c>
      <c r="Y189" s="1">
        <f>_xlfn.XLOOKUP(Table1[[#This Row],[Area]],Table2[Area],Table2[All Residents])</f>
        <v>124298</v>
      </c>
    </row>
    <row r="190" spans="1:25" x14ac:dyDescent="0.45">
      <c r="A190">
        <v>189</v>
      </c>
      <c r="B190" t="s">
        <v>315</v>
      </c>
      <c r="C190" t="s">
        <v>316</v>
      </c>
      <c r="D190" t="s">
        <v>409</v>
      </c>
      <c r="E190" t="s">
        <v>410</v>
      </c>
      <c r="F190" s="1">
        <v>90391</v>
      </c>
      <c r="G190" s="1">
        <v>65690</v>
      </c>
      <c r="H190" s="1">
        <v>65687</v>
      </c>
      <c r="I190" s="5">
        <f>Table1[[#This Row],[ Verified Ballot Papers ]]/Table1[[#This Row],[ Electorate ]]</f>
        <v>0.72669845449215076</v>
      </c>
      <c r="J190" s="1">
        <v>65687</v>
      </c>
      <c r="K190" s="1">
        <v>65646</v>
      </c>
      <c r="L190" s="1">
        <v>24356</v>
      </c>
      <c r="M190" s="1">
        <v>41290</v>
      </c>
      <c r="N190">
        <v>41</v>
      </c>
      <c r="O190">
        <v>0</v>
      </c>
      <c r="P190">
        <v>11</v>
      </c>
      <c r="Q190">
        <v>0</v>
      </c>
      <c r="R190">
        <v>30</v>
      </c>
      <c r="S190" s="5">
        <f>Table1[[#This Row],[ Remain ]]/Table1[[#This Row],[ Valid Votes ]]</f>
        <v>0.37102032111629041</v>
      </c>
      <c r="T190" s="5">
        <f>Table1[[#This Row],[ Leave ]]/Table1[[#This Row],[ Valid Votes ]]</f>
        <v>0.62897967888370965</v>
      </c>
      <c r="U190" s="5">
        <f>Table1[[#This Row],[ Rejected Ballots ]]/Table1[[#This Row],[ Votes Cast ]]</f>
        <v>6.2417221063528557E-4</v>
      </c>
      <c r="V190" t="str">
        <f>IF(Table1[[#This Row],[Percent Leave]]&gt;Table1[[#This Row],[Percent Remain]],"Leave", "Remain")</f>
        <v>Leave</v>
      </c>
      <c r="W190">
        <v>52.435249329999998</v>
      </c>
      <c r="X190">
        <v>1.5632369500000001</v>
      </c>
      <c r="Y190" s="1">
        <f>_xlfn.XLOOKUP(Table1[[#This Row],[Area]],Table2[Area],Table2[All Residents])</f>
        <v>115254</v>
      </c>
    </row>
    <row r="191" spans="1:25" hidden="1" x14ac:dyDescent="0.45">
      <c r="A191">
        <v>190</v>
      </c>
      <c r="B191" t="s">
        <v>411</v>
      </c>
      <c r="C191" t="s">
        <v>412</v>
      </c>
      <c r="D191" t="s">
        <v>413</v>
      </c>
      <c r="E191" t="s">
        <v>414</v>
      </c>
      <c r="F191" s="1">
        <v>5987</v>
      </c>
      <c r="G191" s="1">
        <v>4405</v>
      </c>
      <c r="H191" s="1">
        <v>4405</v>
      </c>
      <c r="I191" s="5">
        <f>Table1[[#This Row],[ Verified Ballot Papers ]]/Table1[[#This Row],[ Electorate ]]</f>
        <v>0.73576081509938196</v>
      </c>
      <c r="J191" s="1">
        <v>4405</v>
      </c>
      <c r="K191" s="1">
        <v>4399</v>
      </c>
      <c r="L191" s="1">
        <v>3312</v>
      </c>
      <c r="M191" s="1">
        <v>1087</v>
      </c>
      <c r="N191">
        <v>6</v>
      </c>
      <c r="O191">
        <v>0</v>
      </c>
      <c r="P191">
        <v>2</v>
      </c>
      <c r="Q191">
        <v>0</v>
      </c>
      <c r="R191">
        <v>4</v>
      </c>
      <c r="S191" s="5">
        <f>Table1[[#This Row],[ Remain ]]/Table1[[#This Row],[ Valid Votes ]]</f>
        <v>0.75289838599681747</v>
      </c>
      <c r="T191" s="5">
        <f>Table1[[#This Row],[ Leave ]]/Table1[[#This Row],[ Valid Votes ]]</f>
        <v>0.24710161400318253</v>
      </c>
      <c r="U191" s="5">
        <f>Table1[[#This Row],[ Rejected Ballots ]]/Table1[[#This Row],[ Votes Cast ]]</f>
        <v>1.362088535754824E-3</v>
      </c>
      <c r="V191" t="str">
        <f>IF(Table1[[#This Row],[Percent Leave]]&gt;Table1[[#This Row],[Percent Remain]],"Leave", "Remain")</f>
        <v>Remain</v>
      </c>
      <c r="W191">
        <v>51.515639999999998</v>
      </c>
      <c r="X191">
        <v>-9.3510001999999995E-2</v>
      </c>
      <c r="Y191" s="1">
        <f>_xlfn.XLOOKUP(Table1[[#This Row],[Area]],Table2[Area],Table2[All Residents])</f>
        <v>7375</v>
      </c>
    </row>
    <row r="192" spans="1:25" hidden="1" x14ac:dyDescent="0.45">
      <c r="A192">
        <v>191</v>
      </c>
      <c r="B192" t="s">
        <v>411</v>
      </c>
      <c r="C192" t="s">
        <v>412</v>
      </c>
      <c r="D192" t="s">
        <v>415</v>
      </c>
      <c r="E192" t="s">
        <v>416</v>
      </c>
      <c r="F192" s="1">
        <v>115812</v>
      </c>
      <c r="G192" s="1">
        <v>73943</v>
      </c>
      <c r="H192" s="1">
        <v>73941</v>
      </c>
      <c r="I192" s="5">
        <f>Table1[[#This Row],[ Verified Ballot Papers ]]/Table1[[#This Row],[ Electorate ]]</f>
        <v>0.63845715469899489</v>
      </c>
      <c r="J192" s="1">
        <v>73941</v>
      </c>
      <c r="K192" s="1">
        <v>73880</v>
      </c>
      <c r="L192" s="1">
        <v>27750</v>
      </c>
      <c r="M192" s="1">
        <v>46130</v>
      </c>
      <c r="N192">
        <v>61</v>
      </c>
      <c r="O192">
        <v>0</v>
      </c>
      <c r="P192">
        <v>21</v>
      </c>
      <c r="Q192">
        <v>0</v>
      </c>
      <c r="R192">
        <v>40</v>
      </c>
      <c r="S192" s="5">
        <f>Table1[[#This Row],[ Remain ]]/Table1[[#This Row],[ Valid Votes ]]</f>
        <v>0.37560909583107743</v>
      </c>
      <c r="T192" s="5">
        <f>Table1[[#This Row],[ Leave ]]/Table1[[#This Row],[ Valid Votes ]]</f>
        <v>0.62439090416892262</v>
      </c>
      <c r="U192" s="5">
        <f>Table1[[#This Row],[ Rejected Ballots ]]/Table1[[#This Row],[ Votes Cast ]]</f>
        <v>8.2498208030727205E-4</v>
      </c>
      <c r="V192" t="str">
        <f>IF(Table1[[#This Row],[Percent Leave]]&gt;Table1[[#This Row],[Percent Remain]],"Leave", "Remain")</f>
        <v>Leave</v>
      </c>
      <c r="W192">
        <v>51.545551000000003</v>
      </c>
      <c r="X192">
        <v>0.12947901000000001</v>
      </c>
      <c r="Y192" s="1">
        <f>_xlfn.XLOOKUP(Table1[[#This Row],[Area]],Table2[Area],Table2[All Residents])</f>
        <v>185911</v>
      </c>
    </row>
    <row r="193" spans="1:25" hidden="1" x14ac:dyDescent="0.45">
      <c r="A193">
        <v>192</v>
      </c>
      <c r="B193" t="s">
        <v>411</v>
      </c>
      <c r="C193" t="s">
        <v>412</v>
      </c>
      <c r="D193" t="s">
        <v>417</v>
      </c>
      <c r="E193" t="s">
        <v>418</v>
      </c>
      <c r="F193" s="1">
        <v>223467</v>
      </c>
      <c r="G193" s="1">
        <v>161209</v>
      </c>
      <c r="H193" s="1">
        <v>161208</v>
      </c>
      <c r="I193" s="5">
        <f>Table1[[#This Row],[ Verified Ballot Papers ]]/Table1[[#This Row],[ Electorate ]]</f>
        <v>0.72139510531756368</v>
      </c>
      <c r="J193" s="1">
        <v>161218</v>
      </c>
      <c r="K193" s="1">
        <v>161033</v>
      </c>
      <c r="L193" s="1">
        <v>100210</v>
      </c>
      <c r="M193" s="1">
        <v>60823</v>
      </c>
      <c r="N193">
        <v>185</v>
      </c>
      <c r="O193">
        <v>0</v>
      </c>
      <c r="P193">
        <v>54</v>
      </c>
      <c r="Q193">
        <v>12</v>
      </c>
      <c r="R193">
        <v>119</v>
      </c>
      <c r="S193" s="5">
        <f>Table1[[#This Row],[ Remain ]]/Table1[[#This Row],[ Valid Votes ]]</f>
        <v>0.62229480913849955</v>
      </c>
      <c r="T193" s="5">
        <f>Table1[[#This Row],[ Leave ]]/Table1[[#This Row],[ Valid Votes ]]</f>
        <v>0.37770519086150045</v>
      </c>
      <c r="U193" s="5">
        <f>Table1[[#This Row],[ Rejected Ballots ]]/Table1[[#This Row],[ Votes Cast ]]</f>
        <v>1.1475145455222121E-3</v>
      </c>
      <c r="V193" t="str">
        <f>IF(Table1[[#This Row],[Percent Leave]]&gt;Table1[[#This Row],[Percent Remain]],"Leave", "Remain")</f>
        <v>Remain</v>
      </c>
      <c r="W193">
        <v>51.611069000000001</v>
      </c>
      <c r="X193">
        <v>-0.21819</v>
      </c>
      <c r="Y193" s="1">
        <f>_xlfn.XLOOKUP(Table1[[#This Row],[Area]],Table2[Area],Table2[All Residents])</f>
        <v>356386</v>
      </c>
    </row>
    <row r="194" spans="1:25" hidden="1" x14ac:dyDescent="0.45">
      <c r="A194">
        <v>193</v>
      </c>
      <c r="B194" t="s">
        <v>411</v>
      </c>
      <c r="C194" t="s">
        <v>412</v>
      </c>
      <c r="D194" t="s">
        <v>419</v>
      </c>
      <c r="E194" t="s">
        <v>420</v>
      </c>
      <c r="F194" s="1">
        <v>170779</v>
      </c>
      <c r="G194" s="1">
        <v>128571</v>
      </c>
      <c r="H194" s="1">
        <v>128570</v>
      </c>
      <c r="I194" s="5">
        <f>Table1[[#This Row],[ Verified Ballot Papers ]]/Table1[[#This Row],[ Electorate ]]</f>
        <v>0.75284431926642037</v>
      </c>
      <c r="J194" s="1">
        <v>128570</v>
      </c>
      <c r="K194" s="1">
        <v>128489</v>
      </c>
      <c r="L194" s="1">
        <v>47603</v>
      </c>
      <c r="M194" s="1">
        <v>80886</v>
      </c>
      <c r="N194">
        <v>81</v>
      </c>
      <c r="O194">
        <v>5</v>
      </c>
      <c r="P194">
        <v>35</v>
      </c>
      <c r="Q194">
        <v>0</v>
      </c>
      <c r="R194">
        <v>41</v>
      </c>
      <c r="S194" s="5">
        <f>Table1[[#This Row],[ Remain ]]/Table1[[#This Row],[ Valid Votes ]]</f>
        <v>0.37048307637229644</v>
      </c>
      <c r="T194" s="5">
        <f>Table1[[#This Row],[ Leave ]]/Table1[[#This Row],[ Valid Votes ]]</f>
        <v>0.62951692362770351</v>
      </c>
      <c r="U194" s="5">
        <f>Table1[[#This Row],[ Rejected Ballots ]]/Table1[[#This Row],[ Votes Cast ]]</f>
        <v>6.3000700007777863E-4</v>
      </c>
      <c r="V194" t="str">
        <f>IF(Table1[[#This Row],[Percent Leave]]&gt;Table1[[#This Row],[Percent Remain]],"Leave", "Remain")</f>
        <v>Leave</v>
      </c>
      <c r="W194">
        <v>51.458221000000002</v>
      </c>
      <c r="X194">
        <v>0.14621200000000001</v>
      </c>
      <c r="Y194" s="1">
        <f>_xlfn.XLOOKUP(Table1[[#This Row],[Area]],Table2[Area],Table2[All Residents])</f>
        <v>231997</v>
      </c>
    </row>
    <row r="195" spans="1:25" hidden="1" x14ac:dyDescent="0.45">
      <c r="A195">
        <v>194</v>
      </c>
      <c r="B195" t="s">
        <v>411</v>
      </c>
      <c r="C195" t="s">
        <v>412</v>
      </c>
      <c r="D195" t="s">
        <v>421</v>
      </c>
      <c r="E195" t="s">
        <v>422</v>
      </c>
      <c r="F195" s="1">
        <v>186793</v>
      </c>
      <c r="G195" s="1">
        <v>121676</v>
      </c>
      <c r="H195" s="1">
        <v>121678</v>
      </c>
      <c r="I195" s="5">
        <f>Table1[[#This Row],[ Verified Ballot Papers ]]/Table1[[#This Row],[ Electorate ]]</f>
        <v>0.65140556658975446</v>
      </c>
      <c r="J195" s="1">
        <v>121671</v>
      </c>
      <c r="K195" s="1">
        <v>121404</v>
      </c>
      <c r="L195" s="1">
        <v>72523</v>
      </c>
      <c r="M195" s="1">
        <v>48881</v>
      </c>
      <c r="N195">
        <v>267</v>
      </c>
      <c r="O195">
        <v>0</v>
      </c>
      <c r="P195">
        <v>157</v>
      </c>
      <c r="Q195">
        <v>0</v>
      </c>
      <c r="R195">
        <v>110</v>
      </c>
      <c r="S195" s="5">
        <f>Table1[[#This Row],[ Remain ]]/Table1[[#This Row],[ Valid Votes ]]</f>
        <v>0.59736911469144349</v>
      </c>
      <c r="T195" s="5">
        <f>Table1[[#This Row],[ Leave ]]/Table1[[#This Row],[ Valid Votes ]]</f>
        <v>0.40263088530855656</v>
      </c>
      <c r="U195" s="5">
        <f>Table1[[#This Row],[ Rejected Ballots ]]/Table1[[#This Row],[ Votes Cast ]]</f>
        <v>2.1944423897231058E-3</v>
      </c>
      <c r="V195" t="str">
        <f>IF(Table1[[#This Row],[Percent Leave]]&gt;Table1[[#This Row],[Percent Remain]],"Leave", "Remain")</f>
        <v>Remain</v>
      </c>
      <c r="W195">
        <v>51.564380999999997</v>
      </c>
      <c r="X195">
        <v>-0.27568000999999998</v>
      </c>
      <c r="Y195" s="1">
        <f>_xlfn.XLOOKUP(Table1[[#This Row],[Area]],Table2[Area],Table2[All Residents])</f>
        <v>311215</v>
      </c>
    </row>
    <row r="196" spans="1:25" hidden="1" x14ac:dyDescent="0.45">
      <c r="A196">
        <v>195</v>
      </c>
      <c r="B196" t="s">
        <v>411</v>
      </c>
      <c r="C196" t="s">
        <v>412</v>
      </c>
      <c r="D196" t="s">
        <v>423</v>
      </c>
      <c r="E196" t="s">
        <v>424</v>
      </c>
      <c r="F196" s="1">
        <v>231473</v>
      </c>
      <c r="G196" s="1">
        <v>182570</v>
      </c>
      <c r="H196" s="1">
        <v>182570</v>
      </c>
      <c r="I196" s="5">
        <f>Table1[[#This Row],[ Verified Ballot Papers ]]/Table1[[#This Row],[ Electorate ]]</f>
        <v>0.78873129911479956</v>
      </c>
      <c r="J196" s="1">
        <v>182570</v>
      </c>
      <c r="K196" s="1">
        <v>182432</v>
      </c>
      <c r="L196" s="1">
        <v>92398</v>
      </c>
      <c r="M196" s="1">
        <v>90034</v>
      </c>
      <c r="N196">
        <v>138</v>
      </c>
      <c r="O196">
        <v>0</v>
      </c>
      <c r="P196">
        <v>43</v>
      </c>
      <c r="Q196">
        <v>0</v>
      </c>
      <c r="R196">
        <v>95</v>
      </c>
      <c r="S196" s="5">
        <f>Table1[[#This Row],[ Remain ]]/Table1[[#This Row],[ Valid Votes ]]</f>
        <v>0.50647912646904047</v>
      </c>
      <c r="T196" s="5">
        <f>Table1[[#This Row],[ Leave ]]/Table1[[#This Row],[ Valid Votes ]]</f>
        <v>0.49352087353095947</v>
      </c>
      <c r="U196" s="5">
        <f>Table1[[#This Row],[ Rejected Ballots ]]/Table1[[#This Row],[ Votes Cast ]]</f>
        <v>7.5587445911157365E-4</v>
      </c>
      <c r="V196" t="str">
        <f>IF(Table1[[#This Row],[Percent Leave]]&gt;Table1[[#This Row],[Percent Remain]],"Leave", "Remain")</f>
        <v>Remain</v>
      </c>
      <c r="W196">
        <v>51.372661999999998</v>
      </c>
      <c r="X196">
        <v>3.9246000000000003E-2</v>
      </c>
      <c r="Y196" s="1">
        <f>_xlfn.XLOOKUP(Table1[[#This Row],[Area]],Table2[Area],Table2[All Residents])</f>
        <v>309392</v>
      </c>
    </row>
    <row r="197" spans="1:25" hidden="1" x14ac:dyDescent="0.45">
      <c r="A197">
        <v>196</v>
      </c>
      <c r="B197" t="s">
        <v>411</v>
      </c>
      <c r="C197" t="s">
        <v>412</v>
      </c>
      <c r="D197" t="s">
        <v>425</v>
      </c>
      <c r="E197" t="s">
        <v>426</v>
      </c>
      <c r="F197" s="1">
        <v>145425</v>
      </c>
      <c r="G197" s="1">
        <v>95288</v>
      </c>
      <c r="H197" s="1">
        <v>95282</v>
      </c>
      <c r="I197" s="5">
        <f>Table1[[#This Row],[ Verified Ballot Papers ]]/Table1[[#This Row],[ Electorate ]]</f>
        <v>0.65519683685748664</v>
      </c>
      <c r="J197" s="1">
        <v>95281</v>
      </c>
      <c r="K197" s="1">
        <v>95133</v>
      </c>
      <c r="L197" s="1">
        <v>71295</v>
      </c>
      <c r="M197" s="1">
        <v>23838</v>
      </c>
      <c r="N197">
        <v>148</v>
      </c>
      <c r="O197">
        <v>0</v>
      </c>
      <c r="P197">
        <v>54</v>
      </c>
      <c r="Q197">
        <v>8</v>
      </c>
      <c r="R197">
        <v>86</v>
      </c>
      <c r="S197" s="5">
        <f>Table1[[#This Row],[ Remain ]]/Table1[[#This Row],[ Valid Votes ]]</f>
        <v>0.74942448992463184</v>
      </c>
      <c r="T197" s="5">
        <f>Table1[[#This Row],[ Leave ]]/Table1[[#This Row],[ Valid Votes ]]</f>
        <v>0.25057551007536816</v>
      </c>
      <c r="U197" s="5">
        <f>Table1[[#This Row],[ Rejected Ballots ]]/Table1[[#This Row],[ Votes Cast ]]</f>
        <v>1.5533002382426718E-3</v>
      </c>
      <c r="V197" t="str">
        <f>IF(Table1[[#This Row],[Percent Leave]]&gt;Table1[[#This Row],[Percent Remain]],"Leave", "Remain")</f>
        <v>Remain</v>
      </c>
      <c r="W197">
        <v>51.543049000000003</v>
      </c>
      <c r="X197">
        <v>-0.16291</v>
      </c>
      <c r="Y197" s="1">
        <f>_xlfn.XLOOKUP(Table1[[#This Row],[Area]],Table2[Area],Table2[All Residents])</f>
        <v>220338</v>
      </c>
    </row>
    <row r="198" spans="1:25" hidden="1" x14ac:dyDescent="0.45">
      <c r="A198">
        <v>197</v>
      </c>
      <c r="B198" t="s">
        <v>411</v>
      </c>
      <c r="C198" t="s">
        <v>412</v>
      </c>
      <c r="D198" t="s">
        <v>427</v>
      </c>
      <c r="E198" t="s">
        <v>428</v>
      </c>
      <c r="F198" s="1">
        <v>245349</v>
      </c>
      <c r="G198" s="1">
        <v>171295</v>
      </c>
      <c r="H198" s="1">
        <v>171292</v>
      </c>
      <c r="I198" s="5">
        <f>Table1[[#This Row],[ Verified Ballot Papers ]]/Table1[[#This Row],[ Electorate ]]</f>
        <v>0.6981565035928412</v>
      </c>
      <c r="J198" s="1">
        <v>171289</v>
      </c>
      <c r="K198" s="1">
        <v>171134</v>
      </c>
      <c r="L198" s="1">
        <v>92913</v>
      </c>
      <c r="M198" s="1">
        <v>78221</v>
      </c>
      <c r="N198">
        <v>155</v>
      </c>
      <c r="O198">
        <v>0</v>
      </c>
      <c r="P198">
        <v>73</v>
      </c>
      <c r="Q198">
        <v>5</v>
      </c>
      <c r="R198">
        <v>77</v>
      </c>
      <c r="S198" s="5">
        <f>Table1[[#This Row],[ Remain ]]/Table1[[#This Row],[ Valid Votes ]]</f>
        <v>0.54292542685848522</v>
      </c>
      <c r="T198" s="5">
        <f>Table1[[#This Row],[ Leave ]]/Table1[[#This Row],[ Valid Votes ]]</f>
        <v>0.45707457314151484</v>
      </c>
      <c r="U198" s="5">
        <f>Table1[[#This Row],[ Rejected Ballots ]]/Table1[[#This Row],[ Votes Cast ]]</f>
        <v>9.0490340885871249E-4</v>
      </c>
      <c r="V198" t="str">
        <f>IF(Table1[[#This Row],[Percent Leave]]&gt;Table1[[#This Row],[Percent Remain]],"Leave", "Remain")</f>
        <v>Remain</v>
      </c>
      <c r="W198">
        <v>51.365971000000002</v>
      </c>
      <c r="X198">
        <v>-7.7610000999999998E-2</v>
      </c>
      <c r="Y198" s="1">
        <f>_xlfn.XLOOKUP(Table1[[#This Row],[Area]],Table2[Area],Table2[All Residents])</f>
        <v>363378</v>
      </c>
    </row>
    <row r="199" spans="1:25" hidden="1" x14ac:dyDescent="0.45">
      <c r="A199">
        <v>198</v>
      </c>
      <c r="B199" t="s">
        <v>411</v>
      </c>
      <c r="C199" t="s">
        <v>412</v>
      </c>
      <c r="D199" t="s">
        <v>429</v>
      </c>
      <c r="E199" t="s">
        <v>430</v>
      </c>
      <c r="F199" s="1">
        <v>212991</v>
      </c>
      <c r="G199" s="1">
        <v>149267</v>
      </c>
      <c r="H199" s="1">
        <v>149267</v>
      </c>
      <c r="I199" s="5">
        <f>Table1[[#This Row],[ Verified Ballot Papers ]]/Table1[[#This Row],[ Electorate ]]</f>
        <v>0.70081364940302637</v>
      </c>
      <c r="J199" s="1">
        <v>149268</v>
      </c>
      <c r="K199" s="1">
        <v>149041</v>
      </c>
      <c r="L199" s="1">
        <v>90024</v>
      </c>
      <c r="M199" s="1">
        <v>59017</v>
      </c>
      <c r="N199">
        <v>227</v>
      </c>
      <c r="O199">
        <v>0</v>
      </c>
      <c r="P199">
        <v>115</v>
      </c>
      <c r="Q199">
        <v>3</v>
      </c>
      <c r="R199">
        <v>109</v>
      </c>
      <c r="S199" s="5">
        <f>Table1[[#This Row],[ Remain ]]/Table1[[#This Row],[ Valid Votes ]]</f>
        <v>0.60402171214632217</v>
      </c>
      <c r="T199" s="5">
        <f>Table1[[#This Row],[ Leave ]]/Table1[[#This Row],[ Valid Votes ]]</f>
        <v>0.39597828785367783</v>
      </c>
      <c r="U199" s="5">
        <f>Table1[[#This Row],[ Rejected Ballots ]]/Table1[[#This Row],[ Votes Cast ]]</f>
        <v>1.5207546158587239E-3</v>
      </c>
      <c r="V199" t="str">
        <f>IF(Table1[[#This Row],[Percent Leave]]&gt;Table1[[#This Row],[Percent Remain]],"Leave", "Remain")</f>
        <v>Remain</v>
      </c>
      <c r="W199">
        <v>51.524422000000001</v>
      </c>
      <c r="X199">
        <v>-0.31409999999999999</v>
      </c>
      <c r="Y199" s="1">
        <f>_xlfn.XLOOKUP(Table1[[#This Row],[Area]],Table2[Area],Table2[All Residents])</f>
        <v>338449</v>
      </c>
    </row>
    <row r="200" spans="1:25" hidden="1" x14ac:dyDescent="0.45">
      <c r="A200">
        <v>199</v>
      </c>
      <c r="B200" t="s">
        <v>411</v>
      </c>
      <c r="C200" t="s">
        <v>412</v>
      </c>
      <c r="D200" t="s">
        <v>431</v>
      </c>
      <c r="E200" t="s">
        <v>432</v>
      </c>
      <c r="F200" s="1">
        <v>198387</v>
      </c>
      <c r="G200" s="1">
        <v>137054</v>
      </c>
      <c r="H200" s="1">
        <v>137056</v>
      </c>
      <c r="I200" s="5">
        <f>Table1[[#This Row],[ Verified Ballot Papers ]]/Table1[[#This Row],[ Electorate ]]</f>
        <v>0.6908517191146597</v>
      </c>
      <c r="J200" s="1">
        <v>137056</v>
      </c>
      <c r="K200" s="1">
        <v>136906</v>
      </c>
      <c r="L200" s="1">
        <v>76425</v>
      </c>
      <c r="M200" s="1">
        <v>60481</v>
      </c>
      <c r="N200">
        <v>150</v>
      </c>
      <c r="O200">
        <v>0</v>
      </c>
      <c r="P200">
        <v>69</v>
      </c>
      <c r="Q200">
        <v>1</v>
      </c>
      <c r="R200">
        <v>80</v>
      </c>
      <c r="S200" s="5">
        <f>Table1[[#This Row],[ Remain ]]/Table1[[#This Row],[ Valid Votes ]]</f>
        <v>0.55822973427022926</v>
      </c>
      <c r="T200" s="5">
        <f>Table1[[#This Row],[ Leave ]]/Table1[[#This Row],[ Valid Votes ]]</f>
        <v>0.44177026572977079</v>
      </c>
      <c r="U200" s="5">
        <f>Table1[[#This Row],[ Rejected Ballots ]]/Table1[[#This Row],[ Votes Cast ]]</f>
        <v>1.0944431473266401E-3</v>
      </c>
      <c r="V200" t="str">
        <f>IF(Table1[[#This Row],[Percent Leave]]&gt;Table1[[#This Row],[Percent Remain]],"Leave", "Remain")</f>
        <v>Remain</v>
      </c>
      <c r="W200">
        <v>51.648890999999999</v>
      </c>
      <c r="X200">
        <v>-8.1440001999999997E-2</v>
      </c>
      <c r="Y200" s="1">
        <f>_xlfn.XLOOKUP(Table1[[#This Row],[Area]],Table2[Area],Table2[All Residents])</f>
        <v>312466</v>
      </c>
    </row>
    <row r="201" spans="1:25" hidden="1" x14ac:dyDescent="0.45">
      <c r="A201">
        <v>200</v>
      </c>
      <c r="B201" t="s">
        <v>411</v>
      </c>
      <c r="C201" t="s">
        <v>412</v>
      </c>
      <c r="D201" t="s">
        <v>433</v>
      </c>
      <c r="E201" t="s">
        <v>434</v>
      </c>
      <c r="F201" s="1">
        <v>168967</v>
      </c>
      <c r="G201" s="1">
        <v>117470</v>
      </c>
      <c r="H201" s="1">
        <v>117472</v>
      </c>
      <c r="I201" s="5">
        <f>Table1[[#This Row],[ Verified Ballot Papers ]]/Table1[[#This Row],[ Electorate ]]</f>
        <v>0.69523634792592637</v>
      </c>
      <c r="J201" s="1">
        <v>117470</v>
      </c>
      <c r="K201" s="1">
        <v>117365</v>
      </c>
      <c r="L201" s="1">
        <v>65248</v>
      </c>
      <c r="M201" s="1">
        <v>52117</v>
      </c>
      <c r="N201">
        <v>105</v>
      </c>
      <c r="O201">
        <v>0</v>
      </c>
      <c r="P201">
        <v>35</v>
      </c>
      <c r="Q201">
        <v>1</v>
      </c>
      <c r="R201">
        <v>69</v>
      </c>
      <c r="S201" s="5">
        <f>Table1[[#This Row],[ Remain ]]/Table1[[#This Row],[ Valid Votes ]]</f>
        <v>0.55594086823158517</v>
      </c>
      <c r="T201" s="5">
        <f>Table1[[#This Row],[ Leave ]]/Table1[[#This Row],[ Valid Votes ]]</f>
        <v>0.44405913176841477</v>
      </c>
      <c r="U201" s="5">
        <f>Table1[[#This Row],[ Rejected Ballots ]]/Table1[[#This Row],[ Votes Cast ]]</f>
        <v>8.9384523708180817E-4</v>
      </c>
      <c r="V201" t="str">
        <f>IF(Table1[[#This Row],[Percent Leave]]&gt;Table1[[#This Row],[Percent Remain]],"Leave", "Remain")</f>
        <v>Remain</v>
      </c>
      <c r="W201">
        <v>51.463940000000001</v>
      </c>
      <c r="X201">
        <v>5.0092998999999999E-2</v>
      </c>
      <c r="Y201" s="1">
        <f>_xlfn.XLOOKUP(Table1[[#This Row],[Area]],Table2[Area],Table2[All Residents])</f>
        <v>254557</v>
      </c>
    </row>
    <row r="202" spans="1:25" hidden="1" x14ac:dyDescent="0.45">
      <c r="A202">
        <v>201</v>
      </c>
      <c r="B202" t="s">
        <v>411</v>
      </c>
      <c r="C202" t="s">
        <v>412</v>
      </c>
      <c r="D202" t="s">
        <v>435</v>
      </c>
      <c r="E202" t="s">
        <v>436</v>
      </c>
      <c r="F202" s="1">
        <v>163284</v>
      </c>
      <c r="G202" s="1">
        <v>106422</v>
      </c>
      <c r="H202" s="1">
        <v>106422</v>
      </c>
      <c r="I202" s="5">
        <f>Table1[[#This Row],[ Verified Ballot Papers ]]/Table1[[#This Row],[ Electorate ]]</f>
        <v>0.65176012346586321</v>
      </c>
      <c r="J202" s="1">
        <v>106422</v>
      </c>
      <c r="K202" s="1">
        <v>106266</v>
      </c>
      <c r="L202" s="1">
        <v>83398</v>
      </c>
      <c r="M202" s="1">
        <v>22868</v>
      </c>
      <c r="N202">
        <v>156</v>
      </c>
      <c r="O202">
        <v>7</v>
      </c>
      <c r="P202">
        <v>44</v>
      </c>
      <c r="Q202">
        <v>35</v>
      </c>
      <c r="R202">
        <v>70</v>
      </c>
      <c r="S202" s="5">
        <f>Table1[[#This Row],[ Remain ]]/Table1[[#This Row],[ Valid Votes ]]</f>
        <v>0.78480417066606445</v>
      </c>
      <c r="T202" s="5">
        <f>Table1[[#This Row],[ Leave ]]/Table1[[#This Row],[ Valid Votes ]]</f>
        <v>0.21519582933393561</v>
      </c>
      <c r="U202" s="5">
        <f>Table1[[#This Row],[ Rejected Ballots ]]/Table1[[#This Row],[ Votes Cast ]]</f>
        <v>1.4658623217004003E-3</v>
      </c>
      <c r="V202" t="str">
        <f>IF(Table1[[#This Row],[Percent Leave]]&gt;Table1[[#This Row],[Percent Remain]],"Leave", "Remain")</f>
        <v>Remain</v>
      </c>
      <c r="W202">
        <v>51.554920000000003</v>
      </c>
      <c r="X202">
        <v>-6.0449998999999997E-2</v>
      </c>
      <c r="Y202" s="1">
        <f>_xlfn.XLOOKUP(Table1[[#This Row],[Area]],Table2[Area],Table2[All Residents])</f>
        <v>246270</v>
      </c>
    </row>
    <row r="203" spans="1:25" hidden="1" x14ac:dyDescent="0.45">
      <c r="A203">
        <v>202</v>
      </c>
      <c r="B203" t="s">
        <v>411</v>
      </c>
      <c r="C203" t="s">
        <v>412</v>
      </c>
      <c r="D203" t="s">
        <v>437</v>
      </c>
      <c r="E203" t="s">
        <v>438</v>
      </c>
      <c r="F203" s="1">
        <v>114863</v>
      </c>
      <c r="G203" s="1">
        <v>80351</v>
      </c>
      <c r="H203" s="1">
        <v>80350</v>
      </c>
      <c r="I203" s="5">
        <f>Table1[[#This Row],[ Verified Ballot Papers ]]/Table1[[#This Row],[ Electorate ]]</f>
        <v>0.69952900411794916</v>
      </c>
      <c r="J203" s="1">
        <v>80347</v>
      </c>
      <c r="K203" s="1">
        <v>80242</v>
      </c>
      <c r="L203" s="1">
        <v>56188</v>
      </c>
      <c r="M203" s="1">
        <v>24054</v>
      </c>
      <c r="N203">
        <v>105</v>
      </c>
      <c r="O203">
        <v>0</v>
      </c>
      <c r="P203">
        <v>32</v>
      </c>
      <c r="Q203">
        <v>8</v>
      </c>
      <c r="R203">
        <v>65</v>
      </c>
      <c r="S203" s="5">
        <f>Table1[[#This Row],[ Remain ]]/Table1[[#This Row],[ Valid Votes ]]</f>
        <v>0.70023179880860398</v>
      </c>
      <c r="T203" s="5">
        <f>Table1[[#This Row],[ Leave ]]/Table1[[#This Row],[ Valid Votes ]]</f>
        <v>0.29976820119139602</v>
      </c>
      <c r="U203" s="5">
        <f>Table1[[#This Row],[ Rejected Ballots ]]/Table1[[#This Row],[ Votes Cast ]]</f>
        <v>1.306831617857543E-3</v>
      </c>
      <c r="V203" t="str">
        <f>IF(Table1[[#This Row],[Percent Leave]]&gt;Table1[[#This Row],[Percent Remain]],"Leave", "Remain")</f>
        <v>Remain</v>
      </c>
      <c r="W203">
        <v>51.487330999999998</v>
      </c>
      <c r="X203">
        <v>-0.21735001000000001</v>
      </c>
      <c r="Y203" s="1">
        <f>_xlfn.XLOOKUP(Table1[[#This Row],[Area]],Table2[Area],Table2[All Residents])</f>
        <v>182493</v>
      </c>
    </row>
    <row r="204" spans="1:25" hidden="1" x14ac:dyDescent="0.45">
      <c r="A204">
        <v>203</v>
      </c>
      <c r="B204" t="s">
        <v>411</v>
      </c>
      <c r="C204" t="s">
        <v>412</v>
      </c>
      <c r="D204" t="s">
        <v>439</v>
      </c>
      <c r="E204" t="s">
        <v>440</v>
      </c>
      <c r="F204" s="1">
        <v>150098</v>
      </c>
      <c r="G204" s="1">
        <v>106043</v>
      </c>
      <c r="H204" s="1">
        <v>106034</v>
      </c>
      <c r="I204" s="5">
        <f>Table1[[#This Row],[ Verified Ballot Papers ]]/Table1[[#This Row],[ Electorate ]]</f>
        <v>0.70643179789204391</v>
      </c>
      <c r="J204" s="1">
        <v>106032</v>
      </c>
      <c r="K204" s="1">
        <v>105846</v>
      </c>
      <c r="L204" s="1">
        <v>79991</v>
      </c>
      <c r="M204" s="1">
        <v>25855</v>
      </c>
      <c r="N204">
        <v>186</v>
      </c>
      <c r="O204">
        <v>0</v>
      </c>
      <c r="P204">
        <v>71</v>
      </c>
      <c r="Q204">
        <v>0</v>
      </c>
      <c r="R204">
        <v>115</v>
      </c>
      <c r="S204" s="5">
        <f>Table1[[#This Row],[ Remain ]]/Table1[[#This Row],[ Valid Votes ]]</f>
        <v>0.75573002286340529</v>
      </c>
      <c r="T204" s="5">
        <f>Table1[[#This Row],[ Leave ]]/Table1[[#This Row],[ Valid Votes ]]</f>
        <v>0.24426997713659468</v>
      </c>
      <c r="U204" s="5">
        <f>Table1[[#This Row],[ Rejected Ballots ]]/Table1[[#This Row],[ Votes Cast ]]</f>
        <v>1.7541874151199637E-3</v>
      </c>
      <c r="V204" t="str">
        <f>IF(Table1[[#This Row],[Percent Leave]]&gt;Table1[[#This Row],[Percent Remain]],"Leave", "Remain")</f>
        <v>Remain</v>
      </c>
      <c r="W204">
        <v>51.587710999999999</v>
      </c>
      <c r="X204">
        <v>-0.1067</v>
      </c>
      <c r="Y204" s="1">
        <f>_xlfn.XLOOKUP(Table1[[#This Row],[Area]],Table2[Area],Table2[All Residents])</f>
        <v>254926</v>
      </c>
    </row>
    <row r="205" spans="1:25" hidden="1" x14ac:dyDescent="0.45">
      <c r="A205">
        <v>204</v>
      </c>
      <c r="B205" t="s">
        <v>411</v>
      </c>
      <c r="C205" t="s">
        <v>412</v>
      </c>
      <c r="D205" t="s">
        <v>441</v>
      </c>
      <c r="E205" t="s">
        <v>442</v>
      </c>
      <c r="F205" s="1">
        <v>162397</v>
      </c>
      <c r="G205" s="1">
        <v>117363</v>
      </c>
      <c r="H205" s="1">
        <v>117361</v>
      </c>
      <c r="I205" s="5">
        <f>Table1[[#This Row],[ Verified Ballot Papers ]]/Table1[[#This Row],[ Electorate ]]</f>
        <v>0.72267960615035987</v>
      </c>
      <c r="J205" s="1">
        <v>117352</v>
      </c>
      <c r="K205" s="1">
        <v>117225</v>
      </c>
      <c r="L205" s="1">
        <v>64042</v>
      </c>
      <c r="M205" s="1">
        <v>53183</v>
      </c>
      <c r="N205">
        <v>127</v>
      </c>
      <c r="O205">
        <v>0</v>
      </c>
      <c r="P205">
        <v>50</v>
      </c>
      <c r="Q205">
        <v>6</v>
      </c>
      <c r="R205">
        <v>71</v>
      </c>
      <c r="S205" s="5">
        <f>Table1[[#This Row],[ Remain ]]/Table1[[#This Row],[ Valid Votes ]]</f>
        <v>0.54631691192151843</v>
      </c>
      <c r="T205" s="5">
        <f>Table1[[#This Row],[ Leave ]]/Table1[[#This Row],[ Valid Votes ]]</f>
        <v>0.45368308807848157</v>
      </c>
      <c r="U205" s="5">
        <f>Table1[[#This Row],[ Rejected Ballots ]]/Table1[[#This Row],[ Votes Cast ]]</f>
        <v>1.0822141931965369E-3</v>
      </c>
      <c r="V205" t="str">
        <f>IF(Table1[[#This Row],[Percent Leave]]&gt;Table1[[#This Row],[Percent Remain]],"Leave", "Remain")</f>
        <v>Remain</v>
      </c>
      <c r="W205">
        <v>51.594669000000003</v>
      </c>
      <c r="X205">
        <v>-0.33598</v>
      </c>
      <c r="Y205" s="1">
        <f>_xlfn.XLOOKUP(Table1[[#This Row],[Area]],Table2[Area],Table2[All Residents])</f>
        <v>239056</v>
      </c>
    </row>
    <row r="206" spans="1:25" hidden="1" x14ac:dyDescent="0.45">
      <c r="A206">
        <v>205</v>
      </c>
      <c r="B206" t="s">
        <v>411</v>
      </c>
      <c r="C206" t="s">
        <v>412</v>
      </c>
      <c r="D206" t="s">
        <v>443</v>
      </c>
      <c r="E206" t="s">
        <v>444</v>
      </c>
      <c r="F206" s="1">
        <v>183082</v>
      </c>
      <c r="G206" s="1">
        <v>139179</v>
      </c>
      <c r="H206" s="1">
        <v>139176</v>
      </c>
      <c r="I206" s="5">
        <f>Table1[[#This Row],[ Verified Ballot Papers ]]/Table1[[#This Row],[ Electorate ]]</f>
        <v>0.76018396128510723</v>
      </c>
      <c r="J206" s="1">
        <v>139175</v>
      </c>
      <c r="K206" s="1">
        <v>139086</v>
      </c>
      <c r="L206" s="1">
        <v>42201</v>
      </c>
      <c r="M206" s="1">
        <v>96885</v>
      </c>
      <c r="N206">
        <v>89</v>
      </c>
      <c r="O206">
        <v>1</v>
      </c>
      <c r="P206">
        <v>25</v>
      </c>
      <c r="Q206">
        <v>1</v>
      </c>
      <c r="R206">
        <v>62</v>
      </c>
      <c r="S206" s="5">
        <f>Table1[[#This Row],[ Remain ]]/Table1[[#This Row],[ Valid Votes ]]</f>
        <v>0.30341659117380615</v>
      </c>
      <c r="T206" s="5">
        <f>Table1[[#This Row],[ Leave ]]/Table1[[#This Row],[ Valid Votes ]]</f>
        <v>0.69658340882619385</v>
      </c>
      <c r="U206" s="5">
        <f>Table1[[#This Row],[ Rejected Ballots ]]/Table1[[#This Row],[ Votes Cast ]]</f>
        <v>6.3948266570864015E-4</v>
      </c>
      <c r="V206" t="str">
        <f>IF(Table1[[#This Row],[Percent Leave]]&gt;Table1[[#This Row],[Percent Remain]],"Leave", "Remain")</f>
        <v>Leave</v>
      </c>
      <c r="W206">
        <v>51.565188999999997</v>
      </c>
      <c r="X206">
        <v>0.23536799999999999</v>
      </c>
      <c r="Y206" s="1">
        <f>_xlfn.XLOOKUP(Table1[[#This Row],[Area]],Table2[Area],Table2[All Residents])</f>
        <v>237232</v>
      </c>
    </row>
    <row r="207" spans="1:25" hidden="1" x14ac:dyDescent="0.45">
      <c r="A207">
        <v>206</v>
      </c>
      <c r="B207" t="s">
        <v>411</v>
      </c>
      <c r="C207" t="s">
        <v>412</v>
      </c>
      <c r="D207" t="s">
        <v>445</v>
      </c>
      <c r="E207" t="s">
        <v>446</v>
      </c>
      <c r="F207" s="1">
        <v>193033</v>
      </c>
      <c r="G207" s="1">
        <v>133171</v>
      </c>
      <c r="H207" s="1">
        <v>133171</v>
      </c>
      <c r="I207" s="5">
        <f>Table1[[#This Row],[ Verified Ballot Papers ]]/Table1[[#This Row],[ Electorate ]]</f>
        <v>0.68988722135593394</v>
      </c>
      <c r="J207" s="1">
        <v>133170</v>
      </c>
      <c r="K207" s="1">
        <v>133022</v>
      </c>
      <c r="L207" s="1">
        <v>58040</v>
      </c>
      <c r="M207" s="1">
        <v>74982</v>
      </c>
      <c r="N207">
        <v>148</v>
      </c>
      <c r="O207">
        <v>0</v>
      </c>
      <c r="P207">
        <v>55</v>
      </c>
      <c r="Q207">
        <v>16</v>
      </c>
      <c r="R207">
        <v>77</v>
      </c>
      <c r="S207" s="5">
        <f>Table1[[#This Row],[ Remain ]]/Table1[[#This Row],[ Valid Votes ]]</f>
        <v>0.43631880440829335</v>
      </c>
      <c r="T207" s="5">
        <f>Table1[[#This Row],[ Leave ]]/Table1[[#This Row],[ Valid Votes ]]</f>
        <v>0.5636811955917066</v>
      </c>
      <c r="U207" s="5">
        <f>Table1[[#This Row],[ Rejected Ballots ]]/Table1[[#This Row],[ Votes Cast ]]</f>
        <v>1.1113614177367275E-3</v>
      </c>
      <c r="V207" t="str">
        <f>IF(Table1[[#This Row],[Percent Leave]]&gt;Table1[[#This Row],[Percent Remain]],"Leave", "Remain")</f>
        <v>Leave</v>
      </c>
      <c r="W207">
        <v>51.536639999999998</v>
      </c>
      <c r="X207">
        <v>-0.44181999999999999</v>
      </c>
      <c r="Y207" s="1">
        <f>_xlfn.XLOOKUP(Table1[[#This Row],[Area]],Table2[Area],Table2[All Residents])</f>
        <v>273936</v>
      </c>
    </row>
    <row r="208" spans="1:25" hidden="1" x14ac:dyDescent="0.45">
      <c r="A208">
        <v>207</v>
      </c>
      <c r="B208" t="s">
        <v>411</v>
      </c>
      <c r="C208" t="s">
        <v>412</v>
      </c>
      <c r="D208" t="s">
        <v>447</v>
      </c>
      <c r="E208" t="s">
        <v>448</v>
      </c>
      <c r="F208" s="1">
        <v>165050</v>
      </c>
      <c r="G208" s="1">
        <v>115211</v>
      </c>
      <c r="H208" s="1">
        <v>115209</v>
      </c>
      <c r="I208" s="5">
        <f>Table1[[#This Row],[ Verified Ballot Papers ]]/Table1[[#This Row],[ Electorate ]]</f>
        <v>0.69802484095728567</v>
      </c>
      <c r="J208" s="1">
        <v>115208</v>
      </c>
      <c r="K208" s="1">
        <v>115076</v>
      </c>
      <c r="L208" s="1">
        <v>58755</v>
      </c>
      <c r="M208" s="1">
        <v>56321</v>
      </c>
      <c r="N208">
        <v>132</v>
      </c>
      <c r="O208">
        <v>0</v>
      </c>
      <c r="P208">
        <v>39</v>
      </c>
      <c r="Q208">
        <v>6</v>
      </c>
      <c r="R208">
        <v>87</v>
      </c>
      <c r="S208" s="5">
        <f>Table1[[#This Row],[ Remain ]]/Table1[[#This Row],[ Valid Votes ]]</f>
        <v>0.51057561959053144</v>
      </c>
      <c r="T208" s="5">
        <f>Table1[[#This Row],[ Leave ]]/Table1[[#This Row],[ Valid Votes ]]</f>
        <v>0.48942438040946851</v>
      </c>
      <c r="U208" s="5">
        <f>Table1[[#This Row],[ Rejected Ballots ]]/Table1[[#This Row],[ Votes Cast ]]</f>
        <v>1.145753767099507E-3</v>
      </c>
      <c r="V208" t="str">
        <f>IF(Table1[[#This Row],[Percent Leave]]&gt;Table1[[#This Row],[Percent Remain]],"Leave", "Remain")</f>
        <v>Remain</v>
      </c>
      <c r="W208">
        <v>51.462378999999999</v>
      </c>
      <c r="X208">
        <v>-0.37854999</v>
      </c>
      <c r="Y208" s="1">
        <f>_xlfn.XLOOKUP(Table1[[#This Row],[Area]],Table2[Area],Table2[All Residents])</f>
        <v>253957</v>
      </c>
    </row>
    <row r="209" spans="1:25" hidden="1" x14ac:dyDescent="0.45">
      <c r="A209">
        <v>208</v>
      </c>
      <c r="B209" t="s">
        <v>411</v>
      </c>
      <c r="C209" t="s">
        <v>412</v>
      </c>
      <c r="D209" t="s">
        <v>449</v>
      </c>
      <c r="E209" t="s">
        <v>450</v>
      </c>
      <c r="F209" s="1">
        <v>144514</v>
      </c>
      <c r="G209" s="1">
        <v>101739</v>
      </c>
      <c r="H209" s="1">
        <v>101726</v>
      </c>
      <c r="I209" s="5">
        <f>Table1[[#This Row],[ Verified Ballot Papers ]]/Table1[[#This Row],[ Electorate ]]</f>
        <v>0.70391795950565339</v>
      </c>
      <c r="J209" s="1">
        <v>101723</v>
      </c>
      <c r="K209" s="1">
        <v>101600</v>
      </c>
      <c r="L209" s="1">
        <v>76420</v>
      </c>
      <c r="M209" s="1">
        <v>25180</v>
      </c>
      <c r="N209">
        <v>123</v>
      </c>
      <c r="O209">
        <v>0</v>
      </c>
      <c r="P209">
        <v>47</v>
      </c>
      <c r="Q209">
        <v>2</v>
      </c>
      <c r="R209">
        <v>74</v>
      </c>
      <c r="S209" s="5">
        <f>Table1[[#This Row],[ Remain ]]/Table1[[#This Row],[ Valid Votes ]]</f>
        <v>0.75216535433070864</v>
      </c>
      <c r="T209" s="5">
        <f>Table1[[#This Row],[ Leave ]]/Table1[[#This Row],[ Valid Votes ]]</f>
        <v>0.24783464566929134</v>
      </c>
      <c r="U209" s="5">
        <f>Table1[[#This Row],[ Rejected Ballots ]]/Table1[[#This Row],[ Votes Cast ]]</f>
        <v>1.2091660686373779E-3</v>
      </c>
      <c r="V209" t="str">
        <f>IF(Table1[[#This Row],[Percent Leave]]&gt;Table1[[#This Row],[Percent Remain]],"Leave", "Remain")</f>
        <v>Remain</v>
      </c>
      <c r="W209">
        <v>51.545459999999999</v>
      </c>
      <c r="X209">
        <v>-0.10989</v>
      </c>
      <c r="Y209" s="1">
        <f>_xlfn.XLOOKUP(Table1[[#This Row],[Area]],Table2[Area],Table2[All Residents])</f>
        <v>206125</v>
      </c>
    </row>
    <row r="210" spans="1:25" hidden="1" x14ac:dyDescent="0.45">
      <c r="A210">
        <v>209</v>
      </c>
      <c r="B210" t="s">
        <v>411</v>
      </c>
      <c r="C210" t="s">
        <v>412</v>
      </c>
      <c r="D210" t="s">
        <v>451</v>
      </c>
      <c r="E210" t="s">
        <v>452</v>
      </c>
      <c r="F210" s="1">
        <v>83042</v>
      </c>
      <c r="G210" s="1">
        <v>54803</v>
      </c>
      <c r="H210" s="1">
        <v>54801</v>
      </c>
      <c r="I210" s="5">
        <f>Table1[[#This Row],[ Verified Ballot Papers ]]/Table1[[#This Row],[ Electorate ]]</f>
        <v>0.65991907709351894</v>
      </c>
      <c r="J210" s="1">
        <v>54801</v>
      </c>
      <c r="K210" s="1">
        <v>54739</v>
      </c>
      <c r="L210" s="1">
        <v>37601</v>
      </c>
      <c r="M210" s="1">
        <v>17138</v>
      </c>
      <c r="N210">
        <v>62</v>
      </c>
      <c r="O210">
        <v>0</v>
      </c>
      <c r="P210">
        <v>14</v>
      </c>
      <c r="Q210">
        <v>2</v>
      </c>
      <c r="R210">
        <v>46</v>
      </c>
      <c r="S210" s="5">
        <f>Table1[[#This Row],[ Remain ]]/Table1[[#This Row],[ Valid Votes ]]</f>
        <v>0.68691426587990279</v>
      </c>
      <c r="T210" s="5">
        <f>Table1[[#This Row],[ Leave ]]/Table1[[#This Row],[ Valid Votes ]]</f>
        <v>0.31308573412009721</v>
      </c>
      <c r="U210" s="5">
        <f>Table1[[#This Row],[ Rejected Ballots ]]/Table1[[#This Row],[ Votes Cast ]]</f>
        <v>1.1313662159449646E-3</v>
      </c>
      <c r="V210" t="str">
        <f>IF(Table1[[#This Row],[Percent Leave]]&gt;Table1[[#This Row],[Percent Remain]],"Leave", "Remain")</f>
        <v>Remain</v>
      </c>
      <c r="W210">
        <v>51.496479000000001</v>
      </c>
      <c r="X210">
        <v>-0.18976999999999999</v>
      </c>
      <c r="Y210" s="1">
        <f>_xlfn.XLOOKUP(Table1[[#This Row],[Area]],Table2[Area],Table2[All Residents])</f>
        <v>158649</v>
      </c>
    </row>
    <row r="211" spans="1:25" hidden="1" x14ac:dyDescent="0.45">
      <c r="A211">
        <v>210</v>
      </c>
      <c r="B211" t="s">
        <v>411</v>
      </c>
      <c r="C211" t="s">
        <v>412</v>
      </c>
      <c r="D211" t="s">
        <v>453</v>
      </c>
      <c r="E211" t="s">
        <v>454</v>
      </c>
      <c r="F211" s="1">
        <v>108838</v>
      </c>
      <c r="G211" s="1">
        <v>85334</v>
      </c>
      <c r="H211" s="1">
        <v>85335</v>
      </c>
      <c r="I211" s="5">
        <f>Table1[[#This Row],[ Verified Ballot Papers ]]/Table1[[#This Row],[ Electorate ]]</f>
        <v>0.78405520130836659</v>
      </c>
      <c r="J211" s="1">
        <v>85330</v>
      </c>
      <c r="K211" s="1">
        <v>85270</v>
      </c>
      <c r="L211" s="1">
        <v>52533</v>
      </c>
      <c r="M211" s="1">
        <v>32737</v>
      </c>
      <c r="N211">
        <v>60</v>
      </c>
      <c r="O211">
        <v>0</v>
      </c>
      <c r="P211">
        <v>16</v>
      </c>
      <c r="Q211">
        <v>3</v>
      </c>
      <c r="R211">
        <v>41</v>
      </c>
      <c r="S211" s="5">
        <f>Table1[[#This Row],[ Remain ]]/Table1[[#This Row],[ Valid Votes ]]</f>
        <v>0.61607833939251788</v>
      </c>
      <c r="T211" s="5">
        <f>Table1[[#This Row],[ Leave ]]/Table1[[#This Row],[ Valid Votes ]]</f>
        <v>0.38392166060748212</v>
      </c>
      <c r="U211" s="5">
        <f>Table1[[#This Row],[ Rejected Ballots ]]/Table1[[#This Row],[ Votes Cast ]]</f>
        <v>7.0315246689323801E-4</v>
      </c>
      <c r="V211" t="str">
        <f>IF(Table1[[#This Row],[Percent Leave]]&gt;Table1[[#This Row],[Percent Remain]],"Leave", "Remain")</f>
        <v>Remain</v>
      </c>
      <c r="W211">
        <v>51.392960000000002</v>
      </c>
      <c r="X211">
        <v>-0.28367000999999997</v>
      </c>
      <c r="Y211" s="1">
        <f>_xlfn.XLOOKUP(Table1[[#This Row],[Area]],Table2[Area],Table2[All Residents])</f>
        <v>160060</v>
      </c>
    </row>
    <row r="212" spans="1:25" hidden="1" x14ac:dyDescent="0.45">
      <c r="A212">
        <v>211</v>
      </c>
      <c r="B212" t="s">
        <v>411</v>
      </c>
      <c r="C212" t="s">
        <v>412</v>
      </c>
      <c r="D212" t="s">
        <v>455</v>
      </c>
      <c r="E212" t="s">
        <v>456</v>
      </c>
      <c r="F212" s="1">
        <v>210800</v>
      </c>
      <c r="G212" s="1">
        <v>142162</v>
      </c>
      <c r="H212" s="1">
        <v>142162</v>
      </c>
      <c r="I212" s="5">
        <f>Table1[[#This Row],[ Verified Ballot Papers ]]/Table1[[#This Row],[ Electorate ]]</f>
        <v>0.67439278937381408</v>
      </c>
      <c r="J212" s="1">
        <v>142162</v>
      </c>
      <c r="K212" s="1">
        <v>141924</v>
      </c>
      <c r="L212" s="1">
        <v>111584</v>
      </c>
      <c r="M212" s="1">
        <v>30340</v>
      </c>
      <c r="N212">
        <v>238</v>
      </c>
      <c r="O212">
        <v>0</v>
      </c>
      <c r="P212">
        <v>104</v>
      </c>
      <c r="Q212">
        <v>0</v>
      </c>
      <c r="R212">
        <v>134</v>
      </c>
      <c r="S212" s="5">
        <f>Table1[[#This Row],[ Remain ]]/Table1[[#This Row],[ Valid Votes ]]</f>
        <v>0.78622361263774976</v>
      </c>
      <c r="T212" s="5">
        <f>Table1[[#This Row],[ Leave ]]/Table1[[#This Row],[ Valid Votes ]]</f>
        <v>0.21377638736225021</v>
      </c>
      <c r="U212" s="5">
        <f>Table1[[#This Row],[ Rejected Ballots ]]/Table1[[#This Row],[ Votes Cast ]]</f>
        <v>1.6741463963647106E-3</v>
      </c>
      <c r="V212" t="str">
        <f>IF(Table1[[#This Row],[Percent Leave]]&gt;Table1[[#This Row],[Percent Remain]],"Leave", "Remain")</f>
        <v>Remain</v>
      </c>
      <c r="W212">
        <v>51.464450999999997</v>
      </c>
      <c r="X212">
        <v>-0.11385000000000001</v>
      </c>
      <c r="Y212" s="1">
        <f>_xlfn.XLOOKUP(Table1[[#This Row],[Area]],Table2[Area],Table2[All Residents])</f>
        <v>303086</v>
      </c>
    </row>
    <row r="213" spans="1:25" hidden="1" x14ac:dyDescent="0.45">
      <c r="A213">
        <v>212</v>
      </c>
      <c r="B213" t="s">
        <v>411</v>
      </c>
      <c r="C213" t="s">
        <v>412</v>
      </c>
      <c r="D213" t="s">
        <v>457</v>
      </c>
      <c r="E213" t="s">
        <v>458</v>
      </c>
      <c r="F213" s="1">
        <v>197514</v>
      </c>
      <c r="G213" s="1">
        <v>124634</v>
      </c>
      <c r="H213" s="1">
        <v>124622</v>
      </c>
      <c r="I213" s="5">
        <f>Table1[[#This Row],[ Verified Ballot Papers ]]/Table1[[#This Row],[ Electorate ]]</f>
        <v>0.63095274259039869</v>
      </c>
      <c r="J213" s="1">
        <v>124637</v>
      </c>
      <c r="K213" s="1">
        <v>124473</v>
      </c>
      <c r="L213" s="1">
        <v>86955</v>
      </c>
      <c r="M213" s="1">
        <v>37518</v>
      </c>
      <c r="N213">
        <v>164</v>
      </c>
      <c r="O213">
        <v>0</v>
      </c>
      <c r="P213">
        <v>61</v>
      </c>
      <c r="Q213">
        <v>1</v>
      </c>
      <c r="R213">
        <v>102</v>
      </c>
      <c r="S213" s="5">
        <f>Table1[[#This Row],[ Remain ]]/Table1[[#This Row],[ Valid Votes ]]</f>
        <v>0.69858523535224504</v>
      </c>
      <c r="T213" s="5">
        <f>Table1[[#This Row],[ Leave ]]/Table1[[#This Row],[ Valid Votes ]]</f>
        <v>0.30141476464775496</v>
      </c>
      <c r="U213" s="5">
        <f>Table1[[#This Row],[ Rejected Ballots ]]/Table1[[#This Row],[ Votes Cast ]]</f>
        <v>1.3158211446039297E-3</v>
      </c>
      <c r="V213" t="str">
        <f>IF(Table1[[#This Row],[Percent Leave]]&gt;Table1[[#This Row],[Percent Remain]],"Leave", "Remain")</f>
        <v>Remain</v>
      </c>
      <c r="W213">
        <v>51.442298999999998</v>
      </c>
      <c r="X213">
        <v>-1.7340001000000001E-2</v>
      </c>
      <c r="Y213" s="1">
        <f>_xlfn.XLOOKUP(Table1[[#This Row],[Area]],Table2[Area],Table2[All Residents])</f>
        <v>275885</v>
      </c>
    </row>
    <row r="214" spans="1:25" hidden="1" x14ac:dyDescent="0.45">
      <c r="A214">
        <v>213</v>
      </c>
      <c r="B214" t="s">
        <v>411</v>
      </c>
      <c r="C214" t="s">
        <v>412</v>
      </c>
      <c r="D214" t="s">
        <v>459</v>
      </c>
      <c r="E214" t="s">
        <v>460</v>
      </c>
      <c r="F214" s="1">
        <v>136352</v>
      </c>
      <c r="G214" s="1">
        <v>100215</v>
      </c>
      <c r="H214" s="1">
        <v>100207</v>
      </c>
      <c r="I214" s="5">
        <f>Table1[[#This Row],[ Verified Ballot Papers ]]/Table1[[#This Row],[ Electorate ]]</f>
        <v>0.73491404599859189</v>
      </c>
      <c r="J214" s="1">
        <v>100207</v>
      </c>
      <c r="K214" s="1">
        <v>100100</v>
      </c>
      <c r="L214" s="1">
        <v>63003</v>
      </c>
      <c r="M214" s="1">
        <v>37097</v>
      </c>
      <c r="N214">
        <v>107</v>
      </c>
      <c r="O214">
        <v>0</v>
      </c>
      <c r="P214">
        <v>45</v>
      </c>
      <c r="Q214">
        <v>0</v>
      </c>
      <c r="R214">
        <v>62</v>
      </c>
      <c r="S214" s="5">
        <f>Table1[[#This Row],[ Remain ]]/Table1[[#This Row],[ Valid Votes ]]</f>
        <v>0.62940059940059945</v>
      </c>
      <c r="T214" s="5">
        <f>Table1[[#This Row],[ Leave ]]/Table1[[#This Row],[ Valid Votes ]]</f>
        <v>0.37059940059940061</v>
      </c>
      <c r="U214" s="5">
        <f>Table1[[#This Row],[ Rejected Ballots ]]/Table1[[#This Row],[ Votes Cast ]]</f>
        <v>1.0677896753719801E-3</v>
      </c>
      <c r="V214" t="str">
        <f>IF(Table1[[#This Row],[Percent Leave]]&gt;Table1[[#This Row],[Percent Remain]],"Leave", "Remain")</f>
        <v>Remain</v>
      </c>
      <c r="W214">
        <v>51.410580000000003</v>
      </c>
      <c r="X214">
        <v>-0.18867998999999999</v>
      </c>
      <c r="Y214" s="1">
        <f>_xlfn.XLOOKUP(Table1[[#This Row],[Area]],Table2[Area],Table2[All Residents])</f>
        <v>199693</v>
      </c>
    </row>
    <row r="215" spans="1:25" hidden="1" x14ac:dyDescent="0.45">
      <c r="A215">
        <v>214</v>
      </c>
      <c r="B215" t="s">
        <v>411</v>
      </c>
      <c r="C215" t="s">
        <v>412</v>
      </c>
      <c r="D215" t="s">
        <v>461</v>
      </c>
      <c r="E215" t="s">
        <v>462</v>
      </c>
      <c r="F215" s="1">
        <v>176985</v>
      </c>
      <c r="G215" s="1">
        <v>104869</v>
      </c>
      <c r="H215" s="1">
        <v>104861</v>
      </c>
      <c r="I215" s="5">
        <f>Table1[[#This Row],[ Verified Ballot Papers ]]/Table1[[#This Row],[ Electorate ]]</f>
        <v>0.59248523886205051</v>
      </c>
      <c r="J215" s="1">
        <v>104864</v>
      </c>
      <c r="K215" s="1">
        <v>104699</v>
      </c>
      <c r="L215" s="1">
        <v>55328</v>
      </c>
      <c r="M215" s="1">
        <v>49371</v>
      </c>
      <c r="N215">
        <v>165</v>
      </c>
      <c r="O215">
        <v>9</v>
      </c>
      <c r="P215">
        <v>87</v>
      </c>
      <c r="Q215">
        <v>0</v>
      </c>
      <c r="R215">
        <v>69</v>
      </c>
      <c r="S215" s="5">
        <f>Table1[[#This Row],[ Remain ]]/Table1[[#This Row],[ Valid Votes ]]</f>
        <v>0.52844821822557997</v>
      </c>
      <c r="T215" s="5">
        <f>Table1[[#This Row],[ Leave ]]/Table1[[#This Row],[ Valid Votes ]]</f>
        <v>0.47155178177442003</v>
      </c>
      <c r="U215" s="5">
        <f>Table1[[#This Row],[ Rejected Ballots ]]/Table1[[#This Row],[ Votes Cast ]]</f>
        <v>1.5734665852914251E-3</v>
      </c>
      <c r="V215" t="str">
        <f>IF(Table1[[#This Row],[Percent Leave]]&gt;Table1[[#This Row],[Percent Remain]],"Leave", "Remain")</f>
        <v>Remain</v>
      </c>
      <c r="W215">
        <v>51.531489999999998</v>
      </c>
      <c r="X215">
        <v>2.7261000000000001E-2</v>
      </c>
      <c r="Y215" s="1">
        <f>_xlfn.XLOOKUP(Table1[[#This Row],[Area]],Table2[Area],Table2[All Residents])</f>
        <v>307984</v>
      </c>
    </row>
    <row r="216" spans="1:25" hidden="1" x14ac:dyDescent="0.45">
      <c r="A216">
        <v>215</v>
      </c>
      <c r="B216" t="s">
        <v>411</v>
      </c>
      <c r="C216" t="s">
        <v>412</v>
      </c>
      <c r="D216" t="s">
        <v>463</v>
      </c>
      <c r="E216" t="s">
        <v>464</v>
      </c>
      <c r="F216" s="1">
        <v>189843</v>
      </c>
      <c r="G216" s="1">
        <v>128439</v>
      </c>
      <c r="H216" s="1">
        <v>128423</v>
      </c>
      <c r="I216" s="5">
        <f>Table1[[#This Row],[ Verified Ballot Papers ]]/Table1[[#This Row],[ Electorate ]]</f>
        <v>0.67646950374783377</v>
      </c>
      <c r="J216" s="1">
        <v>128397</v>
      </c>
      <c r="K216" s="1">
        <v>128233</v>
      </c>
      <c r="L216" s="1">
        <v>69213</v>
      </c>
      <c r="M216" s="1">
        <v>59020</v>
      </c>
      <c r="N216">
        <v>164</v>
      </c>
      <c r="O216">
        <v>0</v>
      </c>
      <c r="P216">
        <v>78</v>
      </c>
      <c r="Q216">
        <v>3</v>
      </c>
      <c r="R216">
        <v>83</v>
      </c>
      <c r="S216" s="5">
        <f>Table1[[#This Row],[ Remain ]]/Table1[[#This Row],[ Valid Votes ]]</f>
        <v>0.5397440596414339</v>
      </c>
      <c r="T216" s="5">
        <f>Table1[[#This Row],[ Leave ]]/Table1[[#This Row],[ Valid Votes ]]</f>
        <v>0.46025594035856604</v>
      </c>
      <c r="U216" s="5">
        <f>Table1[[#This Row],[ Rejected Ballots ]]/Table1[[#This Row],[ Votes Cast ]]</f>
        <v>1.2772884101653465E-3</v>
      </c>
      <c r="V216" t="str">
        <f>IF(Table1[[#This Row],[Percent Leave]]&gt;Table1[[#This Row],[Percent Remain]],"Leave", "Remain")</f>
        <v>Remain</v>
      </c>
      <c r="W216">
        <v>51.585880000000003</v>
      </c>
      <c r="X216">
        <v>7.0084996999999996E-2</v>
      </c>
      <c r="Y216" s="1">
        <f>_xlfn.XLOOKUP(Table1[[#This Row],[Area]],Table2[Area],Table2[All Residents])</f>
        <v>278970</v>
      </c>
    </row>
    <row r="217" spans="1:25" hidden="1" x14ac:dyDescent="0.45">
      <c r="A217">
        <v>216</v>
      </c>
      <c r="B217" t="s">
        <v>411</v>
      </c>
      <c r="C217" t="s">
        <v>412</v>
      </c>
      <c r="D217" t="s">
        <v>465</v>
      </c>
      <c r="E217" t="s">
        <v>466</v>
      </c>
      <c r="F217" s="1">
        <v>132632</v>
      </c>
      <c r="G217" s="1">
        <v>108892</v>
      </c>
      <c r="H217" s="1">
        <v>108888</v>
      </c>
      <c r="I217" s="5">
        <f>Table1[[#This Row],[ Verified Ballot Papers ]]/Table1[[#This Row],[ Electorate ]]</f>
        <v>0.82097834610048859</v>
      </c>
      <c r="J217" s="1">
        <v>108876</v>
      </c>
      <c r="K217" s="1">
        <v>108806</v>
      </c>
      <c r="L217" s="1">
        <v>75396</v>
      </c>
      <c r="M217" s="1">
        <v>33410</v>
      </c>
      <c r="N217">
        <v>70</v>
      </c>
      <c r="O217">
        <v>0</v>
      </c>
      <c r="P217">
        <v>26</v>
      </c>
      <c r="Q217">
        <v>2</v>
      </c>
      <c r="R217">
        <v>42</v>
      </c>
      <c r="S217" s="5">
        <f>Table1[[#This Row],[ Remain ]]/Table1[[#This Row],[ Valid Votes ]]</f>
        <v>0.69293972758855216</v>
      </c>
      <c r="T217" s="5">
        <f>Table1[[#This Row],[ Leave ]]/Table1[[#This Row],[ Valid Votes ]]</f>
        <v>0.3070602724114479</v>
      </c>
      <c r="U217" s="5">
        <f>Table1[[#This Row],[ Rejected Ballots ]]/Table1[[#This Row],[ Votes Cast ]]</f>
        <v>6.4293324515963114E-4</v>
      </c>
      <c r="V217" t="str">
        <f>IF(Table1[[#This Row],[Percent Leave]]&gt;Table1[[#This Row],[Percent Remain]],"Leave", "Remain")</f>
        <v>Remain</v>
      </c>
      <c r="W217">
        <v>51.440350000000002</v>
      </c>
      <c r="X217">
        <v>-0.28913999000000001</v>
      </c>
      <c r="Y217" s="1">
        <f>_xlfn.XLOOKUP(Table1[[#This Row],[Area]],Table2[Area],Table2[All Residents])</f>
        <v>186990</v>
      </c>
    </row>
    <row r="218" spans="1:25" hidden="1" x14ac:dyDescent="0.45">
      <c r="A218">
        <v>217</v>
      </c>
      <c r="B218" t="s">
        <v>411</v>
      </c>
      <c r="C218" t="s">
        <v>412</v>
      </c>
      <c r="D218" t="s">
        <v>467</v>
      </c>
      <c r="E218" t="s">
        <v>468</v>
      </c>
      <c r="F218" s="1">
        <v>195875</v>
      </c>
      <c r="G218" s="1">
        <v>129688</v>
      </c>
      <c r="H218" s="1">
        <v>129680</v>
      </c>
      <c r="I218" s="5">
        <f>Table1[[#This Row],[ Verified Ballot Papers ]]/Table1[[#This Row],[ Electorate ]]</f>
        <v>0.66205488194001272</v>
      </c>
      <c r="J218" s="1">
        <v>129677</v>
      </c>
      <c r="K218" s="1">
        <v>129502</v>
      </c>
      <c r="L218" s="1">
        <v>94293</v>
      </c>
      <c r="M218" s="1">
        <v>35209</v>
      </c>
      <c r="N218">
        <v>175</v>
      </c>
      <c r="O218">
        <v>0</v>
      </c>
      <c r="P218">
        <v>60</v>
      </c>
      <c r="Q218">
        <v>5</v>
      </c>
      <c r="R218">
        <v>110</v>
      </c>
      <c r="S218" s="5">
        <f>Table1[[#This Row],[ Remain ]]/Table1[[#This Row],[ Valid Votes ]]</f>
        <v>0.72812002903430062</v>
      </c>
      <c r="T218" s="5">
        <f>Table1[[#This Row],[ Leave ]]/Table1[[#This Row],[ Valid Votes ]]</f>
        <v>0.27187997096569938</v>
      </c>
      <c r="U218" s="5">
        <f>Table1[[#This Row],[ Rejected Ballots ]]/Table1[[#This Row],[ Votes Cast ]]</f>
        <v>1.3495068516390725E-3</v>
      </c>
      <c r="V218" t="str">
        <f>IF(Table1[[#This Row],[Percent Leave]]&gt;Table1[[#This Row],[Percent Remain]],"Leave", "Remain")</f>
        <v>Remain</v>
      </c>
      <c r="W218">
        <v>51.465938999999999</v>
      </c>
      <c r="X218">
        <v>-7.3080003000000004E-2</v>
      </c>
      <c r="Y218" s="1">
        <f>_xlfn.XLOOKUP(Table1[[#This Row],[Area]],Table2[Area],Table2[All Residents])</f>
        <v>288283</v>
      </c>
    </row>
    <row r="219" spans="1:25" hidden="1" x14ac:dyDescent="0.45">
      <c r="A219">
        <v>218</v>
      </c>
      <c r="B219" t="s">
        <v>411</v>
      </c>
      <c r="C219" t="s">
        <v>412</v>
      </c>
      <c r="D219" t="s">
        <v>469</v>
      </c>
      <c r="E219" t="s">
        <v>470</v>
      </c>
      <c r="F219" s="1">
        <v>140288</v>
      </c>
      <c r="G219" s="1">
        <v>106633</v>
      </c>
      <c r="H219" s="1">
        <v>106630</v>
      </c>
      <c r="I219" s="5">
        <f>Table1[[#This Row],[ Verified Ballot Papers ]]/Table1[[#This Row],[ Electorate ]]</f>
        <v>0.76007926551094895</v>
      </c>
      <c r="J219" s="1">
        <v>106633</v>
      </c>
      <c r="K219" s="1">
        <v>106560</v>
      </c>
      <c r="L219" s="1">
        <v>49319</v>
      </c>
      <c r="M219" s="1">
        <v>57241</v>
      </c>
      <c r="N219">
        <v>73</v>
      </c>
      <c r="O219">
        <v>0</v>
      </c>
      <c r="P219">
        <v>25</v>
      </c>
      <c r="Q219">
        <v>7</v>
      </c>
      <c r="R219">
        <v>41</v>
      </c>
      <c r="S219" s="5">
        <f>Table1[[#This Row],[ Remain ]]/Table1[[#This Row],[ Valid Votes ]]</f>
        <v>0.46282845345345347</v>
      </c>
      <c r="T219" s="5">
        <f>Table1[[#This Row],[ Leave ]]/Table1[[#This Row],[ Valid Votes ]]</f>
        <v>0.53717154654654653</v>
      </c>
      <c r="U219" s="5">
        <f>Table1[[#This Row],[ Rejected Ballots ]]/Table1[[#This Row],[ Votes Cast ]]</f>
        <v>6.8459107405774943E-4</v>
      </c>
      <c r="V219" t="str">
        <f>IF(Table1[[#This Row],[Percent Leave]]&gt;Table1[[#This Row],[Percent Remain]],"Leave", "Remain")</f>
        <v>Leave</v>
      </c>
      <c r="W219">
        <v>51.357551999999998</v>
      </c>
      <c r="X219">
        <v>-0.17226</v>
      </c>
      <c r="Y219" s="1">
        <f>_xlfn.XLOOKUP(Table1[[#This Row],[Area]],Table2[Area],Table2[All Residents])</f>
        <v>190146</v>
      </c>
    </row>
    <row r="220" spans="1:25" hidden="1" x14ac:dyDescent="0.45">
      <c r="A220">
        <v>219</v>
      </c>
      <c r="B220" t="s">
        <v>411</v>
      </c>
      <c r="C220" t="s">
        <v>412</v>
      </c>
      <c r="D220" t="s">
        <v>471</v>
      </c>
      <c r="E220" t="s">
        <v>472</v>
      </c>
      <c r="F220" s="1">
        <v>167820</v>
      </c>
      <c r="G220" s="1">
        <v>108421</v>
      </c>
      <c r="H220" s="1">
        <v>108403</v>
      </c>
      <c r="I220" s="5">
        <f>Table1[[#This Row],[ Verified Ballot Papers ]]/Table1[[#This Row],[ Electorate ]]</f>
        <v>0.64594803956620184</v>
      </c>
      <c r="J220" s="1">
        <v>108420</v>
      </c>
      <c r="K220" s="1">
        <v>108235</v>
      </c>
      <c r="L220" s="1">
        <v>73011</v>
      </c>
      <c r="M220" s="1">
        <v>35224</v>
      </c>
      <c r="N220">
        <v>185</v>
      </c>
      <c r="O220">
        <v>0</v>
      </c>
      <c r="P220">
        <v>105</v>
      </c>
      <c r="Q220">
        <v>6</v>
      </c>
      <c r="R220">
        <v>74</v>
      </c>
      <c r="S220" s="5">
        <f>Table1[[#This Row],[ Remain ]]/Table1[[#This Row],[ Valid Votes ]]</f>
        <v>0.67455998521735117</v>
      </c>
      <c r="T220" s="5">
        <f>Table1[[#This Row],[ Leave ]]/Table1[[#This Row],[ Valid Votes ]]</f>
        <v>0.32544001478264889</v>
      </c>
      <c r="U220" s="5">
        <f>Table1[[#This Row],[ Rejected Ballots ]]/Table1[[#This Row],[ Votes Cast ]]</f>
        <v>1.7063272458955913E-3</v>
      </c>
      <c r="V220" t="str">
        <f>IF(Table1[[#This Row],[Percent Leave]]&gt;Table1[[#This Row],[Percent Remain]],"Leave", "Remain")</f>
        <v>Remain</v>
      </c>
      <c r="W220">
        <v>51.515540999999999</v>
      </c>
      <c r="X220">
        <v>-3.6470000000000002E-2</v>
      </c>
      <c r="Y220" s="1">
        <f>_xlfn.XLOOKUP(Table1[[#This Row],[Area]],Table2[Area],Table2[All Residents])</f>
        <v>254096</v>
      </c>
    </row>
    <row r="221" spans="1:25" hidden="1" x14ac:dyDescent="0.45">
      <c r="A221">
        <v>220</v>
      </c>
      <c r="B221" t="s">
        <v>411</v>
      </c>
      <c r="C221" t="s">
        <v>412</v>
      </c>
      <c r="D221" t="s">
        <v>473</v>
      </c>
      <c r="E221" t="s">
        <v>474</v>
      </c>
      <c r="F221" s="1">
        <v>162983</v>
      </c>
      <c r="G221" s="1">
        <v>108695</v>
      </c>
      <c r="H221" s="1">
        <v>108689</v>
      </c>
      <c r="I221" s="5">
        <f>Table1[[#This Row],[ Verified Ballot Papers ]]/Table1[[#This Row],[ Electorate ]]</f>
        <v>0.66687323217758909</v>
      </c>
      <c r="J221" s="1">
        <v>108689</v>
      </c>
      <c r="K221" s="1">
        <v>108551</v>
      </c>
      <c r="L221" s="1">
        <v>64156</v>
      </c>
      <c r="M221" s="1">
        <v>44395</v>
      </c>
      <c r="N221">
        <v>138</v>
      </c>
      <c r="O221">
        <v>4</v>
      </c>
      <c r="P221">
        <v>44</v>
      </c>
      <c r="Q221">
        <v>9</v>
      </c>
      <c r="R221">
        <v>81</v>
      </c>
      <c r="S221" s="5">
        <f>Table1[[#This Row],[ Remain ]]/Table1[[#This Row],[ Valid Votes ]]</f>
        <v>0.59102173172057371</v>
      </c>
      <c r="T221" s="5">
        <f>Table1[[#This Row],[ Leave ]]/Table1[[#This Row],[ Valid Votes ]]</f>
        <v>0.40897826827942624</v>
      </c>
      <c r="U221" s="5">
        <f>Table1[[#This Row],[ Rejected Ballots ]]/Table1[[#This Row],[ Votes Cast ]]</f>
        <v>1.2696777042755017E-3</v>
      </c>
      <c r="V221" t="str">
        <f>IF(Table1[[#This Row],[Percent Leave]]&gt;Table1[[#This Row],[Percent Remain]],"Leave", "Remain")</f>
        <v>Remain</v>
      </c>
      <c r="W221">
        <v>51.594608000000001</v>
      </c>
      <c r="X221">
        <v>-1.8800000000000001E-2</v>
      </c>
      <c r="Y221" s="1">
        <f>_xlfn.XLOOKUP(Table1[[#This Row],[Area]],Table2[Area],Table2[All Residents])</f>
        <v>258249</v>
      </c>
    </row>
    <row r="222" spans="1:25" hidden="1" x14ac:dyDescent="0.45">
      <c r="A222">
        <v>221</v>
      </c>
      <c r="B222" t="s">
        <v>411</v>
      </c>
      <c r="C222" t="s">
        <v>412</v>
      </c>
      <c r="D222" t="s">
        <v>475</v>
      </c>
      <c r="E222" t="s">
        <v>476</v>
      </c>
      <c r="F222" s="1">
        <v>219521</v>
      </c>
      <c r="G222" s="1">
        <v>158018</v>
      </c>
      <c r="H222" s="1">
        <v>158018</v>
      </c>
      <c r="I222" s="5">
        <f>Table1[[#This Row],[ Verified Ballot Papers ]]/Table1[[#This Row],[ Electorate ]]</f>
        <v>0.71983090456038379</v>
      </c>
      <c r="J222" s="1">
        <v>158018</v>
      </c>
      <c r="K222" s="1">
        <v>157884</v>
      </c>
      <c r="L222" s="1">
        <v>118463</v>
      </c>
      <c r="M222" s="1">
        <v>39421</v>
      </c>
      <c r="N222">
        <v>134</v>
      </c>
      <c r="O222">
        <v>0</v>
      </c>
      <c r="P222">
        <v>55</v>
      </c>
      <c r="Q222">
        <v>0</v>
      </c>
      <c r="R222">
        <v>79</v>
      </c>
      <c r="S222" s="5">
        <f>Table1[[#This Row],[ Remain ]]/Table1[[#This Row],[ Valid Votes ]]</f>
        <v>0.75031668820146435</v>
      </c>
      <c r="T222" s="5">
        <f>Table1[[#This Row],[ Leave ]]/Table1[[#This Row],[ Valid Votes ]]</f>
        <v>0.24968331179853565</v>
      </c>
      <c r="U222" s="5">
        <f>Table1[[#This Row],[ Rejected Ballots ]]/Table1[[#This Row],[ Votes Cast ]]</f>
        <v>8.4800465769722434E-4</v>
      </c>
      <c r="V222" t="str">
        <f>IF(Table1[[#This Row],[Percent Leave]]&gt;Table1[[#This Row],[Percent Remain]],"Leave", "Remain")</f>
        <v>Remain</v>
      </c>
      <c r="W222">
        <v>51.452399999999997</v>
      </c>
      <c r="X222">
        <v>-0.20021000999999999</v>
      </c>
      <c r="Y222" s="1">
        <f>_xlfn.XLOOKUP(Table1[[#This Row],[Area]],Table2[Area],Table2[All Residents])</f>
        <v>306995</v>
      </c>
    </row>
    <row r="223" spans="1:25" hidden="1" x14ac:dyDescent="0.45">
      <c r="A223">
        <v>222</v>
      </c>
      <c r="B223" t="s">
        <v>411</v>
      </c>
      <c r="C223" t="s">
        <v>412</v>
      </c>
      <c r="D223" t="s">
        <v>477</v>
      </c>
      <c r="E223" t="s">
        <v>478</v>
      </c>
      <c r="F223" s="1">
        <v>120524</v>
      </c>
      <c r="G223" s="1">
        <v>78325</v>
      </c>
      <c r="H223" s="1">
        <v>78325</v>
      </c>
      <c r="I223" s="5">
        <f>Table1[[#This Row],[ Verified Ballot Papers ]]/Table1[[#This Row],[ Electorate ]]</f>
        <v>0.64987056519863262</v>
      </c>
      <c r="J223" s="1">
        <v>78325</v>
      </c>
      <c r="K223" s="1">
        <v>78196</v>
      </c>
      <c r="L223" s="1">
        <v>53928</v>
      </c>
      <c r="M223" s="1">
        <v>24268</v>
      </c>
      <c r="N223">
        <v>129</v>
      </c>
      <c r="O223">
        <v>0</v>
      </c>
      <c r="P223">
        <v>47</v>
      </c>
      <c r="Q223">
        <v>1</v>
      </c>
      <c r="R223">
        <v>81</v>
      </c>
      <c r="S223" s="5">
        <f>Table1[[#This Row],[ Remain ]]/Table1[[#This Row],[ Valid Votes ]]</f>
        <v>0.68965164458540074</v>
      </c>
      <c r="T223" s="5">
        <f>Table1[[#This Row],[ Leave ]]/Table1[[#This Row],[ Valid Votes ]]</f>
        <v>0.31034835541459921</v>
      </c>
      <c r="U223" s="5">
        <f>Table1[[#This Row],[ Rejected Ballots ]]/Table1[[#This Row],[ Votes Cast ]]</f>
        <v>1.6469837216725183E-3</v>
      </c>
      <c r="V223" t="str">
        <f>IF(Table1[[#This Row],[Percent Leave]]&gt;Table1[[#This Row],[Percent Remain]],"Leave", "Remain")</f>
        <v>Remain</v>
      </c>
      <c r="W223">
        <v>51.512211000000001</v>
      </c>
      <c r="X223">
        <v>-0.15295</v>
      </c>
      <c r="Y223" s="1">
        <f>_xlfn.XLOOKUP(Table1[[#This Row],[Area]],Table2[Area],Table2[All Residents])</f>
        <v>219396</v>
      </c>
    </row>
    <row r="224" spans="1:25" hidden="1" x14ac:dyDescent="0.45">
      <c r="A224">
        <v>223</v>
      </c>
      <c r="B224" t="s">
        <v>479</v>
      </c>
      <c r="C224" t="s">
        <v>480</v>
      </c>
      <c r="D224" t="s">
        <v>481</v>
      </c>
      <c r="E224" t="s">
        <v>482</v>
      </c>
      <c r="F224" s="1">
        <v>192524</v>
      </c>
      <c r="G224" s="1">
        <v>138975</v>
      </c>
      <c r="H224" s="1">
        <v>138975</v>
      </c>
      <c r="I224" s="5">
        <f>Table1[[#This Row],[ Verified Ballot Papers ]]/Table1[[#This Row],[ Electorate ]]</f>
        <v>0.7218580540607924</v>
      </c>
      <c r="J224" s="1">
        <v>138973</v>
      </c>
      <c r="K224" s="1">
        <v>138886</v>
      </c>
      <c r="L224" s="1">
        <v>49889</v>
      </c>
      <c r="M224" s="1">
        <v>88997</v>
      </c>
      <c r="N224">
        <v>87</v>
      </c>
      <c r="O224">
        <v>0</v>
      </c>
      <c r="P224">
        <v>27</v>
      </c>
      <c r="Q224">
        <v>9</v>
      </c>
      <c r="R224">
        <v>51</v>
      </c>
      <c r="S224" s="5">
        <f>Table1[[#This Row],[ Remain ]]/Table1[[#This Row],[ Valid Votes ]]</f>
        <v>0.35920827153204787</v>
      </c>
      <c r="T224" s="5">
        <f>Table1[[#This Row],[ Leave ]]/Table1[[#This Row],[ Valid Votes ]]</f>
        <v>0.64079172846795218</v>
      </c>
      <c r="U224" s="5">
        <f>Table1[[#This Row],[ Rejected Ballots ]]/Table1[[#This Row],[ Votes Cast ]]</f>
        <v>6.2602088175400979E-4</v>
      </c>
      <c r="V224" t="str">
        <f>IF(Table1[[#This Row],[Percent Leave]]&gt;Table1[[#This Row],[Percent Remain]],"Leave", "Remain")</f>
        <v>Leave</v>
      </c>
      <c r="W224">
        <v>51.447719999999997</v>
      </c>
      <c r="X224">
        <v>0.56317401</v>
      </c>
      <c r="Y224" s="1">
        <f>_xlfn.XLOOKUP(Table1[[#This Row],[Area]],Table2[Area],Table2[All Residents])</f>
        <v>263925</v>
      </c>
    </row>
    <row r="225" spans="1:25" hidden="1" x14ac:dyDescent="0.45">
      <c r="A225">
        <v>224</v>
      </c>
      <c r="B225" t="s">
        <v>479</v>
      </c>
      <c r="C225" t="s">
        <v>480</v>
      </c>
      <c r="D225" t="s">
        <v>483</v>
      </c>
      <c r="E225" t="s">
        <v>484</v>
      </c>
      <c r="F225" s="1">
        <v>85298</v>
      </c>
      <c r="G225" s="1">
        <v>64928</v>
      </c>
      <c r="H225" s="1">
        <v>64922</v>
      </c>
      <c r="I225" s="5">
        <f>Table1[[#This Row],[ Verified Ballot Papers ]]/Table1[[#This Row],[ Electorate ]]</f>
        <v>0.76111983868320476</v>
      </c>
      <c r="J225" s="1">
        <v>64922</v>
      </c>
      <c r="K225" s="1">
        <v>64890</v>
      </c>
      <c r="L225" s="1">
        <v>29888</v>
      </c>
      <c r="M225" s="1">
        <v>35002</v>
      </c>
      <c r="N225">
        <v>32</v>
      </c>
      <c r="O225">
        <v>0</v>
      </c>
      <c r="P225">
        <v>10</v>
      </c>
      <c r="Q225">
        <v>0</v>
      </c>
      <c r="R225">
        <v>22</v>
      </c>
      <c r="S225" s="5">
        <f>Table1[[#This Row],[ Remain ]]/Table1[[#This Row],[ Valid Votes ]]</f>
        <v>0.46059485282786256</v>
      </c>
      <c r="T225" s="5">
        <f>Table1[[#This Row],[ Leave ]]/Table1[[#This Row],[ Valid Votes ]]</f>
        <v>0.5394051471721375</v>
      </c>
      <c r="U225" s="5">
        <f>Table1[[#This Row],[ Rejected Ballots ]]/Table1[[#This Row],[ Votes Cast ]]</f>
        <v>4.9289917131326824E-4</v>
      </c>
      <c r="V225" t="str">
        <f>IF(Table1[[#This Row],[Percent Leave]]&gt;Table1[[#This Row],[Percent Remain]],"Leave", "Remain")</f>
        <v>Leave</v>
      </c>
      <c r="W225">
        <v>51.411301000000002</v>
      </c>
      <c r="X225">
        <v>-0.73363</v>
      </c>
      <c r="Y225" s="1">
        <f>_xlfn.XLOOKUP(Table1[[#This Row],[Area]],Table2[Area],Table2[All Residents])</f>
        <v>113205</v>
      </c>
    </row>
    <row r="226" spans="1:25" hidden="1" x14ac:dyDescent="0.45">
      <c r="A226">
        <v>225</v>
      </c>
      <c r="B226" t="s">
        <v>479</v>
      </c>
      <c r="C226" t="s">
        <v>480</v>
      </c>
      <c r="D226" t="s">
        <v>485</v>
      </c>
      <c r="E226" t="s">
        <v>486</v>
      </c>
      <c r="F226" s="1">
        <v>116757</v>
      </c>
      <c r="G226" s="1">
        <v>93347</v>
      </c>
      <c r="H226" s="1">
        <v>93345</v>
      </c>
      <c r="I226" s="5">
        <f>Table1[[#This Row],[ Verified Ballot Papers ]]/Table1[[#This Row],[ Electorate ]]</f>
        <v>0.79948097330352785</v>
      </c>
      <c r="J226" s="1">
        <v>93345</v>
      </c>
      <c r="K226" s="1">
        <v>93277</v>
      </c>
      <c r="L226" s="1">
        <v>48300</v>
      </c>
      <c r="M226" s="1">
        <v>44977</v>
      </c>
      <c r="N226">
        <v>68</v>
      </c>
      <c r="O226">
        <v>0</v>
      </c>
      <c r="P226">
        <v>27</v>
      </c>
      <c r="Q226">
        <v>4</v>
      </c>
      <c r="R226">
        <v>37</v>
      </c>
      <c r="S226" s="5">
        <f>Table1[[#This Row],[ Remain ]]/Table1[[#This Row],[ Valid Votes ]]</f>
        <v>0.51781253685260031</v>
      </c>
      <c r="T226" s="5">
        <f>Table1[[#This Row],[ Leave ]]/Table1[[#This Row],[ Valid Votes ]]</f>
        <v>0.48218746314739969</v>
      </c>
      <c r="U226" s="5">
        <f>Table1[[#This Row],[ Rejected Ballots ]]/Table1[[#This Row],[ Votes Cast ]]</f>
        <v>7.2848036852536289E-4</v>
      </c>
      <c r="V226" t="str">
        <f>IF(Table1[[#This Row],[Percent Leave]]&gt;Table1[[#This Row],[Percent Remain]],"Leave", "Remain")</f>
        <v>Remain</v>
      </c>
      <c r="W226">
        <v>51.445591</v>
      </c>
      <c r="X226">
        <v>-1.2736400000000001</v>
      </c>
      <c r="Y226" s="1">
        <f>_xlfn.XLOOKUP(Table1[[#This Row],[Area]],Table2[Area],Table2[All Residents])</f>
        <v>153822</v>
      </c>
    </row>
    <row r="227" spans="1:25" hidden="1" x14ac:dyDescent="0.45">
      <c r="A227">
        <v>226</v>
      </c>
      <c r="B227" t="s">
        <v>479</v>
      </c>
      <c r="C227" t="s">
        <v>480</v>
      </c>
      <c r="D227" t="s">
        <v>487</v>
      </c>
      <c r="E227" t="s">
        <v>488</v>
      </c>
      <c r="F227" s="1">
        <v>103172</v>
      </c>
      <c r="G227" s="1">
        <v>74832</v>
      </c>
      <c r="H227" s="1">
        <v>74825</v>
      </c>
      <c r="I227" s="5">
        <f>Table1[[#This Row],[ Verified Ballot Papers ]]/Table1[[#This Row],[ Electorate ]]</f>
        <v>0.72524522157174431</v>
      </c>
      <c r="J227" s="1">
        <v>74826</v>
      </c>
      <c r="K227" s="1">
        <v>74767</v>
      </c>
      <c r="L227" s="1">
        <v>43385</v>
      </c>
      <c r="M227" s="1">
        <v>31382</v>
      </c>
      <c r="N227">
        <v>59</v>
      </c>
      <c r="O227">
        <v>0</v>
      </c>
      <c r="P227">
        <v>32</v>
      </c>
      <c r="Q227">
        <v>0</v>
      </c>
      <c r="R227">
        <v>27</v>
      </c>
      <c r="S227" s="5">
        <f>Table1[[#This Row],[ Remain ]]/Table1[[#This Row],[ Valid Votes ]]</f>
        <v>0.58026937017668223</v>
      </c>
      <c r="T227" s="5">
        <f>Table1[[#This Row],[ Leave ]]/Table1[[#This Row],[ Valid Votes ]]</f>
        <v>0.41973062982331777</v>
      </c>
      <c r="U227" s="5">
        <f>Table1[[#This Row],[ Rejected Ballots ]]/Table1[[#This Row],[ Votes Cast ]]</f>
        <v>7.8849597733408178E-4</v>
      </c>
      <c r="V227" t="str">
        <f>IF(Table1[[#This Row],[Percent Leave]]&gt;Table1[[#This Row],[Percent Remain]],"Leave", "Remain")</f>
        <v>Remain</v>
      </c>
      <c r="W227">
        <v>51.453018</v>
      </c>
      <c r="X227">
        <v>-0.99071001999999997</v>
      </c>
      <c r="Y227" s="1">
        <f>_xlfn.XLOOKUP(Table1[[#This Row],[Area]],Table2[Area],Table2[All Residents])</f>
        <v>155698</v>
      </c>
    </row>
    <row r="228" spans="1:25" hidden="1" x14ac:dyDescent="0.45">
      <c r="A228">
        <v>227</v>
      </c>
      <c r="B228" t="s">
        <v>479</v>
      </c>
      <c r="C228" t="s">
        <v>480</v>
      </c>
      <c r="D228" t="s">
        <v>489</v>
      </c>
      <c r="E228" t="s">
        <v>490</v>
      </c>
      <c r="F228" s="1">
        <v>87873</v>
      </c>
      <c r="G228" s="1">
        <v>54605</v>
      </c>
      <c r="H228" s="1">
        <v>54604</v>
      </c>
      <c r="I228" s="5">
        <f>Table1[[#This Row],[ Verified Ballot Papers ]]/Table1[[#This Row],[ Electorate ]]</f>
        <v>0.62139678854710778</v>
      </c>
      <c r="J228" s="1">
        <v>54598</v>
      </c>
      <c r="K228" s="1">
        <v>54542</v>
      </c>
      <c r="L228" s="1">
        <v>24911</v>
      </c>
      <c r="M228" s="1">
        <v>29631</v>
      </c>
      <c r="N228">
        <v>56</v>
      </c>
      <c r="O228">
        <v>1</v>
      </c>
      <c r="P228">
        <v>32</v>
      </c>
      <c r="Q228">
        <v>2</v>
      </c>
      <c r="R228">
        <v>21</v>
      </c>
      <c r="S228" s="5">
        <f>Table1[[#This Row],[ Remain ]]/Table1[[#This Row],[ Valid Votes ]]</f>
        <v>0.45673059293755269</v>
      </c>
      <c r="T228" s="5">
        <f>Table1[[#This Row],[ Leave ]]/Table1[[#This Row],[ Valid Votes ]]</f>
        <v>0.54326940706244731</v>
      </c>
      <c r="U228" s="5">
        <f>Table1[[#This Row],[ Rejected Ballots ]]/Table1[[#This Row],[ Votes Cast ]]</f>
        <v>1.0256785962855781E-3</v>
      </c>
      <c r="V228" t="str">
        <f>IF(Table1[[#This Row],[Percent Leave]]&gt;Table1[[#This Row],[Percent Remain]],"Leave", "Remain")</f>
        <v>Leave</v>
      </c>
      <c r="W228">
        <v>51.503501999999997</v>
      </c>
      <c r="X228">
        <v>-0.57617003</v>
      </c>
      <c r="Y228" s="1">
        <f>_xlfn.XLOOKUP(Table1[[#This Row],[Area]],Table2[Area],Table2[All Residents])</f>
        <v>140205</v>
      </c>
    </row>
    <row r="229" spans="1:25" hidden="1" x14ac:dyDescent="0.45">
      <c r="A229">
        <v>228</v>
      </c>
      <c r="B229" t="s">
        <v>479</v>
      </c>
      <c r="C229" t="s">
        <v>480</v>
      </c>
      <c r="D229" t="s">
        <v>491</v>
      </c>
      <c r="E229" t="s">
        <v>492</v>
      </c>
      <c r="F229" s="1">
        <v>102665</v>
      </c>
      <c r="G229" s="1">
        <v>81866</v>
      </c>
      <c r="H229" s="1">
        <v>81865</v>
      </c>
      <c r="I229" s="5">
        <f>Table1[[#This Row],[ Verified Ballot Papers ]]/Table1[[#This Row],[ Electorate ]]</f>
        <v>0.79739930843033169</v>
      </c>
      <c r="J229" s="1">
        <v>81855</v>
      </c>
      <c r="K229" s="1">
        <v>81792</v>
      </c>
      <c r="L229" s="1">
        <v>44086</v>
      </c>
      <c r="M229" s="1">
        <v>37706</v>
      </c>
      <c r="N229">
        <v>63</v>
      </c>
      <c r="O229">
        <v>0</v>
      </c>
      <c r="P229">
        <v>14</v>
      </c>
      <c r="Q229">
        <v>2</v>
      </c>
      <c r="R229">
        <v>47</v>
      </c>
      <c r="S229" s="5">
        <f>Table1[[#This Row],[ Remain ]]/Table1[[#This Row],[ Valid Votes ]]</f>
        <v>0.53900136932707354</v>
      </c>
      <c r="T229" s="5">
        <f>Table1[[#This Row],[ Leave ]]/Table1[[#This Row],[ Valid Votes ]]</f>
        <v>0.46099863067292646</v>
      </c>
      <c r="U229" s="5">
        <f>Table1[[#This Row],[ Rejected Ballots ]]/Table1[[#This Row],[ Votes Cast ]]</f>
        <v>7.6965365585486534E-4</v>
      </c>
      <c r="V229" t="str">
        <f>IF(Table1[[#This Row],[Percent Leave]]&gt;Table1[[#This Row],[Percent Remain]],"Leave", "Remain")</f>
        <v>Remain</v>
      </c>
      <c r="W229">
        <v>51.480339000000001</v>
      </c>
      <c r="X229">
        <v>-0.67540997000000003</v>
      </c>
      <c r="Y229" s="1">
        <f>_xlfn.XLOOKUP(Table1[[#This Row],[Area]],Table2[Area],Table2[All Residents])</f>
        <v>144560</v>
      </c>
    </row>
    <row r="230" spans="1:25" hidden="1" x14ac:dyDescent="0.45">
      <c r="A230">
        <v>229</v>
      </c>
      <c r="B230" t="s">
        <v>479</v>
      </c>
      <c r="C230" t="s">
        <v>480</v>
      </c>
      <c r="D230" t="s">
        <v>493</v>
      </c>
      <c r="E230" t="s">
        <v>494</v>
      </c>
      <c r="F230" s="1">
        <v>121891</v>
      </c>
      <c r="G230" s="1">
        <v>97559</v>
      </c>
      <c r="H230" s="1">
        <v>97551</v>
      </c>
      <c r="I230" s="5">
        <f>Table1[[#This Row],[ Verified Ballot Papers ]]/Table1[[#This Row],[ Electorate ]]</f>
        <v>0.80031339475432972</v>
      </c>
      <c r="J230" s="1">
        <v>97551</v>
      </c>
      <c r="K230" s="1">
        <v>97501</v>
      </c>
      <c r="L230" s="1">
        <v>55272</v>
      </c>
      <c r="M230" s="1">
        <v>42229</v>
      </c>
      <c r="N230">
        <v>50</v>
      </c>
      <c r="O230">
        <v>0</v>
      </c>
      <c r="P230">
        <v>23</v>
      </c>
      <c r="Q230">
        <v>2</v>
      </c>
      <c r="R230">
        <v>25</v>
      </c>
      <c r="S230" s="5">
        <f>Table1[[#This Row],[ Remain ]]/Table1[[#This Row],[ Valid Votes ]]</f>
        <v>0.56688649347186182</v>
      </c>
      <c r="T230" s="5">
        <f>Table1[[#This Row],[ Leave ]]/Table1[[#This Row],[ Valid Votes ]]</f>
        <v>0.43311350652813818</v>
      </c>
      <c r="U230" s="5">
        <f>Table1[[#This Row],[ Rejected Ballots ]]/Table1[[#This Row],[ Votes Cast ]]</f>
        <v>5.1255240848376742E-4</v>
      </c>
      <c r="V230" t="str">
        <f>IF(Table1[[#This Row],[Percent Leave]]&gt;Table1[[#This Row],[Percent Remain]],"Leave", "Remain")</f>
        <v>Remain</v>
      </c>
      <c r="W230">
        <v>51.422958000000001</v>
      </c>
      <c r="X230">
        <v>-0.89934999000000004</v>
      </c>
      <c r="Y230" s="1">
        <f>_xlfn.XLOOKUP(Table1[[#This Row],[Area]],Table2[Area],Table2[All Residents])</f>
        <v>154380</v>
      </c>
    </row>
    <row r="231" spans="1:25" hidden="1" x14ac:dyDescent="0.45">
      <c r="A231">
        <v>230</v>
      </c>
      <c r="B231" t="s">
        <v>479</v>
      </c>
      <c r="C231" t="s">
        <v>480</v>
      </c>
      <c r="D231" t="s">
        <v>495</v>
      </c>
      <c r="E231" t="s">
        <v>496</v>
      </c>
      <c r="F231" s="1">
        <v>177211</v>
      </c>
      <c r="G231" s="1">
        <v>130535</v>
      </c>
      <c r="H231" s="1">
        <v>130536</v>
      </c>
      <c r="I231" s="5">
        <f>Table1[[#This Row],[ Verified Ballot Papers ]]/Table1[[#This Row],[ Electorate ]]</f>
        <v>0.73661341564575566</v>
      </c>
      <c r="J231" s="1">
        <v>130534</v>
      </c>
      <c r="K231" s="1">
        <v>130456</v>
      </c>
      <c r="L231" s="1">
        <v>63393</v>
      </c>
      <c r="M231" s="1">
        <v>67063</v>
      </c>
      <c r="N231">
        <v>78</v>
      </c>
      <c r="O231">
        <v>0</v>
      </c>
      <c r="P231">
        <v>32</v>
      </c>
      <c r="Q231">
        <v>1</v>
      </c>
      <c r="R231">
        <v>45</v>
      </c>
      <c r="S231" s="5">
        <f>Table1[[#This Row],[ Remain ]]/Table1[[#This Row],[ Valid Votes ]]</f>
        <v>0.48593395474336176</v>
      </c>
      <c r="T231" s="5">
        <f>Table1[[#This Row],[ Leave ]]/Table1[[#This Row],[ Valid Votes ]]</f>
        <v>0.51406604525663824</v>
      </c>
      <c r="U231" s="5">
        <f>Table1[[#This Row],[ Rejected Ballots ]]/Table1[[#This Row],[ Votes Cast ]]</f>
        <v>5.9754546708137347E-4</v>
      </c>
      <c r="V231" t="str">
        <f>IF(Table1[[#This Row],[Percent Leave]]&gt;Table1[[#This Row],[Percent Remain]],"Leave", "Remain")</f>
        <v>Leave</v>
      </c>
      <c r="W231">
        <v>52.072411000000002</v>
      </c>
      <c r="X231">
        <v>-0.74070000999999996</v>
      </c>
      <c r="Y231" s="1">
        <f>_xlfn.XLOOKUP(Table1[[#This Row],[Area]],Table2[Area],Table2[All Residents])</f>
        <v>248821</v>
      </c>
    </row>
    <row r="232" spans="1:25" hidden="1" x14ac:dyDescent="0.45">
      <c r="A232">
        <v>231</v>
      </c>
      <c r="B232" t="s">
        <v>479</v>
      </c>
      <c r="C232" t="s">
        <v>480</v>
      </c>
      <c r="D232" t="s">
        <v>497</v>
      </c>
      <c r="E232" t="s">
        <v>498</v>
      </c>
      <c r="F232" s="1">
        <v>198293</v>
      </c>
      <c r="G232" s="1">
        <v>146846</v>
      </c>
      <c r="H232" s="1">
        <v>146840</v>
      </c>
      <c r="I232" s="5">
        <f>Table1[[#This Row],[ Verified Ballot Papers ]]/Table1[[#This Row],[ Electorate ]]</f>
        <v>0.74052034111138565</v>
      </c>
      <c r="J232" s="1">
        <v>146829</v>
      </c>
      <c r="K232" s="1">
        <v>146675</v>
      </c>
      <c r="L232" s="1">
        <v>100648</v>
      </c>
      <c r="M232" s="1">
        <v>46027</v>
      </c>
      <c r="N232">
        <v>154</v>
      </c>
      <c r="O232">
        <v>0</v>
      </c>
      <c r="P232">
        <v>49</v>
      </c>
      <c r="Q232">
        <v>6</v>
      </c>
      <c r="R232">
        <v>99</v>
      </c>
      <c r="S232" s="5">
        <f>Table1[[#This Row],[ Remain ]]/Table1[[#This Row],[ Valid Votes ]]</f>
        <v>0.68619737514913925</v>
      </c>
      <c r="T232" s="5">
        <f>Table1[[#This Row],[ Leave ]]/Table1[[#This Row],[ Valid Votes ]]</f>
        <v>0.31380262485086075</v>
      </c>
      <c r="U232" s="5">
        <f>Table1[[#This Row],[ Rejected Ballots ]]/Table1[[#This Row],[ Votes Cast ]]</f>
        <v>1.048839125785778E-3</v>
      </c>
      <c r="V232" t="str">
        <f>IF(Table1[[#This Row],[Percent Leave]]&gt;Table1[[#This Row],[Percent Remain]],"Leave", "Remain")</f>
        <v>Remain</v>
      </c>
      <c r="W232">
        <v>50.846499999999999</v>
      </c>
      <c r="X232">
        <v>-0.15079001</v>
      </c>
      <c r="Y232" s="1">
        <f>_xlfn.XLOOKUP(Table1[[#This Row],[Area]],Table2[Area],Table2[All Residents])</f>
        <v>273369</v>
      </c>
    </row>
    <row r="233" spans="1:25" hidden="1" x14ac:dyDescent="0.45">
      <c r="A233">
        <v>232</v>
      </c>
      <c r="B233" t="s">
        <v>479</v>
      </c>
      <c r="C233" t="s">
        <v>480</v>
      </c>
      <c r="D233" t="s">
        <v>499</v>
      </c>
      <c r="E233" t="s">
        <v>500</v>
      </c>
      <c r="F233" s="1">
        <v>140517</v>
      </c>
      <c r="G233" s="1">
        <v>98799</v>
      </c>
      <c r="H233" s="1">
        <v>98786</v>
      </c>
      <c r="I233" s="5">
        <f>Table1[[#This Row],[ Verified Ballot Papers ]]/Table1[[#This Row],[ Electorate ]]</f>
        <v>0.70301814015386044</v>
      </c>
      <c r="J233" s="1">
        <v>98786</v>
      </c>
      <c r="K233" s="1">
        <v>98720</v>
      </c>
      <c r="L233" s="1">
        <v>41384</v>
      </c>
      <c r="M233" s="1">
        <v>57336</v>
      </c>
      <c r="N233">
        <v>66</v>
      </c>
      <c r="O233">
        <v>0</v>
      </c>
      <c r="P233">
        <v>27</v>
      </c>
      <c r="Q233">
        <v>0</v>
      </c>
      <c r="R233">
        <v>39</v>
      </c>
      <c r="S233" s="5">
        <f>Table1[[#This Row],[ Remain ]]/Table1[[#This Row],[ Valid Votes ]]</f>
        <v>0.41920583468395461</v>
      </c>
      <c r="T233" s="5">
        <f>Table1[[#This Row],[ Leave ]]/Table1[[#This Row],[ Valid Votes ]]</f>
        <v>0.58079416531604533</v>
      </c>
      <c r="U233" s="5">
        <f>Table1[[#This Row],[ Rejected Ballots ]]/Table1[[#This Row],[ Votes Cast ]]</f>
        <v>6.6811086591217375E-4</v>
      </c>
      <c r="V233" t="str">
        <f>IF(Table1[[#This Row],[Percent Leave]]&gt;Table1[[#This Row],[Percent Remain]],"Leave", "Remain")</f>
        <v>Leave</v>
      </c>
      <c r="W233">
        <v>50.807999000000002</v>
      </c>
      <c r="X233">
        <v>-1.07006</v>
      </c>
      <c r="Y233" s="1">
        <f>_xlfn.XLOOKUP(Table1[[#This Row],[Area]],Table2[Area],Table2[All Residents])</f>
        <v>205056</v>
      </c>
    </row>
    <row r="234" spans="1:25" hidden="1" x14ac:dyDescent="0.45">
      <c r="A234">
        <v>233</v>
      </c>
      <c r="B234" t="s">
        <v>479</v>
      </c>
      <c r="C234" t="s">
        <v>480</v>
      </c>
      <c r="D234" t="s">
        <v>501</v>
      </c>
      <c r="E234" t="s">
        <v>502</v>
      </c>
      <c r="F234" s="1">
        <v>158171</v>
      </c>
      <c r="G234" s="1">
        <v>107775</v>
      </c>
      <c r="H234" s="1">
        <v>107772</v>
      </c>
      <c r="I234" s="5">
        <f>Table1[[#This Row],[ Verified Ballot Papers ]]/Table1[[#This Row],[ Electorate ]]</f>
        <v>0.68136384040057907</v>
      </c>
      <c r="J234" s="1">
        <v>107775</v>
      </c>
      <c r="K234" s="1">
        <v>107665</v>
      </c>
      <c r="L234" s="1">
        <v>49738</v>
      </c>
      <c r="M234" s="1">
        <v>57927</v>
      </c>
      <c r="N234">
        <v>110</v>
      </c>
      <c r="O234">
        <v>0</v>
      </c>
      <c r="P234">
        <v>42</v>
      </c>
      <c r="Q234">
        <v>25</v>
      </c>
      <c r="R234">
        <v>43</v>
      </c>
      <c r="S234" s="5">
        <f>Table1[[#This Row],[ Remain ]]/Table1[[#This Row],[ Valid Votes ]]</f>
        <v>0.46196999953559653</v>
      </c>
      <c r="T234" s="5">
        <f>Table1[[#This Row],[ Leave ]]/Table1[[#This Row],[ Valid Votes ]]</f>
        <v>0.53803000046440352</v>
      </c>
      <c r="U234" s="5">
        <f>Table1[[#This Row],[ Rejected Ballots ]]/Table1[[#This Row],[ Votes Cast ]]</f>
        <v>1.0206448619809788E-3</v>
      </c>
      <c r="V234" t="str">
        <f>IF(Table1[[#This Row],[Percent Leave]]&gt;Table1[[#This Row],[Percent Remain]],"Leave", "Remain")</f>
        <v>Leave</v>
      </c>
      <c r="W234">
        <v>50.921199999999999</v>
      </c>
      <c r="X234">
        <v>-1.3995200000000001</v>
      </c>
      <c r="Y234" s="1">
        <f>_xlfn.XLOOKUP(Table1[[#This Row],[Area]],Table2[Area],Table2[All Residents])</f>
        <v>236882</v>
      </c>
    </row>
    <row r="235" spans="1:25" hidden="1" x14ac:dyDescent="0.45">
      <c r="A235">
        <v>234</v>
      </c>
      <c r="B235" t="s">
        <v>479</v>
      </c>
      <c r="C235" t="s">
        <v>480</v>
      </c>
      <c r="D235" t="s">
        <v>503</v>
      </c>
      <c r="E235" t="s">
        <v>504</v>
      </c>
      <c r="F235" s="1">
        <v>109844</v>
      </c>
      <c r="G235" s="1">
        <v>79431</v>
      </c>
      <c r="H235" s="1">
        <v>79430</v>
      </c>
      <c r="I235" s="5">
        <f>Table1[[#This Row],[ Verified Ballot Papers ]]/Table1[[#This Row],[ Electorate ]]</f>
        <v>0.72311641964968498</v>
      </c>
      <c r="J235" s="1">
        <v>79430</v>
      </c>
      <c r="K235" s="1">
        <v>79380</v>
      </c>
      <c r="L235" s="1">
        <v>30207</v>
      </c>
      <c r="M235" s="1">
        <v>49173</v>
      </c>
      <c r="N235">
        <v>50</v>
      </c>
      <c r="O235">
        <v>0</v>
      </c>
      <c r="P235">
        <v>24</v>
      </c>
      <c r="Q235">
        <v>2</v>
      </c>
      <c r="R235">
        <v>24</v>
      </c>
      <c r="S235" s="5">
        <f>Table1[[#This Row],[ Remain ]]/Table1[[#This Row],[ Valid Votes ]]</f>
        <v>0.3805366591080877</v>
      </c>
      <c r="T235" s="5">
        <f>Table1[[#This Row],[ Leave ]]/Table1[[#This Row],[ Valid Votes ]]</f>
        <v>0.61946334089191235</v>
      </c>
      <c r="U235" s="5">
        <f>Table1[[#This Row],[ Rejected Ballots ]]/Table1[[#This Row],[ Votes Cast ]]</f>
        <v>6.2948508120357549E-4</v>
      </c>
      <c r="V235" t="str">
        <f>IF(Table1[[#This Row],[Percent Leave]]&gt;Table1[[#This Row],[Percent Remain]],"Leave", "Remain")</f>
        <v>Leave</v>
      </c>
      <c r="W235">
        <v>50.671290999999997</v>
      </c>
      <c r="X235">
        <v>-1.3336600000000001</v>
      </c>
      <c r="Y235" s="1">
        <f>_xlfn.XLOOKUP(Table1[[#This Row],[Area]],Table2[Area],Table2[All Residents])</f>
        <v>138265</v>
      </c>
    </row>
    <row r="236" spans="1:25" hidden="1" x14ac:dyDescent="0.45">
      <c r="A236">
        <v>235</v>
      </c>
      <c r="B236" t="s">
        <v>479</v>
      </c>
      <c r="C236" t="s">
        <v>480</v>
      </c>
      <c r="D236" t="s">
        <v>505</v>
      </c>
      <c r="E236" t="s">
        <v>506</v>
      </c>
      <c r="F236" s="1">
        <v>136235</v>
      </c>
      <c r="G236" s="1">
        <v>106908</v>
      </c>
      <c r="H236" s="1">
        <v>106895</v>
      </c>
      <c r="I236" s="5">
        <f>Table1[[#This Row],[ Verified Ballot Papers ]]/Table1[[#This Row],[ Electorate ]]</f>
        <v>0.78463684075311046</v>
      </c>
      <c r="J236" s="1">
        <v>106895</v>
      </c>
      <c r="K236" s="1">
        <v>106833</v>
      </c>
      <c r="L236" s="1">
        <v>52877</v>
      </c>
      <c r="M236" s="1">
        <v>53956</v>
      </c>
      <c r="N236">
        <v>62</v>
      </c>
      <c r="O236">
        <v>0</v>
      </c>
      <c r="P236">
        <v>25</v>
      </c>
      <c r="Q236">
        <v>2</v>
      </c>
      <c r="R236">
        <v>35</v>
      </c>
      <c r="S236" s="5">
        <f>Table1[[#This Row],[ Remain ]]/Table1[[#This Row],[ Valid Votes ]]</f>
        <v>0.49495006224668409</v>
      </c>
      <c r="T236" s="5">
        <f>Table1[[#This Row],[ Leave ]]/Table1[[#This Row],[ Valid Votes ]]</f>
        <v>0.50504993775331597</v>
      </c>
      <c r="U236" s="5">
        <f>Table1[[#This Row],[ Rejected Ballots ]]/Table1[[#This Row],[ Votes Cast ]]</f>
        <v>5.8000841947705695E-4</v>
      </c>
      <c r="V236" t="str">
        <f>IF(Table1[[#This Row],[Percent Leave]]&gt;Table1[[#This Row],[Percent Remain]],"Leave", "Remain")</f>
        <v>Leave</v>
      </c>
      <c r="W236">
        <v>51.900379180000002</v>
      </c>
      <c r="X236">
        <v>-0.87746000000000002</v>
      </c>
      <c r="Y236" s="1">
        <f>_xlfn.XLOOKUP(Table1[[#This Row],[Area]],Table2[Area],Table2[All Residents])</f>
        <v>174137</v>
      </c>
    </row>
    <row r="237" spans="1:25" hidden="1" x14ac:dyDescent="0.45">
      <c r="A237">
        <v>236</v>
      </c>
      <c r="B237" t="s">
        <v>479</v>
      </c>
      <c r="C237" t="s">
        <v>480</v>
      </c>
      <c r="D237" t="s">
        <v>507</v>
      </c>
      <c r="E237" t="s">
        <v>508</v>
      </c>
      <c r="F237" s="1">
        <v>70185</v>
      </c>
      <c r="G237" s="1">
        <v>58655</v>
      </c>
      <c r="H237" s="1">
        <v>58651</v>
      </c>
      <c r="I237" s="5">
        <f>Table1[[#This Row],[ Verified Ballot Papers ]]/Table1[[#This Row],[ Electorate ]]</f>
        <v>0.83566289093111068</v>
      </c>
      <c r="J237" s="1">
        <v>58651</v>
      </c>
      <c r="K237" s="1">
        <v>58604</v>
      </c>
      <c r="L237" s="1">
        <v>32241</v>
      </c>
      <c r="M237" s="1">
        <v>26363</v>
      </c>
      <c r="N237">
        <v>47</v>
      </c>
      <c r="O237">
        <v>0</v>
      </c>
      <c r="P237">
        <v>15</v>
      </c>
      <c r="Q237">
        <v>0</v>
      </c>
      <c r="R237">
        <v>32</v>
      </c>
      <c r="S237" s="5">
        <f>Table1[[#This Row],[ Remain ]]/Table1[[#This Row],[ Valid Votes ]]</f>
        <v>0.55015016039860765</v>
      </c>
      <c r="T237" s="5">
        <f>Table1[[#This Row],[ Leave ]]/Table1[[#This Row],[ Valid Votes ]]</f>
        <v>0.44984983960139241</v>
      </c>
      <c r="U237" s="5">
        <f>Table1[[#This Row],[ Rejected Ballots ]]/Table1[[#This Row],[ Votes Cast ]]</f>
        <v>8.0135036060766226E-4</v>
      </c>
      <c r="V237" t="str">
        <f>IF(Table1[[#This Row],[Percent Leave]]&gt;Table1[[#This Row],[Percent Remain]],"Leave", "Remain")</f>
        <v>Remain</v>
      </c>
      <c r="W237">
        <v>51.678901670000002</v>
      </c>
      <c r="X237">
        <v>-0.62111998000000002</v>
      </c>
      <c r="Y237" s="1">
        <f>_xlfn.XLOOKUP(Table1[[#This Row],[Area]],Table2[Area],Table2[All Residents])</f>
        <v>92635</v>
      </c>
    </row>
    <row r="238" spans="1:25" hidden="1" x14ac:dyDescent="0.45">
      <c r="A238">
        <v>237</v>
      </c>
      <c r="B238" t="s">
        <v>479</v>
      </c>
      <c r="C238" t="s">
        <v>480</v>
      </c>
      <c r="D238" t="s">
        <v>509</v>
      </c>
      <c r="E238" t="s">
        <v>510</v>
      </c>
      <c r="F238" s="1">
        <v>52194</v>
      </c>
      <c r="G238" s="1">
        <v>40755</v>
      </c>
      <c r="H238" s="1">
        <v>40755</v>
      </c>
      <c r="I238" s="5">
        <f>Table1[[#This Row],[ Verified Ballot Papers ]]/Table1[[#This Row],[ Electorate ]]</f>
        <v>0.78083687780204625</v>
      </c>
      <c r="J238" s="1">
        <v>40755</v>
      </c>
      <c r="K238" s="1">
        <v>40724</v>
      </c>
      <c r="L238" s="1">
        <v>20077</v>
      </c>
      <c r="M238" s="1">
        <v>20647</v>
      </c>
      <c r="N238">
        <v>31</v>
      </c>
      <c r="O238">
        <v>0</v>
      </c>
      <c r="P238">
        <v>10</v>
      </c>
      <c r="Q238">
        <v>5</v>
      </c>
      <c r="R238">
        <v>16</v>
      </c>
      <c r="S238" s="5">
        <f>Table1[[#This Row],[ Remain ]]/Table1[[#This Row],[ Valid Votes ]]</f>
        <v>0.49300166977703563</v>
      </c>
      <c r="T238" s="5">
        <f>Table1[[#This Row],[ Leave ]]/Table1[[#This Row],[ Valid Votes ]]</f>
        <v>0.50699833022296437</v>
      </c>
      <c r="U238" s="5">
        <f>Table1[[#This Row],[ Rejected Ballots ]]/Table1[[#This Row],[ Votes Cast ]]</f>
        <v>7.6064286590602382E-4</v>
      </c>
      <c r="V238" t="str">
        <f>IF(Table1[[#This Row],[Percent Leave]]&gt;Table1[[#This Row],[Percent Remain]],"Leave", "Remain")</f>
        <v>Leave</v>
      </c>
      <c r="W238">
        <v>51.559440610000003</v>
      </c>
      <c r="X238">
        <v>-0.58484000000000003</v>
      </c>
      <c r="Y238" s="1">
        <f>_xlfn.XLOOKUP(Table1[[#This Row],[Area]],Table2[Area],Table2[All Residents])</f>
        <v>66867</v>
      </c>
    </row>
    <row r="239" spans="1:25" hidden="1" x14ac:dyDescent="0.45">
      <c r="A239">
        <v>238</v>
      </c>
      <c r="B239" t="s">
        <v>479</v>
      </c>
      <c r="C239" t="s">
        <v>480</v>
      </c>
      <c r="D239" t="s">
        <v>511</v>
      </c>
      <c r="E239" t="s">
        <v>512</v>
      </c>
      <c r="F239" s="1">
        <v>125260</v>
      </c>
      <c r="G239" s="1">
        <v>94869</v>
      </c>
      <c r="H239" s="1">
        <v>94869</v>
      </c>
      <c r="I239" s="5">
        <f>Table1[[#This Row],[ Verified Ballot Papers ]]/Table1[[#This Row],[ Electorate ]]</f>
        <v>0.75737665655436692</v>
      </c>
      <c r="J239" s="1">
        <v>94869</v>
      </c>
      <c r="K239" s="1">
        <v>94790</v>
      </c>
      <c r="L239" s="1">
        <v>49261</v>
      </c>
      <c r="M239" s="1">
        <v>45529</v>
      </c>
      <c r="N239">
        <v>79</v>
      </c>
      <c r="O239">
        <v>0</v>
      </c>
      <c r="P239">
        <v>26</v>
      </c>
      <c r="Q239">
        <v>1</v>
      </c>
      <c r="R239">
        <v>52</v>
      </c>
      <c r="S239" s="5">
        <f>Table1[[#This Row],[ Remain ]]/Table1[[#This Row],[ Valid Votes ]]</f>
        <v>0.51968562084608083</v>
      </c>
      <c r="T239" s="5">
        <f>Table1[[#This Row],[ Leave ]]/Table1[[#This Row],[ Valid Votes ]]</f>
        <v>0.48031437915391917</v>
      </c>
      <c r="U239" s="5">
        <f>Table1[[#This Row],[ Rejected Ballots ]]/Table1[[#This Row],[ Votes Cast ]]</f>
        <v>8.3272723439690522E-4</v>
      </c>
      <c r="V239" t="str">
        <f>IF(Table1[[#This Row],[Percent Leave]]&gt;Table1[[#This Row],[Percent Remain]],"Leave", "Remain")</f>
        <v>Remain</v>
      </c>
      <c r="W239">
        <v>51.666198729999998</v>
      </c>
      <c r="X239">
        <v>-0.80883002000000004</v>
      </c>
      <c r="Y239" s="1">
        <f>_xlfn.XLOOKUP(Table1[[#This Row],[Area]],Table2[Area],Table2[All Residents])</f>
        <v>171644</v>
      </c>
    </row>
    <row r="240" spans="1:25" hidden="1" x14ac:dyDescent="0.45">
      <c r="A240">
        <v>239</v>
      </c>
      <c r="B240" t="s">
        <v>479</v>
      </c>
      <c r="C240" t="s">
        <v>480</v>
      </c>
      <c r="D240" t="s">
        <v>513</v>
      </c>
      <c r="E240" t="s">
        <v>514</v>
      </c>
      <c r="F240" s="1">
        <v>71726</v>
      </c>
      <c r="G240" s="1">
        <v>53600</v>
      </c>
      <c r="H240" s="1">
        <v>53598</v>
      </c>
      <c r="I240" s="5">
        <f>Table1[[#This Row],[ Verified Ballot Papers ]]/Table1[[#This Row],[ Electorate ]]</f>
        <v>0.74726040766249335</v>
      </c>
      <c r="J240" s="1">
        <v>53598</v>
      </c>
      <c r="K240" s="1">
        <v>53545</v>
      </c>
      <c r="L240" s="1">
        <v>22845</v>
      </c>
      <c r="M240" s="1">
        <v>30700</v>
      </c>
      <c r="N240">
        <v>53</v>
      </c>
      <c r="O240">
        <v>2</v>
      </c>
      <c r="P240">
        <v>15</v>
      </c>
      <c r="Q240">
        <v>5</v>
      </c>
      <c r="R240">
        <v>31</v>
      </c>
      <c r="S240" s="5">
        <f>Table1[[#This Row],[ Remain ]]/Table1[[#This Row],[ Valid Votes ]]</f>
        <v>0.42665048090391261</v>
      </c>
      <c r="T240" s="5">
        <f>Table1[[#This Row],[ Leave ]]/Table1[[#This Row],[ Valid Votes ]]</f>
        <v>0.57334951909608745</v>
      </c>
      <c r="U240" s="5">
        <f>Table1[[#This Row],[ Rejected Ballots ]]/Table1[[#This Row],[ Votes Cast ]]</f>
        <v>9.8884286727116675E-4</v>
      </c>
      <c r="V240" t="str">
        <f>IF(Table1[[#This Row],[Percent Leave]]&gt;Table1[[#This Row],[Percent Remain]],"Leave", "Remain")</f>
        <v>Leave</v>
      </c>
      <c r="W240">
        <v>50.773868999999998</v>
      </c>
      <c r="X240">
        <v>0.25851601000000002</v>
      </c>
      <c r="Y240" s="1">
        <f>_xlfn.XLOOKUP(Table1[[#This Row],[Area]],Table2[Area],Table2[All Residents])</f>
        <v>99412</v>
      </c>
    </row>
    <row r="241" spans="1:25" hidden="1" x14ac:dyDescent="0.45">
      <c r="A241">
        <v>240</v>
      </c>
      <c r="B241" t="s">
        <v>479</v>
      </c>
      <c r="C241" t="s">
        <v>480</v>
      </c>
      <c r="D241" t="s">
        <v>515</v>
      </c>
      <c r="E241" t="s">
        <v>516</v>
      </c>
      <c r="F241" s="1">
        <v>61957</v>
      </c>
      <c r="G241" s="1">
        <v>44390</v>
      </c>
      <c r="H241" s="1">
        <v>44387</v>
      </c>
      <c r="I241" s="5">
        <f>Table1[[#This Row],[ Verified Ballot Papers ]]/Table1[[#This Row],[ Electorate ]]</f>
        <v>0.71641622415546269</v>
      </c>
      <c r="J241" s="1">
        <v>44387</v>
      </c>
      <c r="K241" s="1">
        <v>44350</v>
      </c>
      <c r="L241" s="1">
        <v>20011</v>
      </c>
      <c r="M241" s="1">
        <v>24339</v>
      </c>
      <c r="N241">
        <v>37</v>
      </c>
      <c r="O241">
        <v>0</v>
      </c>
      <c r="P241">
        <v>12</v>
      </c>
      <c r="Q241">
        <v>4</v>
      </c>
      <c r="R241">
        <v>21</v>
      </c>
      <c r="S241" s="5">
        <f>Table1[[#This Row],[ Remain ]]/Table1[[#This Row],[ Valid Votes ]]</f>
        <v>0.45120631341600903</v>
      </c>
      <c r="T241" s="5">
        <f>Table1[[#This Row],[ Leave ]]/Table1[[#This Row],[ Valid Votes ]]</f>
        <v>0.54879368658399097</v>
      </c>
      <c r="U241" s="5">
        <f>Table1[[#This Row],[ Rejected Ballots ]]/Table1[[#This Row],[ Votes Cast ]]</f>
        <v>8.335773987879334E-4</v>
      </c>
      <c r="V241" t="str">
        <f>IF(Table1[[#This Row],[Percent Leave]]&gt;Table1[[#This Row],[Percent Remain]],"Leave", "Remain")</f>
        <v>Leave</v>
      </c>
      <c r="W241">
        <v>50.867241</v>
      </c>
      <c r="X241">
        <v>0.57839501000000004</v>
      </c>
      <c r="Y241" s="1">
        <f>_xlfn.XLOOKUP(Table1[[#This Row],[Area]],Table2[Area],Table2[All Residents])</f>
        <v>90254</v>
      </c>
    </row>
    <row r="242" spans="1:25" hidden="1" x14ac:dyDescent="0.45">
      <c r="A242">
        <v>241</v>
      </c>
      <c r="B242" t="s">
        <v>479</v>
      </c>
      <c r="C242" t="s">
        <v>480</v>
      </c>
      <c r="D242" t="s">
        <v>517</v>
      </c>
      <c r="E242" t="s">
        <v>518</v>
      </c>
      <c r="F242" s="1">
        <v>76428</v>
      </c>
      <c r="G242" s="1">
        <v>59528</v>
      </c>
      <c r="H242" s="1">
        <v>59531</v>
      </c>
      <c r="I242" s="5">
        <f>Table1[[#This Row],[ Verified Ballot Papers ]]/Table1[[#This Row],[ Electorate ]]</f>
        <v>0.77891610404563771</v>
      </c>
      <c r="J242" s="1">
        <v>59531</v>
      </c>
      <c r="K242" s="1">
        <v>59482</v>
      </c>
      <c r="L242" s="1">
        <v>30974</v>
      </c>
      <c r="M242" s="1">
        <v>28508</v>
      </c>
      <c r="N242">
        <v>49</v>
      </c>
      <c r="O242">
        <v>0</v>
      </c>
      <c r="P242">
        <v>20</v>
      </c>
      <c r="Q242">
        <v>0</v>
      </c>
      <c r="R242">
        <v>29</v>
      </c>
      <c r="S242" s="5">
        <f>Table1[[#This Row],[ Remain ]]/Table1[[#This Row],[ Valid Votes ]]</f>
        <v>0.52072896002151914</v>
      </c>
      <c r="T242" s="5">
        <f>Table1[[#This Row],[ Leave ]]/Table1[[#This Row],[ Valid Votes ]]</f>
        <v>0.47927103997848086</v>
      </c>
      <c r="U242" s="5">
        <f>Table1[[#This Row],[ Rejected Ballots ]]/Table1[[#This Row],[ Votes Cast ]]</f>
        <v>8.2310056945121026E-4</v>
      </c>
      <c r="V242" t="str">
        <f>IF(Table1[[#This Row],[Percent Leave]]&gt;Table1[[#This Row],[Percent Remain]],"Leave", "Remain")</f>
        <v>Remain</v>
      </c>
      <c r="W242">
        <v>50.833407999999999</v>
      </c>
      <c r="X242">
        <v>7.6709999999999999E-3</v>
      </c>
      <c r="Y242" s="1">
        <f>_xlfn.XLOOKUP(Table1[[#This Row],[Area]],Table2[Area],Table2[All Residents])</f>
        <v>97502</v>
      </c>
    </row>
    <row r="243" spans="1:25" hidden="1" x14ac:dyDescent="0.45">
      <c r="A243">
        <v>242</v>
      </c>
      <c r="B243" t="s">
        <v>479</v>
      </c>
      <c r="C243" t="s">
        <v>480</v>
      </c>
      <c r="D243" t="s">
        <v>519</v>
      </c>
      <c r="E243" t="s">
        <v>520</v>
      </c>
      <c r="F243" s="1">
        <v>72755</v>
      </c>
      <c r="G243" s="1">
        <v>57717</v>
      </c>
      <c r="H243" s="1">
        <v>57715</v>
      </c>
      <c r="I243" s="5">
        <f>Table1[[#This Row],[ Verified Ballot Papers ]]/Table1[[#This Row],[ Electorate ]]</f>
        <v>0.79327881245275234</v>
      </c>
      <c r="J243" s="1">
        <v>57715</v>
      </c>
      <c r="K243" s="1">
        <v>57669</v>
      </c>
      <c r="L243" s="1">
        <v>23916</v>
      </c>
      <c r="M243" s="1">
        <v>33753</v>
      </c>
      <c r="N243">
        <v>46</v>
      </c>
      <c r="O243">
        <v>0</v>
      </c>
      <c r="P243">
        <v>16</v>
      </c>
      <c r="Q243">
        <v>0</v>
      </c>
      <c r="R243">
        <v>30</v>
      </c>
      <c r="S243" s="5">
        <f>Table1[[#This Row],[ Remain ]]/Table1[[#This Row],[ Valid Votes ]]</f>
        <v>0.41471154346355926</v>
      </c>
      <c r="T243" s="5">
        <f>Table1[[#This Row],[ Leave ]]/Table1[[#This Row],[ Valid Votes ]]</f>
        <v>0.58528845653644068</v>
      </c>
      <c r="U243" s="5">
        <f>Table1[[#This Row],[ Rejected Ballots ]]/Table1[[#This Row],[ Votes Cast ]]</f>
        <v>7.9701983886338039E-4</v>
      </c>
      <c r="V243" t="str">
        <f>IF(Table1[[#This Row],[Percent Leave]]&gt;Table1[[#This Row],[Percent Remain]],"Leave", "Remain")</f>
        <v>Leave</v>
      </c>
      <c r="W243">
        <v>50.948711000000003</v>
      </c>
      <c r="X243">
        <v>0.54293698000000001</v>
      </c>
      <c r="Y243" s="1">
        <f>_xlfn.XLOOKUP(Table1[[#This Row],[Area]],Table2[Area],Table2[All Residents])</f>
        <v>90588</v>
      </c>
    </row>
    <row r="244" spans="1:25" hidden="1" x14ac:dyDescent="0.45">
      <c r="A244">
        <v>243</v>
      </c>
      <c r="B244" t="s">
        <v>479</v>
      </c>
      <c r="C244" t="s">
        <v>480</v>
      </c>
      <c r="D244" t="s">
        <v>521</v>
      </c>
      <c r="E244" t="s">
        <v>522</v>
      </c>
      <c r="F244" s="1">
        <v>121141</v>
      </c>
      <c r="G244" s="1">
        <v>96966</v>
      </c>
      <c r="H244" s="1">
        <v>96958</v>
      </c>
      <c r="I244" s="5">
        <f>Table1[[#This Row],[ Verified Ballot Papers ]]/Table1[[#This Row],[ Electorate ]]</f>
        <v>0.80037311892753071</v>
      </c>
      <c r="J244" s="1">
        <v>96944</v>
      </c>
      <c r="K244" s="1">
        <v>96892</v>
      </c>
      <c r="L244" s="1">
        <v>44084</v>
      </c>
      <c r="M244" s="1">
        <v>52808</v>
      </c>
      <c r="N244">
        <v>52</v>
      </c>
      <c r="O244">
        <v>1</v>
      </c>
      <c r="P244">
        <v>16</v>
      </c>
      <c r="Q244">
        <v>0</v>
      </c>
      <c r="R244">
        <v>35</v>
      </c>
      <c r="S244" s="5">
        <f>Table1[[#This Row],[ Remain ]]/Table1[[#This Row],[ Valid Votes ]]</f>
        <v>0.45498080336869917</v>
      </c>
      <c r="T244" s="5">
        <f>Table1[[#This Row],[ Leave ]]/Table1[[#This Row],[ Valid Votes ]]</f>
        <v>0.54501919663130083</v>
      </c>
      <c r="U244" s="5">
        <f>Table1[[#This Row],[ Rejected Ballots ]]/Table1[[#This Row],[ Votes Cast ]]</f>
        <v>5.3639214391813827E-4</v>
      </c>
      <c r="V244" t="str">
        <f>IF(Table1[[#This Row],[Percent Leave]]&gt;Table1[[#This Row],[Percent Remain]],"Leave", "Remain")</f>
        <v>Leave</v>
      </c>
      <c r="W244">
        <v>50.933219999999999</v>
      </c>
      <c r="X244">
        <v>0.20515600000000001</v>
      </c>
      <c r="Y244" s="1">
        <f>_xlfn.XLOOKUP(Table1[[#This Row],[Area]],Table2[Area],Table2[All Residents])</f>
        <v>148915</v>
      </c>
    </row>
    <row r="245" spans="1:25" hidden="1" x14ac:dyDescent="0.45">
      <c r="A245">
        <v>244</v>
      </c>
      <c r="B245" t="s">
        <v>479</v>
      </c>
      <c r="C245" t="s">
        <v>480</v>
      </c>
      <c r="D245" t="s">
        <v>523</v>
      </c>
      <c r="E245" t="s">
        <v>524</v>
      </c>
      <c r="F245" s="1">
        <v>128677</v>
      </c>
      <c r="G245" s="1">
        <v>100395</v>
      </c>
      <c r="H245" s="1">
        <v>100395</v>
      </c>
      <c r="I245" s="5">
        <f>Table1[[#This Row],[ Verified Ballot Papers ]]/Table1[[#This Row],[ Electorate ]]</f>
        <v>0.78020936142434161</v>
      </c>
      <c r="J245" s="1">
        <v>100395</v>
      </c>
      <c r="K245" s="1">
        <v>100328</v>
      </c>
      <c r="L245" s="1">
        <v>48257</v>
      </c>
      <c r="M245" s="1">
        <v>52071</v>
      </c>
      <c r="N245">
        <v>67</v>
      </c>
      <c r="O245">
        <v>0</v>
      </c>
      <c r="P245">
        <v>25</v>
      </c>
      <c r="Q245">
        <v>2</v>
      </c>
      <c r="R245">
        <v>40</v>
      </c>
      <c r="S245" s="5">
        <f>Table1[[#This Row],[ Remain ]]/Table1[[#This Row],[ Valid Votes ]]</f>
        <v>0.48099234510804562</v>
      </c>
      <c r="T245" s="5">
        <f>Table1[[#This Row],[ Leave ]]/Table1[[#This Row],[ Valid Votes ]]</f>
        <v>0.51900765489195444</v>
      </c>
      <c r="U245" s="5">
        <f>Table1[[#This Row],[ Rejected Ballots ]]/Table1[[#This Row],[ Votes Cast ]]</f>
        <v>6.6736391254544549E-4</v>
      </c>
      <c r="V245" t="str">
        <f>IF(Table1[[#This Row],[Percent Leave]]&gt;Table1[[#This Row],[Percent Remain]],"Leave", "Remain")</f>
        <v>Leave</v>
      </c>
      <c r="W245">
        <v>51.259369</v>
      </c>
      <c r="X245">
        <v>-1.22021</v>
      </c>
      <c r="Y245" s="1">
        <f>_xlfn.XLOOKUP(Table1[[#This Row],[Area]],Table2[Area],Table2[All Residents])</f>
        <v>167799</v>
      </c>
    </row>
    <row r="246" spans="1:25" hidden="1" x14ac:dyDescent="0.45">
      <c r="A246">
        <v>245</v>
      </c>
      <c r="B246" t="s">
        <v>479</v>
      </c>
      <c r="C246" t="s">
        <v>480</v>
      </c>
      <c r="D246" t="s">
        <v>525</v>
      </c>
      <c r="E246" t="s">
        <v>526</v>
      </c>
      <c r="F246" s="1">
        <v>90588</v>
      </c>
      <c r="G246" s="1">
        <v>73971</v>
      </c>
      <c r="H246" s="1">
        <v>73971</v>
      </c>
      <c r="I246" s="5">
        <f>Table1[[#This Row],[ Verified Ballot Papers ]]/Table1[[#This Row],[ Electorate ]]</f>
        <v>0.81656510796131943</v>
      </c>
      <c r="J246" s="1">
        <v>73967</v>
      </c>
      <c r="K246" s="1">
        <v>73922</v>
      </c>
      <c r="L246" s="1">
        <v>37346</v>
      </c>
      <c r="M246" s="1">
        <v>36576</v>
      </c>
      <c r="N246">
        <v>45</v>
      </c>
      <c r="O246">
        <v>0</v>
      </c>
      <c r="P246">
        <v>12</v>
      </c>
      <c r="Q246">
        <v>1</v>
      </c>
      <c r="R246">
        <v>32</v>
      </c>
      <c r="S246" s="5">
        <f>Table1[[#This Row],[ Remain ]]/Table1[[#This Row],[ Valid Votes ]]</f>
        <v>0.50520819241903625</v>
      </c>
      <c r="T246" s="5">
        <f>Table1[[#This Row],[ Leave ]]/Table1[[#This Row],[ Valid Votes ]]</f>
        <v>0.49479180758096369</v>
      </c>
      <c r="U246" s="5">
        <f>Table1[[#This Row],[ Rejected Ballots ]]/Table1[[#This Row],[ Votes Cast ]]</f>
        <v>6.0837941244068299E-4</v>
      </c>
      <c r="V246" t="str">
        <f>IF(Table1[[#This Row],[Percent Leave]]&gt;Table1[[#This Row],[Percent Remain]],"Leave", "Remain")</f>
        <v>Remain</v>
      </c>
      <c r="W246">
        <v>51.057651999999997</v>
      </c>
      <c r="X246">
        <v>-0.93971002000000003</v>
      </c>
      <c r="Y246" s="1">
        <f>_xlfn.XLOOKUP(Table1[[#This Row],[Area]],Table2[Area],Table2[All Residents])</f>
        <v>115608</v>
      </c>
    </row>
    <row r="247" spans="1:25" hidden="1" x14ac:dyDescent="0.45">
      <c r="A247">
        <v>246</v>
      </c>
      <c r="B247" t="s">
        <v>479</v>
      </c>
      <c r="C247" t="s">
        <v>480</v>
      </c>
      <c r="D247" t="s">
        <v>527</v>
      </c>
      <c r="E247" t="s">
        <v>528</v>
      </c>
      <c r="F247" s="1">
        <v>97280</v>
      </c>
      <c r="G247" s="1">
        <v>76148</v>
      </c>
      <c r="H247" s="1">
        <v>76148</v>
      </c>
      <c r="I247" s="5">
        <f>Table1[[#This Row],[ Verified Ballot Papers ]]/Table1[[#This Row],[ Electorate ]]</f>
        <v>0.78277138157894732</v>
      </c>
      <c r="J247" s="1">
        <v>76148</v>
      </c>
      <c r="K247" s="1">
        <v>76074</v>
      </c>
      <c r="L247" s="1">
        <v>36172</v>
      </c>
      <c r="M247" s="1">
        <v>39902</v>
      </c>
      <c r="N247">
        <v>74</v>
      </c>
      <c r="O247">
        <v>0</v>
      </c>
      <c r="P247">
        <v>29</v>
      </c>
      <c r="Q247">
        <v>1</v>
      </c>
      <c r="R247">
        <v>44</v>
      </c>
      <c r="S247" s="5">
        <f>Table1[[#This Row],[ Remain ]]/Table1[[#This Row],[ Valid Votes ]]</f>
        <v>0.47548439677156451</v>
      </c>
      <c r="T247" s="5">
        <f>Table1[[#This Row],[ Leave ]]/Table1[[#This Row],[ Valid Votes ]]</f>
        <v>0.52451560322843549</v>
      </c>
      <c r="U247" s="5">
        <f>Table1[[#This Row],[ Rejected Ballots ]]/Table1[[#This Row],[ Votes Cast ]]</f>
        <v>9.7179177391395707E-4</v>
      </c>
      <c r="V247" t="str">
        <f>IF(Table1[[#This Row],[Percent Leave]]&gt;Table1[[#This Row],[Percent Remain]],"Leave", "Remain")</f>
        <v>Leave</v>
      </c>
      <c r="W247">
        <v>50.948718999999997</v>
      </c>
      <c r="X247">
        <v>-1.3294299999999999</v>
      </c>
      <c r="Y247" s="1">
        <f>_xlfn.XLOOKUP(Table1[[#This Row],[Area]],Table2[Area],Table2[All Residents])</f>
        <v>125199</v>
      </c>
    </row>
    <row r="248" spans="1:25" hidden="1" x14ac:dyDescent="0.45">
      <c r="A248">
        <v>247</v>
      </c>
      <c r="B248" t="s">
        <v>479</v>
      </c>
      <c r="C248" t="s">
        <v>480</v>
      </c>
      <c r="D248" t="s">
        <v>529</v>
      </c>
      <c r="E248" t="s">
        <v>530</v>
      </c>
      <c r="F248" s="1">
        <v>90175</v>
      </c>
      <c r="G248" s="1">
        <v>71772</v>
      </c>
      <c r="H248" s="1">
        <v>71772</v>
      </c>
      <c r="I248" s="5">
        <f>Table1[[#This Row],[ Verified Ballot Papers ]]/Table1[[#This Row],[ Electorate ]]</f>
        <v>0.79591904629886334</v>
      </c>
      <c r="J248" s="1">
        <v>71772</v>
      </c>
      <c r="K248" s="1">
        <v>71735</v>
      </c>
      <c r="L248" s="1">
        <v>32210</v>
      </c>
      <c r="M248" s="1">
        <v>39525</v>
      </c>
      <c r="N248">
        <v>37</v>
      </c>
      <c r="O248">
        <v>0</v>
      </c>
      <c r="P248">
        <v>9</v>
      </c>
      <c r="Q248">
        <v>4</v>
      </c>
      <c r="R248">
        <v>24</v>
      </c>
      <c r="S248" s="5">
        <f>Table1[[#This Row],[ Remain ]]/Table1[[#This Row],[ Valid Votes ]]</f>
        <v>0.44901373109360843</v>
      </c>
      <c r="T248" s="5">
        <f>Table1[[#This Row],[ Leave ]]/Table1[[#This Row],[ Valid Votes ]]</f>
        <v>0.55098626890639157</v>
      </c>
      <c r="U248" s="5">
        <f>Table1[[#This Row],[ Rejected Ballots ]]/Table1[[#This Row],[ Votes Cast ]]</f>
        <v>5.1552137323747425E-4</v>
      </c>
      <c r="V248" t="str">
        <f>IF(Table1[[#This Row],[Percent Leave]]&gt;Table1[[#This Row],[Percent Remain]],"Leave", "Remain")</f>
        <v>Leave</v>
      </c>
      <c r="W248">
        <v>50.853881999999999</v>
      </c>
      <c r="X248">
        <v>-1.23742</v>
      </c>
      <c r="Y248" s="1">
        <f>_xlfn.XLOOKUP(Table1[[#This Row],[Area]],Table2[Area],Table2[All Residents])</f>
        <v>111581</v>
      </c>
    </row>
    <row r="249" spans="1:25" hidden="1" x14ac:dyDescent="0.45">
      <c r="A249">
        <v>248</v>
      </c>
      <c r="B249" t="s">
        <v>479</v>
      </c>
      <c r="C249" t="s">
        <v>480</v>
      </c>
      <c r="D249" t="s">
        <v>531</v>
      </c>
      <c r="E249" t="s">
        <v>532</v>
      </c>
      <c r="F249" s="1">
        <v>62781</v>
      </c>
      <c r="G249" s="1">
        <v>46150</v>
      </c>
      <c r="H249" s="1">
        <v>46150</v>
      </c>
      <c r="I249" s="5">
        <f>Table1[[#This Row],[ Verified Ballot Papers ]]/Table1[[#This Row],[ Electorate ]]</f>
        <v>0.73509501282235068</v>
      </c>
      <c r="J249" s="1">
        <v>46150</v>
      </c>
      <c r="K249" s="1">
        <v>46127</v>
      </c>
      <c r="L249" s="1">
        <v>16671</v>
      </c>
      <c r="M249" s="1">
        <v>29456</v>
      </c>
      <c r="N249">
        <v>23</v>
      </c>
      <c r="O249">
        <v>0</v>
      </c>
      <c r="P249">
        <v>10</v>
      </c>
      <c r="Q249">
        <v>3</v>
      </c>
      <c r="R249">
        <v>10</v>
      </c>
      <c r="S249" s="5">
        <f>Table1[[#This Row],[ Remain ]]/Table1[[#This Row],[ Valid Votes ]]</f>
        <v>0.36141522318815444</v>
      </c>
      <c r="T249" s="5">
        <f>Table1[[#This Row],[ Leave ]]/Table1[[#This Row],[ Valid Votes ]]</f>
        <v>0.63858477681184556</v>
      </c>
      <c r="U249" s="5">
        <f>Table1[[#This Row],[ Rejected Ballots ]]/Table1[[#This Row],[ Votes Cast ]]</f>
        <v>4.9837486457204763E-4</v>
      </c>
      <c r="V249" t="str">
        <f>IF(Table1[[#This Row],[Percent Leave]]&gt;Table1[[#This Row],[Percent Remain]],"Leave", "Remain")</f>
        <v>Leave</v>
      </c>
      <c r="W249">
        <v>50.806358000000003</v>
      </c>
      <c r="X249">
        <v>-1.1673100000000001</v>
      </c>
      <c r="Y249" s="1">
        <f>_xlfn.XLOOKUP(Table1[[#This Row],[Area]],Table2[Area],Table2[All Residents])</f>
        <v>82622</v>
      </c>
    </row>
    <row r="250" spans="1:25" hidden="1" x14ac:dyDescent="0.45">
      <c r="A250">
        <v>249</v>
      </c>
      <c r="B250" t="s">
        <v>479</v>
      </c>
      <c r="C250" t="s">
        <v>480</v>
      </c>
      <c r="D250" t="s">
        <v>533</v>
      </c>
      <c r="E250" t="s">
        <v>534</v>
      </c>
      <c r="F250" s="1">
        <v>69946</v>
      </c>
      <c r="G250" s="1">
        <v>57836</v>
      </c>
      <c r="H250" s="1">
        <v>57822</v>
      </c>
      <c r="I250" s="5">
        <f>Table1[[#This Row],[ Verified Ballot Papers ]]/Table1[[#This Row],[ Electorate ]]</f>
        <v>0.82666628542018128</v>
      </c>
      <c r="J250" s="1">
        <v>57827</v>
      </c>
      <c r="K250" s="1">
        <v>57795</v>
      </c>
      <c r="L250" s="1">
        <v>30282</v>
      </c>
      <c r="M250" s="1">
        <v>27513</v>
      </c>
      <c r="N250">
        <v>32</v>
      </c>
      <c r="O250">
        <v>0</v>
      </c>
      <c r="P250">
        <v>9</v>
      </c>
      <c r="Q250">
        <v>0</v>
      </c>
      <c r="R250">
        <v>23</v>
      </c>
      <c r="S250" s="5">
        <f>Table1[[#This Row],[ Remain ]]/Table1[[#This Row],[ Valid Votes ]]</f>
        <v>0.52395535946016092</v>
      </c>
      <c r="T250" s="5">
        <f>Table1[[#This Row],[ Leave ]]/Table1[[#This Row],[ Valid Votes ]]</f>
        <v>0.47604464053983908</v>
      </c>
      <c r="U250" s="5">
        <f>Table1[[#This Row],[ Rejected Ballots ]]/Table1[[#This Row],[ Votes Cast ]]</f>
        <v>5.5337472115101947E-4</v>
      </c>
      <c r="V250" t="str">
        <f>IF(Table1[[#This Row],[Percent Leave]]&gt;Table1[[#This Row],[Percent Remain]],"Leave", "Remain")</f>
        <v>Remain</v>
      </c>
      <c r="W250">
        <v>51.281970999999999</v>
      </c>
      <c r="X250">
        <v>-0.88321000000000005</v>
      </c>
      <c r="Y250" s="1">
        <f>_xlfn.XLOOKUP(Table1[[#This Row],[Area]],Table2[Area],Table2[All Residents])</f>
        <v>91033</v>
      </c>
    </row>
    <row r="251" spans="1:25" hidden="1" x14ac:dyDescent="0.45">
      <c r="A251">
        <v>250</v>
      </c>
      <c r="B251" t="s">
        <v>479</v>
      </c>
      <c r="C251" t="s">
        <v>480</v>
      </c>
      <c r="D251" t="s">
        <v>535</v>
      </c>
      <c r="E251" t="s">
        <v>536</v>
      </c>
      <c r="F251" s="1">
        <v>95366</v>
      </c>
      <c r="G251" s="1">
        <v>70672</v>
      </c>
      <c r="H251" s="1">
        <v>70670</v>
      </c>
      <c r="I251" s="5">
        <f>Table1[[#This Row],[ Verified Ballot Papers ]]/Table1[[#This Row],[ Electorate ]]</f>
        <v>0.74103978357066458</v>
      </c>
      <c r="J251" s="1">
        <v>70670</v>
      </c>
      <c r="K251" s="1">
        <v>70629</v>
      </c>
      <c r="L251" s="1">
        <v>26582</v>
      </c>
      <c r="M251" s="1">
        <v>44047</v>
      </c>
      <c r="N251">
        <v>41</v>
      </c>
      <c r="O251">
        <v>0</v>
      </c>
      <c r="P251">
        <v>24</v>
      </c>
      <c r="Q251">
        <v>0</v>
      </c>
      <c r="R251">
        <v>17</v>
      </c>
      <c r="S251" s="5">
        <f>Table1[[#This Row],[ Remain ]]/Table1[[#This Row],[ Valid Votes ]]</f>
        <v>0.37636098486457403</v>
      </c>
      <c r="T251" s="5">
        <f>Table1[[#This Row],[ Leave ]]/Table1[[#This Row],[ Valid Votes ]]</f>
        <v>0.62363901513542597</v>
      </c>
      <c r="U251" s="5">
        <f>Table1[[#This Row],[ Rejected Ballots ]]/Table1[[#This Row],[ Votes Cast ]]</f>
        <v>5.8016131314560639E-4</v>
      </c>
      <c r="V251" t="str">
        <f>IF(Table1[[#This Row],[Percent Leave]]&gt;Table1[[#This Row],[Percent Remain]],"Leave", "Remain")</f>
        <v>Leave</v>
      </c>
      <c r="W251">
        <v>50.872311000000003</v>
      </c>
      <c r="X251">
        <v>-1.0039800000000001</v>
      </c>
      <c r="Y251" s="1">
        <f>_xlfn.XLOOKUP(Table1[[#This Row],[Area]],Table2[Area],Table2[All Residents])</f>
        <v>120684</v>
      </c>
    </row>
    <row r="252" spans="1:25" hidden="1" x14ac:dyDescent="0.45">
      <c r="A252">
        <v>251</v>
      </c>
      <c r="B252" t="s">
        <v>479</v>
      </c>
      <c r="C252" t="s">
        <v>480</v>
      </c>
      <c r="D252" t="s">
        <v>537</v>
      </c>
      <c r="E252" t="s">
        <v>538</v>
      </c>
      <c r="F252" s="1">
        <v>141061</v>
      </c>
      <c r="G252" s="1">
        <v>111786</v>
      </c>
      <c r="H252" s="1">
        <v>111786</v>
      </c>
      <c r="I252" s="5">
        <f>Table1[[#This Row],[ Verified Ballot Papers ]]/Table1[[#This Row],[ Electorate ]]</f>
        <v>0.79246567087997388</v>
      </c>
      <c r="J252" s="1">
        <v>111786</v>
      </c>
      <c r="K252" s="1">
        <v>111740</v>
      </c>
      <c r="L252" s="1">
        <v>47199</v>
      </c>
      <c r="M252" s="1">
        <v>64541</v>
      </c>
      <c r="N252">
        <v>46</v>
      </c>
      <c r="O252">
        <v>0</v>
      </c>
      <c r="P252">
        <v>8</v>
      </c>
      <c r="Q252">
        <v>2</v>
      </c>
      <c r="R252">
        <v>36</v>
      </c>
      <c r="S252" s="5">
        <f>Table1[[#This Row],[ Remain ]]/Table1[[#This Row],[ Valid Votes ]]</f>
        <v>0.42240021478432077</v>
      </c>
      <c r="T252" s="5">
        <f>Table1[[#This Row],[ Leave ]]/Table1[[#This Row],[ Valid Votes ]]</f>
        <v>0.57759978521567923</v>
      </c>
      <c r="U252" s="5">
        <f>Table1[[#This Row],[ Rejected Ballots ]]/Table1[[#This Row],[ Votes Cast ]]</f>
        <v>4.1150054568550625E-4</v>
      </c>
      <c r="V252" t="str">
        <f>IF(Table1[[#This Row],[Percent Leave]]&gt;Table1[[#This Row],[Percent Remain]],"Leave", "Remain")</f>
        <v>Leave</v>
      </c>
      <c r="W252">
        <v>50.857478999999998</v>
      </c>
      <c r="X252">
        <v>-1.59293</v>
      </c>
      <c r="Y252" s="1">
        <f>_xlfn.XLOOKUP(Table1[[#This Row],[Area]],Table2[Area],Table2[All Residents])</f>
        <v>176462</v>
      </c>
    </row>
    <row r="253" spans="1:25" hidden="1" x14ac:dyDescent="0.45">
      <c r="A253">
        <v>252</v>
      </c>
      <c r="B253" t="s">
        <v>479</v>
      </c>
      <c r="C253" t="s">
        <v>480</v>
      </c>
      <c r="D253" t="s">
        <v>539</v>
      </c>
      <c r="E253" t="s">
        <v>540</v>
      </c>
      <c r="F253" s="1">
        <v>65790</v>
      </c>
      <c r="G253" s="1">
        <v>48803</v>
      </c>
      <c r="H253" s="1">
        <v>48800</v>
      </c>
      <c r="I253" s="5">
        <f>Table1[[#This Row],[ Verified Ballot Papers ]]/Table1[[#This Row],[ Electorate ]]</f>
        <v>0.74175406596747229</v>
      </c>
      <c r="J253" s="1">
        <v>48800</v>
      </c>
      <c r="K253" s="1">
        <v>48780</v>
      </c>
      <c r="L253" s="1">
        <v>20384</v>
      </c>
      <c r="M253" s="1">
        <v>28396</v>
      </c>
      <c r="N253">
        <v>20</v>
      </c>
      <c r="O253">
        <v>0</v>
      </c>
      <c r="P253">
        <v>6</v>
      </c>
      <c r="Q253">
        <v>1</v>
      </c>
      <c r="R253">
        <v>13</v>
      </c>
      <c r="S253" s="5">
        <f>Table1[[#This Row],[ Remain ]]/Table1[[#This Row],[ Valid Votes ]]</f>
        <v>0.41787617876178762</v>
      </c>
      <c r="T253" s="5">
        <f>Table1[[#This Row],[ Leave ]]/Table1[[#This Row],[ Valid Votes ]]</f>
        <v>0.58212382123821238</v>
      </c>
      <c r="U253" s="5">
        <f>Table1[[#This Row],[ Rejected Ballots ]]/Table1[[#This Row],[ Votes Cast ]]</f>
        <v>4.0983606557377049E-4</v>
      </c>
      <c r="V253" t="str">
        <f>IF(Table1[[#This Row],[Percent Leave]]&gt;Table1[[#This Row],[Percent Remain]],"Leave", "Remain")</f>
        <v>Leave</v>
      </c>
      <c r="W253">
        <v>51.278148999999999</v>
      </c>
      <c r="X253">
        <v>-0.76806998000000004</v>
      </c>
      <c r="Y253" s="1">
        <f>_xlfn.XLOOKUP(Table1[[#This Row],[Area]],Table2[Area],Table2[All Residents])</f>
        <v>93807</v>
      </c>
    </row>
    <row r="254" spans="1:25" hidden="1" x14ac:dyDescent="0.45">
      <c r="A254">
        <v>253</v>
      </c>
      <c r="B254" t="s">
        <v>479</v>
      </c>
      <c r="C254" t="s">
        <v>480</v>
      </c>
      <c r="D254" t="s">
        <v>541</v>
      </c>
      <c r="E254" t="s">
        <v>542</v>
      </c>
      <c r="F254" s="1">
        <v>94559</v>
      </c>
      <c r="G254" s="1">
        <v>75316</v>
      </c>
      <c r="H254" s="1">
        <v>75316</v>
      </c>
      <c r="I254" s="5">
        <f>Table1[[#This Row],[ Verified Ballot Papers ]]/Table1[[#This Row],[ Electorate ]]</f>
        <v>0.79649742488816511</v>
      </c>
      <c r="J254" s="1">
        <v>75316</v>
      </c>
      <c r="K254" s="1">
        <v>75261</v>
      </c>
      <c r="L254" s="1">
        <v>36170</v>
      </c>
      <c r="M254" s="1">
        <v>39091</v>
      </c>
      <c r="N254">
        <v>55</v>
      </c>
      <c r="O254">
        <v>0</v>
      </c>
      <c r="P254">
        <v>13</v>
      </c>
      <c r="Q254">
        <v>4</v>
      </c>
      <c r="R254">
        <v>38</v>
      </c>
      <c r="S254" s="5">
        <f>Table1[[#This Row],[ Remain ]]/Table1[[#This Row],[ Valid Votes ]]</f>
        <v>0.48059419885465249</v>
      </c>
      <c r="T254" s="5">
        <f>Table1[[#This Row],[ Leave ]]/Table1[[#This Row],[ Valid Votes ]]</f>
        <v>0.51940580114534751</v>
      </c>
      <c r="U254" s="5">
        <f>Table1[[#This Row],[ Rejected Ballots ]]/Table1[[#This Row],[ Votes Cast ]]</f>
        <v>7.3025651919910773E-4</v>
      </c>
      <c r="V254" t="str">
        <f>IF(Table1[[#This Row],[Percent Leave]]&gt;Table1[[#This Row],[Percent Remain]],"Leave", "Remain")</f>
        <v>Leave</v>
      </c>
      <c r="W254">
        <v>51.134171000000002</v>
      </c>
      <c r="X254">
        <v>-1.50214</v>
      </c>
      <c r="Y254" s="1">
        <f>_xlfn.XLOOKUP(Table1[[#This Row],[Area]],Table2[Area],Table2[All Residents])</f>
        <v>116398</v>
      </c>
    </row>
    <row r="255" spans="1:25" hidden="1" x14ac:dyDescent="0.45">
      <c r="A255">
        <v>254</v>
      </c>
      <c r="B255" t="s">
        <v>479</v>
      </c>
      <c r="C255" t="s">
        <v>480</v>
      </c>
      <c r="D255" t="s">
        <v>543</v>
      </c>
      <c r="E255" t="s">
        <v>544</v>
      </c>
      <c r="F255" s="1">
        <v>89595</v>
      </c>
      <c r="G255" s="1">
        <v>72801</v>
      </c>
      <c r="H255" s="1">
        <v>72801</v>
      </c>
      <c r="I255" s="5">
        <f>Table1[[#This Row],[ Verified Ballot Papers ]]/Table1[[#This Row],[ Electorate ]]</f>
        <v>0.81255650426921144</v>
      </c>
      <c r="J255" s="1">
        <v>72801</v>
      </c>
      <c r="K255" s="1">
        <v>72764</v>
      </c>
      <c r="L255" s="1">
        <v>42878</v>
      </c>
      <c r="M255" s="1">
        <v>29886</v>
      </c>
      <c r="N255">
        <v>37</v>
      </c>
      <c r="O255">
        <v>0</v>
      </c>
      <c r="P255">
        <v>12</v>
      </c>
      <c r="Q255">
        <v>2</v>
      </c>
      <c r="R255">
        <v>23</v>
      </c>
      <c r="S255" s="5">
        <f>Table1[[#This Row],[ Remain ]]/Table1[[#This Row],[ Valid Votes ]]</f>
        <v>0.58927491616733552</v>
      </c>
      <c r="T255" s="5">
        <f>Table1[[#This Row],[ Leave ]]/Table1[[#This Row],[ Valid Votes ]]</f>
        <v>0.41072508383266448</v>
      </c>
      <c r="U255" s="5">
        <f>Table1[[#This Row],[ Rejected Ballots ]]/Table1[[#This Row],[ Votes Cast ]]</f>
        <v>5.0823477699482155E-4</v>
      </c>
      <c r="V255" t="str">
        <f>IF(Table1[[#This Row],[Percent Leave]]&gt;Table1[[#This Row],[Percent Remain]],"Leave", "Remain")</f>
        <v>Remain</v>
      </c>
      <c r="W255">
        <v>51.030022000000002</v>
      </c>
      <c r="X255">
        <v>-1.24393</v>
      </c>
      <c r="Y255" s="1">
        <f>_xlfn.XLOOKUP(Table1[[#This Row],[Area]],Table2[Area],Table2[All Residents])</f>
        <v>116595</v>
      </c>
    </row>
    <row r="256" spans="1:25" hidden="1" x14ac:dyDescent="0.45">
      <c r="A256">
        <v>255</v>
      </c>
      <c r="B256" t="s">
        <v>479</v>
      </c>
      <c r="C256" t="s">
        <v>480</v>
      </c>
      <c r="D256" t="s">
        <v>545</v>
      </c>
      <c r="E256" t="s">
        <v>546</v>
      </c>
      <c r="F256" s="1">
        <v>90516</v>
      </c>
      <c r="G256" s="1">
        <v>69828</v>
      </c>
      <c r="H256" s="1">
        <v>69828</v>
      </c>
      <c r="I256" s="5">
        <f>Table1[[#This Row],[ Verified Ballot Papers ]]/Table1[[#This Row],[ Electorate ]]</f>
        <v>0.77144372265676786</v>
      </c>
      <c r="J256" s="1">
        <v>69827</v>
      </c>
      <c r="K256" s="1">
        <v>69786</v>
      </c>
      <c r="L256" s="1">
        <v>28314</v>
      </c>
      <c r="M256" s="1">
        <v>41472</v>
      </c>
      <c r="N256">
        <v>41</v>
      </c>
      <c r="O256">
        <v>0</v>
      </c>
      <c r="P256">
        <v>13</v>
      </c>
      <c r="Q256">
        <v>0</v>
      </c>
      <c r="R256">
        <v>28</v>
      </c>
      <c r="S256" s="5">
        <f>Table1[[#This Row],[ Remain ]]/Table1[[#This Row],[ Valid Votes ]]</f>
        <v>0.40572607686355427</v>
      </c>
      <c r="T256" s="5">
        <f>Table1[[#This Row],[ Leave ]]/Table1[[#This Row],[ Valid Votes ]]</f>
        <v>0.59427392313644567</v>
      </c>
      <c r="U256" s="5">
        <f>Table1[[#This Row],[ Rejected Ballots ]]/Table1[[#This Row],[ Votes Cast ]]</f>
        <v>5.8716542311713232E-4</v>
      </c>
      <c r="V256" t="str">
        <f>IF(Table1[[#This Row],[Percent Leave]]&gt;Table1[[#This Row],[Percent Remain]],"Leave", "Remain")</f>
        <v>Leave</v>
      </c>
      <c r="W256">
        <v>51.130958999999997</v>
      </c>
      <c r="X256">
        <v>0.82337397000000001</v>
      </c>
      <c r="Y256" s="1">
        <f>_xlfn.XLOOKUP(Table1[[#This Row],[Area]],Table2[Area],Table2[All Residents])</f>
        <v>117956</v>
      </c>
    </row>
    <row r="257" spans="1:25" hidden="1" x14ac:dyDescent="0.45">
      <c r="A257">
        <v>256</v>
      </c>
      <c r="B257" t="s">
        <v>479</v>
      </c>
      <c r="C257" t="s">
        <v>480</v>
      </c>
      <c r="D257" t="s">
        <v>547</v>
      </c>
      <c r="E257" t="s">
        <v>548</v>
      </c>
      <c r="F257" s="1">
        <v>109399</v>
      </c>
      <c r="G257" s="1">
        <v>82105</v>
      </c>
      <c r="H257" s="1">
        <v>82105</v>
      </c>
      <c r="I257" s="5">
        <f>Table1[[#This Row],[ Verified Ballot Papers ]]/Table1[[#This Row],[ Electorate ]]</f>
        <v>0.75050960246437348</v>
      </c>
      <c r="J257" s="1">
        <v>82105</v>
      </c>
      <c r="K257" s="1">
        <v>82048</v>
      </c>
      <c r="L257" s="1">
        <v>40169</v>
      </c>
      <c r="M257" s="1">
        <v>41879</v>
      </c>
      <c r="N257">
        <v>57</v>
      </c>
      <c r="O257">
        <v>0</v>
      </c>
      <c r="P257">
        <v>21</v>
      </c>
      <c r="Q257">
        <v>1</v>
      </c>
      <c r="R257">
        <v>35</v>
      </c>
      <c r="S257" s="5">
        <f>Table1[[#This Row],[ Remain ]]/Table1[[#This Row],[ Valid Votes ]]</f>
        <v>0.48957927067082685</v>
      </c>
      <c r="T257" s="5">
        <f>Table1[[#This Row],[ Leave ]]/Table1[[#This Row],[ Valid Votes ]]</f>
        <v>0.51042072932917315</v>
      </c>
      <c r="U257" s="5">
        <f>Table1[[#This Row],[ Rejected Ballots ]]/Table1[[#This Row],[ Votes Cast ]]</f>
        <v>6.9423299433652027E-4</v>
      </c>
      <c r="V257" t="str">
        <f>IF(Table1[[#This Row],[Percent Leave]]&gt;Table1[[#This Row],[Percent Remain]],"Leave", "Remain")</f>
        <v>Leave</v>
      </c>
      <c r="W257">
        <v>51.281021000000003</v>
      </c>
      <c r="X257">
        <v>1.0963419999999999</v>
      </c>
      <c r="Y257" s="1">
        <f>_xlfn.XLOOKUP(Table1[[#This Row],[Area]],Table2[Area],Table2[All Residents])</f>
        <v>151145</v>
      </c>
    </row>
    <row r="258" spans="1:25" hidden="1" x14ac:dyDescent="0.45">
      <c r="A258">
        <v>257</v>
      </c>
      <c r="B258" t="s">
        <v>479</v>
      </c>
      <c r="C258" t="s">
        <v>480</v>
      </c>
      <c r="D258" t="s">
        <v>549</v>
      </c>
      <c r="E258" t="s">
        <v>550</v>
      </c>
      <c r="F258" s="1">
        <v>73951</v>
      </c>
      <c r="G258" s="1">
        <v>55884</v>
      </c>
      <c r="H258" s="1">
        <v>55883</v>
      </c>
      <c r="I258" s="5">
        <f>Table1[[#This Row],[ Verified Ballot Papers ]]/Table1[[#This Row],[ Electorate ]]</f>
        <v>0.75567605576665631</v>
      </c>
      <c r="J258" s="1">
        <v>55883</v>
      </c>
      <c r="K258" s="1">
        <v>55855</v>
      </c>
      <c r="L258" s="1">
        <v>19985</v>
      </c>
      <c r="M258" s="1">
        <v>35870</v>
      </c>
      <c r="N258">
        <v>28</v>
      </c>
      <c r="O258">
        <v>0</v>
      </c>
      <c r="P258">
        <v>9</v>
      </c>
      <c r="Q258">
        <v>1</v>
      </c>
      <c r="R258">
        <v>18</v>
      </c>
      <c r="S258" s="5">
        <f>Table1[[#This Row],[ Remain ]]/Table1[[#This Row],[ Valid Votes ]]</f>
        <v>0.35780145018351089</v>
      </c>
      <c r="T258" s="5">
        <f>Table1[[#This Row],[ Leave ]]/Table1[[#This Row],[ Valid Votes ]]</f>
        <v>0.64219854981648916</v>
      </c>
      <c r="U258" s="5">
        <f>Table1[[#This Row],[ Rejected Ballots ]]/Table1[[#This Row],[ Votes Cast ]]</f>
        <v>5.0104682998407387E-4</v>
      </c>
      <c r="V258" t="str">
        <f>IF(Table1[[#This Row],[Percent Leave]]&gt;Table1[[#This Row],[Percent Remain]],"Leave", "Remain")</f>
        <v>Leave</v>
      </c>
      <c r="W258">
        <v>51.433731000000002</v>
      </c>
      <c r="X258">
        <v>0.24527599999999999</v>
      </c>
      <c r="Y258" s="1">
        <f>_xlfn.XLOOKUP(Table1[[#This Row],[Area]],Table2[Area],Table2[All Residents])</f>
        <v>97365</v>
      </c>
    </row>
    <row r="259" spans="1:25" hidden="1" x14ac:dyDescent="0.45">
      <c r="A259">
        <v>258</v>
      </c>
      <c r="B259" t="s">
        <v>479</v>
      </c>
      <c r="C259" t="s">
        <v>480</v>
      </c>
      <c r="D259" t="s">
        <v>551</v>
      </c>
      <c r="E259" t="s">
        <v>552</v>
      </c>
      <c r="F259" s="1">
        <v>85011</v>
      </c>
      <c r="G259" s="1">
        <v>65057</v>
      </c>
      <c r="H259" s="1">
        <v>65057</v>
      </c>
      <c r="I259" s="5">
        <f>Table1[[#This Row],[ Verified Ballot Papers ]]/Table1[[#This Row],[ Electorate ]]</f>
        <v>0.76527743468492315</v>
      </c>
      <c r="J259" s="1">
        <v>65057</v>
      </c>
      <c r="K259" s="1">
        <v>65016</v>
      </c>
      <c r="L259" s="1">
        <v>24606</v>
      </c>
      <c r="M259" s="1">
        <v>40410</v>
      </c>
      <c r="N259">
        <v>41</v>
      </c>
      <c r="O259">
        <v>0</v>
      </c>
      <c r="P259">
        <v>10</v>
      </c>
      <c r="Q259">
        <v>0</v>
      </c>
      <c r="R259">
        <v>31</v>
      </c>
      <c r="S259" s="5">
        <f>Table1[[#This Row],[ Remain ]]/Table1[[#This Row],[ Valid Votes ]]</f>
        <v>0.37846068660022147</v>
      </c>
      <c r="T259" s="5">
        <f>Table1[[#This Row],[ Leave ]]/Table1[[#This Row],[ Valid Votes ]]</f>
        <v>0.62153931339977853</v>
      </c>
      <c r="U259" s="5">
        <f>Table1[[#This Row],[ Rejected Ballots ]]/Table1[[#This Row],[ Votes Cast ]]</f>
        <v>6.3021657930737666E-4</v>
      </c>
      <c r="V259" t="str">
        <f>IF(Table1[[#This Row],[Percent Leave]]&gt;Table1[[#This Row],[Percent Remain]],"Leave", "Remain")</f>
        <v>Leave</v>
      </c>
      <c r="W259">
        <v>51.211761000000003</v>
      </c>
      <c r="X259">
        <v>1.2768870999999999</v>
      </c>
      <c r="Y259" s="1">
        <f>_xlfn.XLOOKUP(Table1[[#This Row],[Area]],Table2[Area],Table2[All Residents])</f>
        <v>111674</v>
      </c>
    </row>
    <row r="260" spans="1:25" hidden="1" x14ac:dyDescent="0.45">
      <c r="A260">
        <v>259</v>
      </c>
      <c r="B260" t="s">
        <v>479</v>
      </c>
      <c r="C260" t="s">
        <v>480</v>
      </c>
      <c r="D260" t="s">
        <v>553</v>
      </c>
      <c r="E260" t="s">
        <v>554</v>
      </c>
      <c r="F260" s="1">
        <v>72808</v>
      </c>
      <c r="G260" s="1">
        <v>54554</v>
      </c>
      <c r="H260" s="1">
        <v>54553</v>
      </c>
      <c r="I260" s="5">
        <f>Table1[[#This Row],[ Verified Ballot Papers ]]/Table1[[#This Row],[ Electorate ]]</f>
        <v>0.7492720580156027</v>
      </c>
      <c r="J260" s="1">
        <v>54553</v>
      </c>
      <c r="K260" s="1">
        <v>54519</v>
      </c>
      <c r="L260" s="1">
        <v>18876</v>
      </c>
      <c r="M260" s="1">
        <v>35643</v>
      </c>
      <c r="N260">
        <v>34</v>
      </c>
      <c r="O260">
        <v>0</v>
      </c>
      <c r="P260">
        <v>6</v>
      </c>
      <c r="Q260">
        <v>0</v>
      </c>
      <c r="R260">
        <v>28</v>
      </c>
      <c r="S260" s="5">
        <f>Table1[[#This Row],[ Remain ]]/Table1[[#This Row],[ Valid Votes ]]</f>
        <v>0.34622792054146262</v>
      </c>
      <c r="T260" s="5">
        <f>Table1[[#This Row],[ Leave ]]/Table1[[#This Row],[ Valid Votes ]]</f>
        <v>0.65377207945853744</v>
      </c>
      <c r="U260" s="5">
        <f>Table1[[#This Row],[ Rejected Ballots ]]/Table1[[#This Row],[ Votes Cast ]]</f>
        <v>6.2324711748208163E-4</v>
      </c>
      <c r="V260" t="str">
        <f>IF(Table1[[#This Row],[Percent Leave]]&gt;Table1[[#This Row],[Percent Remain]],"Leave", "Remain")</f>
        <v>Leave</v>
      </c>
      <c r="W260">
        <v>51.396487999999998</v>
      </c>
      <c r="X260">
        <v>0.39874398999999999</v>
      </c>
      <c r="Y260" s="1">
        <f>_xlfn.XLOOKUP(Table1[[#This Row],[Area]],Table2[Area],Table2[All Residents])</f>
        <v>101720</v>
      </c>
    </row>
    <row r="261" spans="1:25" hidden="1" x14ac:dyDescent="0.45">
      <c r="A261">
        <v>260</v>
      </c>
      <c r="B261" t="s">
        <v>479</v>
      </c>
      <c r="C261" t="s">
        <v>480</v>
      </c>
      <c r="D261" t="s">
        <v>555</v>
      </c>
      <c r="E261" t="s">
        <v>556</v>
      </c>
      <c r="F261" s="1">
        <v>117298</v>
      </c>
      <c r="G261" s="1">
        <v>89177</v>
      </c>
      <c r="H261" s="1">
        <v>89173</v>
      </c>
      <c r="I261" s="5">
        <f>Table1[[#This Row],[ Verified Ballot Papers ]]/Table1[[#This Row],[ Electorate ]]</f>
        <v>0.76022609081143755</v>
      </c>
      <c r="J261" s="1">
        <v>89173</v>
      </c>
      <c r="K261" s="1">
        <v>89127</v>
      </c>
      <c r="L261" s="1">
        <v>36762</v>
      </c>
      <c r="M261" s="1">
        <v>52365</v>
      </c>
      <c r="N261">
        <v>46</v>
      </c>
      <c r="O261">
        <v>3</v>
      </c>
      <c r="P261">
        <v>8</v>
      </c>
      <c r="Q261">
        <v>1</v>
      </c>
      <c r="R261">
        <v>34</v>
      </c>
      <c r="S261" s="5">
        <f>Table1[[#This Row],[ Remain ]]/Table1[[#This Row],[ Valid Votes ]]</f>
        <v>0.4124676024100441</v>
      </c>
      <c r="T261" s="5">
        <f>Table1[[#This Row],[ Leave ]]/Table1[[#This Row],[ Valid Votes ]]</f>
        <v>0.5875323975899559</v>
      </c>
      <c r="U261" s="5">
        <f>Table1[[#This Row],[ Rejected Ballots ]]/Table1[[#This Row],[ Votes Cast ]]</f>
        <v>5.1585121056822128E-4</v>
      </c>
      <c r="V261" t="str">
        <f>IF(Table1[[#This Row],[Percent Leave]]&gt;Table1[[#This Row],[Percent Remain]],"Leave", "Remain")</f>
        <v>Leave</v>
      </c>
      <c r="W261">
        <v>51.235661</v>
      </c>
      <c r="X261">
        <v>0.58406102999999998</v>
      </c>
      <c r="Y261" s="1">
        <f>_xlfn.XLOOKUP(Table1[[#This Row],[Area]],Table2[Area],Table2[All Residents])</f>
        <v>155143</v>
      </c>
    </row>
    <row r="262" spans="1:25" hidden="1" x14ac:dyDescent="0.45">
      <c r="A262">
        <v>261</v>
      </c>
      <c r="B262" t="s">
        <v>479</v>
      </c>
      <c r="C262" t="s">
        <v>480</v>
      </c>
      <c r="D262" t="s">
        <v>557</v>
      </c>
      <c r="E262" t="s">
        <v>558</v>
      </c>
      <c r="F262" s="1">
        <v>87253</v>
      </c>
      <c r="G262" s="1">
        <v>70399</v>
      </c>
      <c r="H262" s="1">
        <v>70393</v>
      </c>
      <c r="I262" s="5">
        <f>Table1[[#This Row],[ Verified Ballot Papers ]]/Table1[[#This Row],[ Electorate ]]</f>
        <v>0.8067688217024056</v>
      </c>
      <c r="J262" s="1">
        <v>70393</v>
      </c>
      <c r="K262" s="1">
        <v>70349</v>
      </c>
      <c r="L262" s="1">
        <v>32091</v>
      </c>
      <c r="M262" s="1">
        <v>38258</v>
      </c>
      <c r="N262">
        <v>44</v>
      </c>
      <c r="O262">
        <v>0</v>
      </c>
      <c r="P262">
        <v>18</v>
      </c>
      <c r="Q262">
        <v>4</v>
      </c>
      <c r="R262">
        <v>22</v>
      </c>
      <c r="S262" s="5">
        <f>Table1[[#This Row],[ Remain ]]/Table1[[#This Row],[ Valid Votes ]]</f>
        <v>0.45616853118025841</v>
      </c>
      <c r="T262" s="5">
        <f>Table1[[#This Row],[ Leave ]]/Table1[[#This Row],[ Valid Votes ]]</f>
        <v>0.54383146881974154</v>
      </c>
      <c r="U262" s="5">
        <f>Table1[[#This Row],[ Rejected Ballots ]]/Table1[[#This Row],[ Votes Cast ]]</f>
        <v>6.250621510661571E-4</v>
      </c>
      <c r="V262" t="str">
        <f>IF(Table1[[#This Row],[Percent Leave]]&gt;Table1[[#This Row],[Percent Remain]],"Leave", "Remain")</f>
        <v>Leave</v>
      </c>
      <c r="W262">
        <v>51.275630999999997</v>
      </c>
      <c r="X262">
        <v>0.18893599999999999</v>
      </c>
      <c r="Y262" s="1">
        <f>_xlfn.XLOOKUP(Table1[[#This Row],[Area]],Table2[Area],Table2[All Residents])</f>
        <v>114893</v>
      </c>
    </row>
    <row r="263" spans="1:25" hidden="1" x14ac:dyDescent="0.45">
      <c r="A263">
        <v>262</v>
      </c>
      <c r="B263" t="s">
        <v>479</v>
      </c>
      <c r="C263" t="s">
        <v>480</v>
      </c>
      <c r="D263" t="s">
        <v>559</v>
      </c>
      <c r="E263" t="s">
        <v>560</v>
      </c>
      <c r="F263" s="1">
        <v>80879</v>
      </c>
      <c r="G263" s="1">
        <v>60659</v>
      </c>
      <c r="H263" s="1">
        <v>60659</v>
      </c>
      <c r="I263" s="5">
        <f>Table1[[#This Row],[ Verified Ballot Papers ]]/Table1[[#This Row],[ Electorate ]]</f>
        <v>0.7499969089627716</v>
      </c>
      <c r="J263" s="1">
        <v>60659</v>
      </c>
      <c r="K263" s="1">
        <v>60613</v>
      </c>
      <c r="L263" s="1">
        <v>22884</v>
      </c>
      <c r="M263" s="1">
        <v>37729</v>
      </c>
      <c r="N263">
        <v>46</v>
      </c>
      <c r="O263">
        <v>0</v>
      </c>
      <c r="P263">
        <v>13</v>
      </c>
      <c r="Q263">
        <v>2</v>
      </c>
      <c r="R263">
        <v>31</v>
      </c>
      <c r="S263" s="5">
        <f>Table1[[#This Row],[ Remain ]]/Table1[[#This Row],[ Valid Votes ]]</f>
        <v>0.37754277135268011</v>
      </c>
      <c r="T263" s="5">
        <f>Table1[[#This Row],[ Leave ]]/Table1[[#This Row],[ Valid Votes ]]</f>
        <v>0.62245722864731989</v>
      </c>
      <c r="U263" s="5">
        <f>Table1[[#This Row],[ Rejected Ballots ]]/Table1[[#This Row],[ Votes Cast ]]</f>
        <v>7.5833759211328905E-4</v>
      </c>
      <c r="V263" t="str">
        <f>IF(Table1[[#This Row],[Percent Leave]]&gt;Table1[[#This Row],[Percent Remain]],"Leave", "Remain")</f>
        <v>Leave</v>
      </c>
      <c r="W263">
        <v>51.072127999999999</v>
      </c>
      <c r="X263">
        <v>1.0007950000000001</v>
      </c>
      <c r="Y263" s="1">
        <f>_xlfn.XLOOKUP(Table1[[#This Row],[Area]],Table2[Area],Table2[All Residents])</f>
        <v>107969</v>
      </c>
    </row>
    <row r="264" spans="1:25" hidden="1" x14ac:dyDescent="0.45">
      <c r="A264">
        <v>263</v>
      </c>
      <c r="B264" t="s">
        <v>479</v>
      </c>
      <c r="C264" t="s">
        <v>480</v>
      </c>
      <c r="D264" t="s">
        <v>561</v>
      </c>
      <c r="E264" t="s">
        <v>562</v>
      </c>
      <c r="F264" s="1">
        <v>102209</v>
      </c>
      <c r="G264" s="1">
        <v>75913</v>
      </c>
      <c r="H264" s="1">
        <v>75913</v>
      </c>
      <c r="I264" s="5">
        <f>Table1[[#This Row],[ Verified Ballot Papers ]]/Table1[[#This Row],[ Electorate ]]</f>
        <v>0.74272324354998087</v>
      </c>
      <c r="J264" s="1">
        <v>75913</v>
      </c>
      <c r="K264" s="1">
        <v>75869</v>
      </c>
      <c r="L264" s="1">
        <v>28481</v>
      </c>
      <c r="M264" s="1">
        <v>47388</v>
      </c>
      <c r="N264">
        <v>44</v>
      </c>
      <c r="O264">
        <v>0</v>
      </c>
      <c r="P264">
        <v>16</v>
      </c>
      <c r="Q264">
        <v>0</v>
      </c>
      <c r="R264">
        <v>28</v>
      </c>
      <c r="S264" s="5">
        <f>Table1[[#This Row],[ Remain ]]/Table1[[#This Row],[ Valid Votes ]]</f>
        <v>0.37539706599533407</v>
      </c>
      <c r="T264" s="5">
        <f>Table1[[#This Row],[ Leave ]]/Table1[[#This Row],[ Valid Votes ]]</f>
        <v>0.62460293400466593</v>
      </c>
      <c r="U264" s="5">
        <f>Table1[[#This Row],[ Rejected Ballots ]]/Table1[[#This Row],[ Votes Cast ]]</f>
        <v>5.7961087033841369E-4</v>
      </c>
      <c r="V264" t="str">
        <f>IF(Table1[[#This Row],[Percent Leave]]&gt;Table1[[#This Row],[Percent Remain]],"Leave", "Remain")</f>
        <v>Leave</v>
      </c>
      <c r="W264">
        <v>51.322510000000001</v>
      </c>
      <c r="X264">
        <v>0.77689302000000005</v>
      </c>
      <c r="Y264" s="1">
        <f>_xlfn.XLOOKUP(Table1[[#This Row],[Area]],Table2[Area],Table2[All Residents])</f>
        <v>135835</v>
      </c>
    </row>
    <row r="265" spans="1:25" hidden="1" x14ac:dyDescent="0.45">
      <c r="A265">
        <v>264</v>
      </c>
      <c r="B265" t="s">
        <v>479</v>
      </c>
      <c r="C265" t="s">
        <v>480</v>
      </c>
      <c r="D265" t="s">
        <v>563</v>
      </c>
      <c r="E265" t="s">
        <v>564</v>
      </c>
      <c r="F265" s="1">
        <v>99108</v>
      </c>
      <c r="G265" s="1">
        <v>72149</v>
      </c>
      <c r="H265" s="1">
        <v>72146</v>
      </c>
      <c r="I265" s="5">
        <f>Table1[[#This Row],[ Verified Ballot Papers ]]/Table1[[#This Row],[ Electorate ]]</f>
        <v>0.72795334382693622</v>
      </c>
      <c r="J265" s="1">
        <v>72146</v>
      </c>
      <c r="K265" s="1">
        <v>72102</v>
      </c>
      <c r="L265" s="1">
        <v>26065</v>
      </c>
      <c r="M265" s="1">
        <v>46037</v>
      </c>
      <c r="N265">
        <v>44</v>
      </c>
      <c r="O265">
        <v>0</v>
      </c>
      <c r="P265">
        <v>14</v>
      </c>
      <c r="Q265">
        <v>1</v>
      </c>
      <c r="R265">
        <v>29</v>
      </c>
      <c r="S265" s="5">
        <f>Table1[[#This Row],[ Remain ]]/Table1[[#This Row],[ Valid Votes ]]</f>
        <v>0.36150176139358131</v>
      </c>
      <c r="T265" s="5">
        <f>Table1[[#This Row],[ Leave ]]/Table1[[#This Row],[ Valid Votes ]]</f>
        <v>0.63849823860641863</v>
      </c>
      <c r="U265" s="5">
        <f>Table1[[#This Row],[ Rejected Ballots ]]/Table1[[#This Row],[ Votes Cast ]]</f>
        <v>6.0987442131233891E-4</v>
      </c>
      <c r="V265" t="str">
        <f>IF(Table1[[#This Row],[Percent Leave]]&gt;Table1[[#This Row],[Percent Remain]],"Leave", "Remain")</f>
        <v>Leave</v>
      </c>
      <c r="W265">
        <v>51.352519999999998</v>
      </c>
      <c r="X265">
        <v>1.3282259999999999</v>
      </c>
      <c r="Y265" s="1">
        <f>_xlfn.XLOOKUP(Table1[[#This Row],[Area]],Table2[Area],Table2[All Residents])</f>
        <v>134186</v>
      </c>
    </row>
    <row r="266" spans="1:25" hidden="1" x14ac:dyDescent="0.45">
      <c r="A266">
        <v>265</v>
      </c>
      <c r="B266" t="s">
        <v>479</v>
      </c>
      <c r="C266" t="s">
        <v>480</v>
      </c>
      <c r="D266" t="s">
        <v>565</v>
      </c>
      <c r="E266" t="s">
        <v>566</v>
      </c>
      <c r="F266" s="1">
        <v>93019</v>
      </c>
      <c r="G266" s="1">
        <v>74070</v>
      </c>
      <c r="H266" s="1">
        <v>74066</v>
      </c>
      <c r="I266" s="5">
        <f>Table1[[#This Row],[ Verified Ballot Papers ]]/Table1[[#This Row],[ Electorate ]]</f>
        <v>0.79624592825121754</v>
      </c>
      <c r="J266" s="1">
        <v>74066</v>
      </c>
      <c r="K266" s="1">
        <v>74021</v>
      </c>
      <c r="L266" s="1">
        <v>32792</v>
      </c>
      <c r="M266" s="1">
        <v>41229</v>
      </c>
      <c r="N266">
        <v>45</v>
      </c>
      <c r="O266">
        <v>0</v>
      </c>
      <c r="P266">
        <v>15</v>
      </c>
      <c r="Q266">
        <v>1</v>
      </c>
      <c r="R266">
        <v>29</v>
      </c>
      <c r="S266" s="5">
        <f>Table1[[#This Row],[ Remain ]]/Table1[[#This Row],[ Valid Votes ]]</f>
        <v>0.44300941624674078</v>
      </c>
      <c r="T266" s="5">
        <f>Table1[[#This Row],[ Leave ]]/Table1[[#This Row],[ Valid Votes ]]</f>
        <v>0.55699058375325916</v>
      </c>
      <c r="U266" s="5">
        <f>Table1[[#This Row],[ Rejected Ballots ]]/Table1[[#This Row],[ Votes Cast ]]</f>
        <v>6.0756622471849428E-4</v>
      </c>
      <c r="V266" t="str">
        <f>IF(Table1[[#This Row],[Percent Leave]]&gt;Table1[[#This Row],[Percent Remain]],"Leave", "Remain")</f>
        <v>Leave</v>
      </c>
      <c r="W266">
        <v>51.260638999999998</v>
      </c>
      <c r="X266">
        <v>0.34930599000000001</v>
      </c>
      <c r="Y266" s="1">
        <f>_xlfn.XLOOKUP(Table1[[#This Row],[Area]],Table2[Area],Table2[All Residents])</f>
        <v>120805</v>
      </c>
    </row>
    <row r="267" spans="1:25" hidden="1" x14ac:dyDescent="0.45">
      <c r="A267">
        <v>266</v>
      </c>
      <c r="B267" t="s">
        <v>479</v>
      </c>
      <c r="C267" t="s">
        <v>480</v>
      </c>
      <c r="D267" t="s">
        <v>567</v>
      </c>
      <c r="E267" t="s">
        <v>568</v>
      </c>
      <c r="F267" s="1">
        <v>82181</v>
      </c>
      <c r="G267" s="1">
        <v>65051</v>
      </c>
      <c r="H267" s="1">
        <v>65047</v>
      </c>
      <c r="I267" s="5">
        <f>Table1[[#This Row],[ Verified Ballot Papers ]]/Table1[[#This Row],[ Electorate ]]</f>
        <v>0.79150898626203137</v>
      </c>
      <c r="J267" s="1">
        <v>65039</v>
      </c>
      <c r="K267" s="1">
        <v>64996</v>
      </c>
      <c r="L267" s="1">
        <v>35676</v>
      </c>
      <c r="M267" s="1">
        <v>29320</v>
      </c>
      <c r="N267">
        <v>43</v>
      </c>
      <c r="O267">
        <v>0</v>
      </c>
      <c r="P267">
        <v>13</v>
      </c>
      <c r="Q267">
        <v>2</v>
      </c>
      <c r="R267">
        <v>28</v>
      </c>
      <c r="S267" s="5">
        <f>Table1[[#This Row],[ Remain ]]/Table1[[#This Row],[ Valid Votes ]]</f>
        <v>0.54889531663486979</v>
      </c>
      <c r="T267" s="5">
        <f>Table1[[#This Row],[ Leave ]]/Table1[[#This Row],[ Valid Votes ]]</f>
        <v>0.45110468336513015</v>
      </c>
      <c r="U267" s="5">
        <f>Table1[[#This Row],[ Rejected Ballots ]]/Table1[[#This Row],[ Votes Cast ]]</f>
        <v>6.6114177647257804E-4</v>
      </c>
      <c r="V267" t="str">
        <f>IF(Table1[[#This Row],[Percent Leave]]&gt;Table1[[#This Row],[Percent Remain]],"Leave", "Remain")</f>
        <v>Remain</v>
      </c>
      <c r="W267">
        <v>51.102539</v>
      </c>
      <c r="X267">
        <v>0.471632</v>
      </c>
      <c r="Y267" s="1">
        <f>_xlfn.XLOOKUP(Table1[[#This Row],[Area]],Table2[Area],Table2[All Residents])</f>
        <v>115049</v>
      </c>
    </row>
    <row r="268" spans="1:25" hidden="1" x14ac:dyDescent="0.45">
      <c r="A268">
        <v>267</v>
      </c>
      <c r="B268" t="s">
        <v>479</v>
      </c>
      <c r="C268" t="s">
        <v>480</v>
      </c>
      <c r="D268" t="s">
        <v>569</v>
      </c>
      <c r="E268" t="s">
        <v>570</v>
      </c>
      <c r="F268" s="1">
        <v>108342</v>
      </c>
      <c r="G268" s="1">
        <v>81909</v>
      </c>
      <c r="H268" s="1">
        <v>81912</v>
      </c>
      <c r="I268" s="5">
        <f>Table1[[#This Row],[ Verified Ballot Papers ]]/Table1[[#This Row],[ Electorate ]]</f>
        <v>0.75605028520795259</v>
      </c>
      <c r="J268" s="1">
        <v>81908</v>
      </c>
      <c r="K268" s="1">
        <v>81836</v>
      </c>
      <c r="L268" s="1">
        <v>40668</v>
      </c>
      <c r="M268" s="1">
        <v>41168</v>
      </c>
      <c r="N268">
        <v>72</v>
      </c>
      <c r="O268">
        <v>0</v>
      </c>
      <c r="P268">
        <v>29</v>
      </c>
      <c r="Q268">
        <v>1</v>
      </c>
      <c r="R268">
        <v>42</v>
      </c>
      <c r="S268" s="5">
        <f>Table1[[#This Row],[ Remain ]]/Table1[[#This Row],[ Valid Votes ]]</f>
        <v>0.49694510973165845</v>
      </c>
      <c r="T268" s="5">
        <f>Table1[[#This Row],[ Leave ]]/Table1[[#This Row],[ Valid Votes ]]</f>
        <v>0.5030548902683416</v>
      </c>
      <c r="U268" s="5">
        <f>Table1[[#This Row],[ Rejected Ballots ]]/Table1[[#This Row],[ Votes Cast ]]</f>
        <v>8.7903501489475992E-4</v>
      </c>
      <c r="V268" t="str">
        <f>IF(Table1[[#This Row],[Percent Leave]]&gt;Table1[[#This Row],[Percent Remain]],"Leave", "Remain")</f>
        <v>Leave</v>
      </c>
      <c r="W268">
        <v>51.887199000000003</v>
      </c>
      <c r="X268">
        <v>-1.2850600000000001</v>
      </c>
      <c r="Y268" s="1">
        <f>_xlfn.XLOOKUP(Table1[[#This Row],[Area]],Table2[Area],Table2[All Residents])</f>
        <v>141868</v>
      </c>
    </row>
    <row r="269" spans="1:25" hidden="1" x14ac:dyDescent="0.45">
      <c r="A269">
        <v>268</v>
      </c>
      <c r="B269" t="s">
        <v>479</v>
      </c>
      <c r="C269" t="s">
        <v>480</v>
      </c>
      <c r="D269" t="s">
        <v>571</v>
      </c>
      <c r="E269" t="s">
        <v>572</v>
      </c>
      <c r="F269" s="1">
        <v>97331</v>
      </c>
      <c r="G269" s="1">
        <v>70421</v>
      </c>
      <c r="H269" s="1">
        <v>70411</v>
      </c>
      <c r="I269" s="5">
        <f>Table1[[#This Row],[ Verified Ballot Papers ]]/Table1[[#This Row],[ Electorate ]]</f>
        <v>0.72341802714448633</v>
      </c>
      <c r="J269" s="1">
        <v>70411</v>
      </c>
      <c r="K269" s="1">
        <v>70337</v>
      </c>
      <c r="L269" s="1">
        <v>49424</v>
      </c>
      <c r="M269" s="1">
        <v>20913</v>
      </c>
      <c r="N269">
        <v>74</v>
      </c>
      <c r="O269">
        <v>0</v>
      </c>
      <c r="P269">
        <v>29</v>
      </c>
      <c r="Q269">
        <v>1</v>
      </c>
      <c r="R269">
        <v>44</v>
      </c>
      <c r="S269" s="5">
        <f>Table1[[#This Row],[ Remain ]]/Table1[[#This Row],[ Valid Votes ]]</f>
        <v>0.70267426816611456</v>
      </c>
      <c r="T269" s="5">
        <f>Table1[[#This Row],[ Leave ]]/Table1[[#This Row],[ Valid Votes ]]</f>
        <v>0.29732573183388544</v>
      </c>
      <c r="U269" s="5">
        <f>Table1[[#This Row],[ Rejected Ballots ]]/Table1[[#This Row],[ Votes Cast ]]</f>
        <v>1.0509721492380452E-3</v>
      </c>
      <c r="V269" t="str">
        <f>IF(Table1[[#This Row],[Percent Leave]]&gt;Table1[[#This Row],[Percent Remain]],"Leave", "Remain")</f>
        <v>Remain</v>
      </c>
      <c r="W269">
        <v>51.753571000000001</v>
      </c>
      <c r="X269">
        <v>-1.2440500000000001</v>
      </c>
      <c r="Y269" s="1">
        <f>_xlfn.XLOOKUP(Table1[[#This Row],[Area]],Table2[Area],Table2[All Residents])</f>
        <v>151906</v>
      </c>
    </row>
    <row r="270" spans="1:25" hidden="1" x14ac:dyDescent="0.45">
      <c r="A270">
        <v>269</v>
      </c>
      <c r="B270" t="s">
        <v>479</v>
      </c>
      <c r="C270" t="s">
        <v>480</v>
      </c>
      <c r="D270" t="s">
        <v>573</v>
      </c>
      <c r="E270" t="s">
        <v>574</v>
      </c>
      <c r="F270" s="1">
        <v>104231</v>
      </c>
      <c r="G270" s="1">
        <v>84167</v>
      </c>
      <c r="H270" s="1">
        <v>84167</v>
      </c>
      <c r="I270" s="5">
        <f>Table1[[#This Row],[ Verified Ballot Papers ]]/Table1[[#This Row],[ Electorate ]]</f>
        <v>0.80750448522992202</v>
      </c>
      <c r="J270" s="1">
        <v>84167</v>
      </c>
      <c r="K270" s="1">
        <v>84110</v>
      </c>
      <c r="L270" s="1">
        <v>46245</v>
      </c>
      <c r="M270" s="1">
        <v>37865</v>
      </c>
      <c r="N270">
        <v>57</v>
      </c>
      <c r="O270">
        <v>0</v>
      </c>
      <c r="P270">
        <v>18</v>
      </c>
      <c r="Q270">
        <v>0</v>
      </c>
      <c r="R270">
        <v>39</v>
      </c>
      <c r="S270" s="5">
        <f>Table1[[#This Row],[ Remain ]]/Table1[[#This Row],[ Valid Votes ]]</f>
        <v>0.54981571751278091</v>
      </c>
      <c r="T270" s="5">
        <f>Table1[[#This Row],[ Leave ]]/Table1[[#This Row],[ Valid Votes ]]</f>
        <v>0.45018428248721915</v>
      </c>
      <c r="U270" s="5">
        <f>Table1[[#This Row],[ Rejected Ballots ]]/Table1[[#This Row],[ Votes Cast ]]</f>
        <v>6.7722504069290819E-4</v>
      </c>
      <c r="V270" t="str">
        <f>IF(Table1[[#This Row],[Percent Leave]]&gt;Table1[[#This Row],[Percent Remain]],"Leave", "Remain")</f>
        <v>Remain</v>
      </c>
      <c r="W270">
        <v>51.622878999999998</v>
      </c>
      <c r="X270">
        <v>-1.07847</v>
      </c>
      <c r="Y270" s="1">
        <f>_xlfn.XLOOKUP(Table1[[#This Row],[Area]],Table2[Area],Table2[All Residents])</f>
        <v>134257</v>
      </c>
    </row>
    <row r="271" spans="1:25" hidden="1" x14ac:dyDescent="0.45">
      <c r="A271">
        <v>270</v>
      </c>
      <c r="B271" t="s">
        <v>479</v>
      </c>
      <c r="C271" t="s">
        <v>480</v>
      </c>
      <c r="D271" t="s">
        <v>575</v>
      </c>
      <c r="E271" t="s">
        <v>576</v>
      </c>
      <c r="F271" s="1">
        <v>94487</v>
      </c>
      <c r="G271" s="1">
        <v>76706</v>
      </c>
      <c r="H271" s="1">
        <v>76706</v>
      </c>
      <c r="I271" s="5">
        <f>Table1[[#This Row],[ Verified Ballot Papers ]]/Table1[[#This Row],[ Electorate ]]</f>
        <v>0.81181538201022363</v>
      </c>
      <c r="J271" s="1">
        <v>76706</v>
      </c>
      <c r="K271" s="1">
        <v>76654</v>
      </c>
      <c r="L271" s="1">
        <v>43462</v>
      </c>
      <c r="M271" s="1">
        <v>33192</v>
      </c>
      <c r="N271">
        <v>52</v>
      </c>
      <c r="O271">
        <v>0</v>
      </c>
      <c r="P271">
        <v>13</v>
      </c>
      <c r="Q271">
        <v>0</v>
      </c>
      <c r="R271">
        <v>39</v>
      </c>
      <c r="S271" s="5">
        <f>Table1[[#This Row],[ Remain ]]/Table1[[#This Row],[ Valid Votes ]]</f>
        <v>0.5669893286716936</v>
      </c>
      <c r="T271" s="5">
        <f>Table1[[#This Row],[ Leave ]]/Table1[[#This Row],[ Valid Votes ]]</f>
        <v>0.4330106713283064</v>
      </c>
      <c r="U271" s="5">
        <f>Table1[[#This Row],[ Rejected Ballots ]]/Table1[[#This Row],[ Votes Cast ]]</f>
        <v>6.7791307068547444E-4</v>
      </c>
      <c r="V271" t="str">
        <f>IF(Table1[[#This Row],[Percent Leave]]&gt;Table1[[#This Row],[Percent Remain]],"Leave", "Remain")</f>
        <v>Remain</v>
      </c>
      <c r="W271">
        <v>51.654429999999998</v>
      </c>
      <c r="X271">
        <v>-1.48543</v>
      </c>
      <c r="Y271" s="1">
        <f>_xlfn.XLOOKUP(Table1[[#This Row],[Area]],Table2[Area],Table2[All Residents])</f>
        <v>120988</v>
      </c>
    </row>
    <row r="272" spans="1:25" hidden="1" x14ac:dyDescent="0.45">
      <c r="A272">
        <v>271</v>
      </c>
      <c r="B272" t="s">
        <v>479</v>
      </c>
      <c r="C272" t="s">
        <v>480</v>
      </c>
      <c r="D272" t="s">
        <v>577</v>
      </c>
      <c r="E272" t="s">
        <v>578</v>
      </c>
      <c r="F272" s="1">
        <v>82441</v>
      </c>
      <c r="G272" s="1">
        <v>65721</v>
      </c>
      <c r="H272" s="1">
        <v>65719</v>
      </c>
      <c r="I272" s="5">
        <f>Table1[[#This Row],[ Verified Ballot Papers ]]/Table1[[#This Row],[ Electorate ]]</f>
        <v>0.79716403245957712</v>
      </c>
      <c r="J272" s="1">
        <v>65719</v>
      </c>
      <c r="K272" s="1">
        <v>65671</v>
      </c>
      <c r="L272" s="1">
        <v>35236</v>
      </c>
      <c r="M272" s="1">
        <v>30435</v>
      </c>
      <c r="N272">
        <v>48</v>
      </c>
      <c r="O272">
        <v>0</v>
      </c>
      <c r="P272">
        <v>8</v>
      </c>
      <c r="Q272">
        <v>1</v>
      </c>
      <c r="R272">
        <v>39</v>
      </c>
      <c r="S272" s="5">
        <f>Table1[[#This Row],[ Remain ]]/Table1[[#This Row],[ Valid Votes ]]</f>
        <v>0.53655342540847561</v>
      </c>
      <c r="T272" s="5">
        <f>Table1[[#This Row],[ Leave ]]/Table1[[#This Row],[ Valid Votes ]]</f>
        <v>0.46344657459152444</v>
      </c>
      <c r="U272" s="5">
        <f>Table1[[#This Row],[ Rejected Ballots ]]/Table1[[#This Row],[ Votes Cast ]]</f>
        <v>7.3038238561146703E-4</v>
      </c>
      <c r="V272" t="str">
        <f>IF(Table1[[#This Row],[Percent Leave]]&gt;Table1[[#This Row],[Percent Remain]],"Leave", "Remain")</f>
        <v>Remain</v>
      </c>
      <c r="W272">
        <v>51.839900999999998</v>
      </c>
      <c r="X272">
        <v>-1.50292</v>
      </c>
      <c r="Y272" s="1">
        <f>_xlfn.XLOOKUP(Table1[[#This Row],[Area]],Table2[Area],Table2[All Residents])</f>
        <v>104779</v>
      </c>
    </row>
    <row r="273" spans="1:25" hidden="1" x14ac:dyDescent="0.45">
      <c r="A273">
        <v>272</v>
      </c>
      <c r="B273" t="s">
        <v>479</v>
      </c>
      <c r="C273" t="s">
        <v>480</v>
      </c>
      <c r="D273" t="s">
        <v>579</v>
      </c>
      <c r="E273" t="s">
        <v>580</v>
      </c>
      <c r="F273" s="1">
        <v>98613</v>
      </c>
      <c r="G273" s="1">
        <v>77069</v>
      </c>
      <c r="H273" s="1">
        <v>77063</v>
      </c>
      <c r="I273" s="5">
        <f>Table1[[#This Row],[ Verified Ballot Papers ]]/Table1[[#This Row],[ Electorate ]]</f>
        <v>0.78146897467879484</v>
      </c>
      <c r="J273" s="1">
        <v>77058</v>
      </c>
      <c r="K273" s="1">
        <v>77003</v>
      </c>
      <c r="L273" s="1">
        <v>45841</v>
      </c>
      <c r="M273" s="1">
        <v>31162</v>
      </c>
      <c r="N273">
        <v>55</v>
      </c>
      <c r="O273">
        <v>0</v>
      </c>
      <c r="P273">
        <v>16</v>
      </c>
      <c r="Q273">
        <v>3</v>
      </c>
      <c r="R273">
        <v>36</v>
      </c>
      <c r="S273" s="5">
        <f>Table1[[#This Row],[ Remain ]]/Table1[[#This Row],[ Valid Votes ]]</f>
        <v>0.59531446826747014</v>
      </c>
      <c r="T273" s="5">
        <f>Table1[[#This Row],[ Leave ]]/Table1[[#This Row],[ Valid Votes ]]</f>
        <v>0.40468553173252991</v>
      </c>
      <c r="U273" s="5">
        <f>Table1[[#This Row],[ Rejected Ballots ]]/Table1[[#This Row],[ Votes Cast ]]</f>
        <v>7.1374808585740609E-4</v>
      </c>
      <c r="V273" t="str">
        <f>IF(Table1[[#This Row],[Percent Leave]]&gt;Table1[[#This Row],[Percent Remain]],"Leave", "Remain")</f>
        <v>Remain</v>
      </c>
      <c r="W273">
        <v>51.360981000000002</v>
      </c>
      <c r="X273">
        <v>-0.39441000999999998</v>
      </c>
      <c r="Y273" s="1">
        <f>_xlfn.XLOOKUP(Table1[[#This Row],[Area]],Table2[Area],Table2[All Residents])</f>
        <v>130875</v>
      </c>
    </row>
    <row r="274" spans="1:25" hidden="1" x14ac:dyDescent="0.45">
      <c r="A274">
        <v>273</v>
      </c>
      <c r="B274" t="s">
        <v>479</v>
      </c>
      <c r="C274" t="s">
        <v>480</v>
      </c>
      <c r="D274" t="s">
        <v>581</v>
      </c>
      <c r="E274" t="s">
        <v>582</v>
      </c>
      <c r="F274" s="1">
        <v>56382</v>
      </c>
      <c r="G274" s="1">
        <v>45348</v>
      </c>
      <c r="H274" s="1">
        <v>45343</v>
      </c>
      <c r="I274" s="5">
        <f>Table1[[#This Row],[ Verified Ballot Papers ]]/Table1[[#This Row],[ Electorate ]]</f>
        <v>0.80421056365506727</v>
      </c>
      <c r="J274" s="1">
        <v>45343</v>
      </c>
      <c r="K274" s="1">
        <v>45303</v>
      </c>
      <c r="L274" s="1">
        <v>23596</v>
      </c>
      <c r="M274" s="1">
        <v>21707</v>
      </c>
      <c r="N274">
        <v>40</v>
      </c>
      <c r="O274">
        <v>0</v>
      </c>
      <c r="P274">
        <v>11</v>
      </c>
      <c r="Q274">
        <v>5</v>
      </c>
      <c r="R274">
        <v>24</v>
      </c>
      <c r="S274" s="5">
        <f>Table1[[#This Row],[ Remain ]]/Table1[[#This Row],[ Valid Votes ]]</f>
        <v>0.52084850892876855</v>
      </c>
      <c r="T274" s="5">
        <f>Table1[[#This Row],[ Leave ]]/Table1[[#This Row],[ Valid Votes ]]</f>
        <v>0.47915149107123151</v>
      </c>
      <c r="U274" s="5">
        <f>Table1[[#This Row],[ Rejected Ballots ]]/Table1[[#This Row],[ Votes Cast ]]</f>
        <v>8.8216483249895243E-4</v>
      </c>
      <c r="V274" t="str">
        <f>IF(Table1[[#This Row],[Percent Leave]]&gt;Table1[[#This Row],[Percent Remain]],"Leave", "Remain")</f>
        <v>Remain</v>
      </c>
      <c r="W274">
        <v>51.339450999999997</v>
      </c>
      <c r="X274">
        <v>-0.26172000000000001</v>
      </c>
      <c r="Y274" s="1">
        <f>_xlfn.XLOOKUP(Table1[[#This Row],[Area]],Table2[Area],Table2[All Residents])</f>
        <v>75102</v>
      </c>
    </row>
    <row r="275" spans="1:25" hidden="1" x14ac:dyDescent="0.45">
      <c r="A275">
        <v>274</v>
      </c>
      <c r="B275" t="s">
        <v>479</v>
      </c>
      <c r="C275" t="s">
        <v>480</v>
      </c>
      <c r="D275" t="s">
        <v>583</v>
      </c>
      <c r="E275" t="s">
        <v>584</v>
      </c>
      <c r="F275" s="1">
        <v>102209</v>
      </c>
      <c r="G275" s="1">
        <v>78672</v>
      </c>
      <c r="H275" s="1">
        <v>78671</v>
      </c>
      <c r="I275" s="5">
        <f>Table1[[#This Row],[ Verified Ballot Papers ]]/Table1[[#This Row],[ Electorate ]]</f>
        <v>0.76970716864463995</v>
      </c>
      <c r="J275" s="1">
        <v>78657</v>
      </c>
      <c r="K275" s="1">
        <v>78613</v>
      </c>
      <c r="L275" s="1">
        <v>44155</v>
      </c>
      <c r="M275" s="1">
        <v>34458</v>
      </c>
      <c r="N275">
        <v>44</v>
      </c>
      <c r="O275">
        <v>0</v>
      </c>
      <c r="P275">
        <v>19</v>
      </c>
      <c r="Q275">
        <v>6</v>
      </c>
      <c r="R275">
        <v>19</v>
      </c>
      <c r="S275" s="5">
        <f>Table1[[#This Row],[ Remain ]]/Table1[[#This Row],[ Valid Votes ]]</f>
        <v>0.56167554984544543</v>
      </c>
      <c r="T275" s="5">
        <f>Table1[[#This Row],[ Leave ]]/Table1[[#This Row],[ Valid Votes ]]</f>
        <v>0.43832445015455457</v>
      </c>
      <c r="U275" s="5">
        <f>Table1[[#This Row],[ Rejected Ballots ]]/Table1[[#This Row],[ Votes Cast ]]</f>
        <v>5.5939077259493757E-4</v>
      </c>
      <c r="V275" t="str">
        <f>IF(Table1[[#This Row],[Percent Leave]]&gt;Table1[[#This Row],[Percent Remain]],"Leave", "Remain")</f>
        <v>Remain</v>
      </c>
      <c r="W275">
        <v>51.253658000000001</v>
      </c>
      <c r="X275">
        <v>-0.56256998000000003</v>
      </c>
      <c r="Y275" s="1">
        <f>_xlfn.XLOOKUP(Table1[[#This Row],[Area]],Table2[Area],Table2[All Residents])</f>
        <v>137183</v>
      </c>
    </row>
    <row r="276" spans="1:25" hidden="1" x14ac:dyDescent="0.45">
      <c r="A276">
        <v>275</v>
      </c>
      <c r="B276" t="s">
        <v>479</v>
      </c>
      <c r="C276" t="s">
        <v>480</v>
      </c>
      <c r="D276" t="s">
        <v>585</v>
      </c>
      <c r="E276" t="s">
        <v>586</v>
      </c>
      <c r="F276" s="1">
        <v>66730</v>
      </c>
      <c r="G276" s="1">
        <v>54832</v>
      </c>
      <c r="H276" s="1">
        <v>54830</v>
      </c>
      <c r="I276" s="5">
        <f>Table1[[#This Row],[ Verified Ballot Papers ]]/Table1[[#This Row],[ Electorate ]]</f>
        <v>0.82166941405664617</v>
      </c>
      <c r="J276" s="1">
        <v>54829</v>
      </c>
      <c r="K276" s="1">
        <v>54796</v>
      </c>
      <c r="L276" s="1">
        <v>29088</v>
      </c>
      <c r="M276" s="1">
        <v>25708</v>
      </c>
      <c r="N276">
        <v>33</v>
      </c>
      <c r="O276">
        <v>0</v>
      </c>
      <c r="P276">
        <v>11</v>
      </c>
      <c r="Q276">
        <v>0</v>
      </c>
      <c r="R276">
        <v>22</v>
      </c>
      <c r="S276" s="5">
        <f>Table1[[#This Row],[ Remain ]]/Table1[[#This Row],[ Valid Votes ]]</f>
        <v>0.53084166727498361</v>
      </c>
      <c r="T276" s="5">
        <f>Table1[[#This Row],[ Leave ]]/Table1[[#This Row],[ Valid Votes ]]</f>
        <v>0.46915833272501645</v>
      </c>
      <c r="U276" s="5">
        <f>Table1[[#This Row],[ Rejected Ballots ]]/Table1[[#This Row],[ Votes Cast ]]</f>
        <v>6.0187127250177822E-4</v>
      </c>
      <c r="V276" t="str">
        <f>IF(Table1[[#This Row],[Percent Leave]]&gt;Table1[[#This Row],[Percent Remain]],"Leave", "Remain")</f>
        <v>Remain</v>
      </c>
      <c r="W276">
        <v>51.227488999999998</v>
      </c>
      <c r="X276">
        <v>-0.30603001000000002</v>
      </c>
      <c r="Y276" s="1">
        <f>_xlfn.XLOOKUP(Table1[[#This Row],[Area]],Table2[Area],Table2[All Residents])</f>
        <v>85375</v>
      </c>
    </row>
    <row r="277" spans="1:25" hidden="1" x14ac:dyDescent="0.45">
      <c r="A277">
        <v>276</v>
      </c>
      <c r="B277" t="s">
        <v>479</v>
      </c>
      <c r="C277" t="s">
        <v>480</v>
      </c>
      <c r="D277" t="s">
        <v>587</v>
      </c>
      <c r="E277" t="s">
        <v>588</v>
      </c>
      <c r="F277" s="1">
        <v>103731</v>
      </c>
      <c r="G277" s="1">
        <v>81200</v>
      </c>
      <c r="H277" s="1">
        <v>81200</v>
      </c>
      <c r="I277" s="5">
        <f>Table1[[#This Row],[ Verified Ballot Papers ]]/Table1[[#This Row],[ Electorate ]]</f>
        <v>0.78279395744762892</v>
      </c>
      <c r="J277" s="1">
        <v>81200</v>
      </c>
      <c r="K277" s="1">
        <v>81161</v>
      </c>
      <c r="L277" s="1">
        <v>40181</v>
      </c>
      <c r="M277" s="1">
        <v>40980</v>
      </c>
      <c r="N277">
        <v>39</v>
      </c>
      <c r="O277">
        <v>1</v>
      </c>
      <c r="P277">
        <v>9</v>
      </c>
      <c r="Q277">
        <v>1</v>
      </c>
      <c r="R277">
        <v>28</v>
      </c>
      <c r="S277" s="5">
        <f>Table1[[#This Row],[ Remain ]]/Table1[[#This Row],[ Valid Votes ]]</f>
        <v>0.49507768509505795</v>
      </c>
      <c r="T277" s="5">
        <f>Table1[[#This Row],[ Leave ]]/Table1[[#This Row],[ Valid Votes ]]</f>
        <v>0.50492231490494199</v>
      </c>
      <c r="U277" s="5">
        <f>Table1[[#This Row],[ Rejected Ballots ]]/Table1[[#This Row],[ Votes Cast ]]</f>
        <v>4.8029556650246304E-4</v>
      </c>
      <c r="V277" t="str">
        <f>IF(Table1[[#This Row],[Percent Leave]]&gt;Table1[[#This Row],[Percent Remain]],"Leave", "Remain")</f>
        <v>Leave</v>
      </c>
      <c r="W277">
        <v>51.258460999999997</v>
      </c>
      <c r="X277">
        <v>-0.19870999</v>
      </c>
      <c r="Y277" s="1">
        <f>_xlfn.XLOOKUP(Table1[[#This Row],[Area]],Table2[Area],Table2[All Residents])</f>
        <v>137835</v>
      </c>
    </row>
    <row r="278" spans="1:25" hidden="1" x14ac:dyDescent="0.45">
      <c r="A278">
        <v>277</v>
      </c>
      <c r="B278" t="s">
        <v>479</v>
      </c>
      <c r="C278" t="s">
        <v>480</v>
      </c>
      <c r="D278" t="s">
        <v>589</v>
      </c>
      <c r="E278" t="s">
        <v>590</v>
      </c>
      <c r="F278" s="1">
        <v>58272</v>
      </c>
      <c r="G278" s="1">
        <v>44328</v>
      </c>
      <c r="H278" s="1">
        <v>44326</v>
      </c>
      <c r="I278" s="5">
        <f>Table1[[#This Row],[ Verified Ballot Papers ]]/Table1[[#This Row],[ Electorate ]]</f>
        <v>0.76067408017572757</v>
      </c>
      <c r="J278" s="1">
        <v>44326</v>
      </c>
      <c r="K278" s="1">
        <v>44294</v>
      </c>
      <c r="L278" s="1">
        <v>20259</v>
      </c>
      <c r="M278" s="1">
        <v>24035</v>
      </c>
      <c r="N278">
        <v>32</v>
      </c>
      <c r="O278">
        <v>0</v>
      </c>
      <c r="P278">
        <v>10</v>
      </c>
      <c r="Q278">
        <v>2</v>
      </c>
      <c r="R278">
        <v>20</v>
      </c>
      <c r="S278" s="5">
        <f>Table1[[#This Row],[ Remain ]]/Table1[[#This Row],[ Valid Votes ]]</f>
        <v>0.45737571680137262</v>
      </c>
      <c r="T278" s="5">
        <f>Table1[[#This Row],[ Leave ]]/Table1[[#This Row],[ Valid Votes ]]</f>
        <v>0.54262428319862732</v>
      </c>
      <c r="U278" s="5">
        <f>Table1[[#This Row],[ Rejected Ballots ]]/Table1[[#This Row],[ Votes Cast ]]</f>
        <v>7.2192392726616432E-4</v>
      </c>
      <c r="V278" t="str">
        <f>IF(Table1[[#This Row],[Percent Leave]]&gt;Table1[[#This Row],[Percent Remain]],"Leave", "Remain")</f>
        <v>Leave</v>
      </c>
      <c r="W278">
        <v>51.392730999999998</v>
      </c>
      <c r="X278">
        <v>-0.53855001999999996</v>
      </c>
      <c r="Y278" s="1">
        <f>_xlfn.XLOOKUP(Table1[[#This Row],[Area]],Table2[Area],Table2[All Residents])</f>
        <v>80510</v>
      </c>
    </row>
    <row r="279" spans="1:25" hidden="1" x14ac:dyDescent="0.45">
      <c r="A279">
        <v>278</v>
      </c>
      <c r="B279" t="s">
        <v>479</v>
      </c>
      <c r="C279" t="s">
        <v>480</v>
      </c>
      <c r="D279" t="s">
        <v>591</v>
      </c>
      <c r="E279" t="s">
        <v>592</v>
      </c>
      <c r="F279" s="1">
        <v>72674</v>
      </c>
      <c r="G279" s="1">
        <v>56635</v>
      </c>
      <c r="H279" s="1">
        <v>56639</v>
      </c>
      <c r="I279" s="5">
        <f>Table1[[#This Row],[ Verified Ballot Papers ]]/Table1[[#This Row],[ Electorate ]]</f>
        <v>0.77935712909706356</v>
      </c>
      <c r="J279" s="1">
        <v>56638</v>
      </c>
      <c r="K279" s="1">
        <v>56609</v>
      </c>
      <c r="L279" s="1">
        <v>22474</v>
      </c>
      <c r="M279" s="1">
        <v>34135</v>
      </c>
      <c r="N279">
        <v>29</v>
      </c>
      <c r="O279">
        <v>0</v>
      </c>
      <c r="P279">
        <v>13</v>
      </c>
      <c r="Q279">
        <v>2</v>
      </c>
      <c r="R279">
        <v>14</v>
      </c>
      <c r="S279" s="5">
        <f>Table1[[#This Row],[ Remain ]]/Table1[[#This Row],[ Valid Votes ]]</f>
        <v>0.39700400996308005</v>
      </c>
      <c r="T279" s="5">
        <f>Table1[[#This Row],[ Leave ]]/Table1[[#This Row],[ Valid Votes ]]</f>
        <v>0.60299599003691995</v>
      </c>
      <c r="U279" s="5">
        <f>Table1[[#This Row],[ Rejected Ballots ]]/Table1[[#This Row],[ Votes Cast ]]</f>
        <v>5.1202372965147077E-4</v>
      </c>
      <c r="V279" t="str">
        <f>IF(Table1[[#This Row],[Percent Leave]]&gt;Table1[[#This Row],[Percent Remain]],"Leave", "Remain")</f>
        <v>Leave</v>
      </c>
      <c r="W279">
        <v>51.415520000000001</v>
      </c>
      <c r="X279">
        <v>-0.46254000000000001</v>
      </c>
      <c r="Y279" s="1">
        <f>_xlfn.XLOOKUP(Table1[[#This Row],[Area]],Table2[Area],Table2[All Residents])</f>
        <v>95598</v>
      </c>
    </row>
    <row r="280" spans="1:25" hidden="1" x14ac:dyDescent="0.45">
      <c r="A280">
        <v>279</v>
      </c>
      <c r="B280" t="s">
        <v>479</v>
      </c>
      <c r="C280" t="s">
        <v>480</v>
      </c>
      <c r="D280" t="s">
        <v>593</v>
      </c>
      <c r="E280" t="s">
        <v>594</v>
      </c>
      <c r="F280" s="1">
        <v>65569</v>
      </c>
      <c r="G280" s="1">
        <v>52330</v>
      </c>
      <c r="H280" s="1">
        <v>52330</v>
      </c>
      <c r="I280" s="5">
        <f>Table1[[#This Row],[ Verified Ballot Papers ]]/Table1[[#This Row],[ Electorate ]]</f>
        <v>0.79809056108831922</v>
      </c>
      <c r="J280" s="1">
        <v>52330</v>
      </c>
      <c r="K280" s="1">
        <v>52305</v>
      </c>
      <c r="L280" s="1">
        <v>25638</v>
      </c>
      <c r="M280" s="1">
        <v>26667</v>
      </c>
      <c r="N280">
        <v>25</v>
      </c>
      <c r="O280">
        <v>0</v>
      </c>
      <c r="P280">
        <v>8</v>
      </c>
      <c r="Q280">
        <v>1</v>
      </c>
      <c r="R280">
        <v>16</v>
      </c>
      <c r="S280" s="5">
        <f>Table1[[#This Row],[ Remain ]]/Table1[[#This Row],[ Valid Votes ]]</f>
        <v>0.49016346429595642</v>
      </c>
      <c r="T280" s="5">
        <f>Table1[[#This Row],[ Leave ]]/Table1[[#This Row],[ Valid Votes ]]</f>
        <v>0.50983653570404364</v>
      </c>
      <c r="U280" s="5">
        <f>Table1[[#This Row],[ Rejected Ballots ]]/Table1[[#This Row],[ Votes Cast ]]</f>
        <v>4.7773743550544621E-4</v>
      </c>
      <c r="V280" t="str">
        <f>IF(Table1[[#This Row],[Percent Leave]]&gt;Table1[[#This Row],[Percent Remain]],"Leave", "Remain")</f>
        <v>Leave</v>
      </c>
      <c r="W280">
        <v>51.336101999999997</v>
      </c>
      <c r="X280">
        <v>-0.68985998999999998</v>
      </c>
      <c r="Y280" s="1">
        <f>_xlfn.XLOOKUP(Table1[[#This Row],[Area]],Table2[Area],Table2[All Residents])</f>
        <v>86144</v>
      </c>
    </row>
    <row r="281" spans="1:25" hidden="1" x14ac:dyDescent="0.45">
      <c r="A281">
        <v>280</v>
      </c>
      <c r="B281" t="s">
        <v>479</v>
      </c>
      <c r="C281" t="s">
        <v>480</v>
      </c>
      <c r="D281" t="s">
        <v>595</v>
      </c>
      <c r="E281" t="s">
        <v>596</v>
      </c>
      <c r="F281" s="1">
        <v>64044</v>
      </c>
      <c r="G281" s="1">
        <v>51468</v>
      </c>
      <c r="H281" s="1">
        <v>51466</v>
      </c>
      <c r="I281" s="5">
        <f>Table1[[#This Row],[ Verified Ballot Papers ]]/Table1[[#This Row],[ Electorate ]]</f>
        <v>0.80360377240647052</v>
      </c>
      <c r="J281" s="1">
        <v>51466</v>
      </c>
      <c r="K281" s="1">
        <v>51420</v>
      </c>
      <c r="L281" s="1">
        <v>24251</v>
      </c>
      <c r="M281" s="1">
        <v>27169</v>
      </c>
      <c r="N281">
        <v>46</v>
      </c>
      <c r="O281">
        <v>0</v>
      </c>
      <c r="P281">
        <v>16</v>
      </c>
      <c r="Q281">
        <v>0</v>
      </c>
      <c r="R281">
        <v>30</v>
      </c>
      <c r="S281" s="5">
        <f>Table1[[#This Row],[ Remain ]]/Table1[[#This Row],[ Valid Votes ]]</f>
        <v>0.47162582652664331</v>
      </c>
      <c r="T281" s="5">
        <f>Table1[[#This Row],[ Leave ]]/Table1[[#This Row],[ Valid Votes ]]</f>
        <v>0.52837417347335669</v>
      </c>
      <c r="U281" s="5">
        <f>Table1[[#This Row],[ Rejected Ballots ]]/Table1[[#This Row],[ Votes Cast ]]</f>
        <v>8.937939610616718E-4</v>
      </c>
      <c r="V281" t="str">
        <f>IF(Table1[[#This Row],[Percent Leave]]&gt;Table1[[#This Row],[Percent Remain]],"Leave", "Remain")</f>
        <v>Leave</v>
      </c>
      <c r="W281">
        <v>51.235809000000003</v>
      </c>
      <c r="X281">
        <v>-4.8050001000000002E-2</v>
      </c>
      <c r="Y281" s="1">
        <f>_xlfn.XLOOKUP(Table1[[#This Row],[Area]],Table2[Area],Table2[All Residents])</f>
        <v>82998</v>
      </c>
    </row>
    <row r="282" spans="1:25" hidden="1" x14ac:dyDescent="0.45">
      <c r="A282">
        <v>281</v>
      </c>
      <c r="B282" t="s">
        <v>479</v>
      </c>
      <c r="C282" t="s">
        <v>480</v>
      </c>
      <c r="D282" t="s">
        <v>597</v>
      </c>
      <c r="E282" t="s">
        <v>598</v>
      </c>
      <c r="F282" s="1">
        <v>92291</v>
      </c>
      <c r="G282" s="1">
        <v>75999</v>
      </c>
      <c r="H282" s="1">
        <v>75999</v>
      </c>
      <c r="I282" s="5">
        <f>Table1[[#This Row],[ Verified Ballot Papers ]]/Table1[[#This Row],[ Electorate ]]</f>
        <v>0.8234714110801703</v>
      </c>
      <c r="J282" s="1">
        <v>75999</v>
      </c>
      <c r="K282" s="1">
        <v>75942</v>
      </c>
      <c r="L282" s="1">
        <v>44341</v>
      </c>
      <c r="M282" s="1">
        <v>31601</v>
      </c>
      <c r="N282">
        <v>57</v>
      </c>
      <c r="O282">
        <v>0</v>
      </c>
      <c r="P282">
        <v>19</v>
      </c>
      <c r="Q282">
        <v>1</v>
      </c>
      <c r="R282">
        <v>37</v>
      </c>
      <c r="S282" s="5">
        <f>Table1[[#This Row],[ Remain ]]/Table1[[#This Row],[ Valid Votes ]]</f>
        <v>0.58387980300755837</v>
      </c>
      <c r="T282" s="5">
        <f>Table1[[#This Row],[ Leave ]]/Table1[[#This Row],[ Valid Votes ]]</f>
        <v>0.41612019699244163</v>
      </c>
      <c r="U282" s="5">
        <f>Table1[[#This Row],[ Rejected Ballots ]]/Table1[[#This Row],[ Votes Cast ]]</f>
        <v>7.5000986855090204E-4</v>
      </c>
      <c r="V282" t="str">
        <f>IF(Table1[[#This Row],[Percent Leave]]&gt;Table1[[#This Row],[Percent Remain]],"Leave", "Remain")</f>
        <v>Remain</v>
      </c>
      <c r="W282">
        <v>51.156860000000002</v>
      </c>
      <c r="X282">
        <v>-0.62343000999999998</v>
      </c>
      <c r="Y282" s="1">
        <f>_xlfn.XLOOKUP(Table1[[#This Row],[Area]],Table2[Area],Table2[All Residents])</f>
        <v>121572</v>
      </c>
    </row>
    <row r="283" spans="1:25" hidden="1" x14ac:dyDescent="0.45">
      <c r="A283">
        <v>282</v>
      </c>
      <c r="B283" t="s">
        <v>479</v>
      </c>
      <c r="C283" t="s">
        <v>480</v>
      </c>
      <c r="D283" t="s">
        <v>599</v>
      </c>
      <c r="E283" t="s">
        <v>600</v>
      </c>
      <c r="F283" s="1">
        <v>71313</v>
      </c>
      <c r="G283" s="1">
        <v>55261</v>
      </c>
      <c r="H283" s="1">
        <v>55261</v>
      </c>
      <c r="I283" s="5">
        <f>Table1[[#This Row],[ Verified Ballot Papers ]]/Table1[[#This Row],[ Electorate ]]</f>
        <v>0.77490780082172961</v>
      </c>
      <c r="J283" s="1">
        <v>55261</v>
      </c>
      <c r="K283" s="1">
        <v>55221</v>
      </c>
      <c r="L283" s="1">
        <v>31007</v>
      </c>
      <c r="M283" s="1">
        <v>24214</v>
      </c>
      <c r="N283">
        <v>40</v>
      </c>
      <c r="O283">
        <v>0</v>
      </c>
      <c r="P283">
        <v>18</v>
      </c>
      <c r="Q283">
        <v>1</v>
      </c>
      <c r="R283">
        <v>21</v>
      </c>
      <c r="S283" s="5">
        <f>Table1[[#This Row],[ Remain ]]/Table1[[#This Row],[ Valid Votes ]]</f>
        <v>0.56150739754803425</v>
      </c>
      <c r="T283" s="5">
        <f>Table1[[#This Row],[ Leave ]]/Table1[[#This Row],[ Valid Votes ]]</f>
        <v>0.43849260245196575</v>
      </c>
      <c r="U283" s="5">
        <f>Table1[[#This Row],[ Rejected Ballots ]]/Table1[[#This Row],[ Votes Cast ]]</f>
        <v>7.2383778795172E-4</v>
      </c>
      <c r="V283" t="str">
        <f>IF(Table1[[#This Row],[Percent Leave]]&gt;Table1[[#This Row],[Percent Remain]],"Leave", "Remain")</f>
        <v>Remain</v>
      </c>
      <c r="W283">
        <v>51.308368999999999</v>
      </c>
      <c r="X283">
        <v>-0.57981998000000001</v>
      </c>
      <c r="Y283" s="1">
        <f>_xlfn.XLOOKUP(Table1[[#This Row],[Area]],Table2[Area],Table2[All Residents])</f>
        <v>99198</v>
      </c>
    </row>
    <row r="284" spans="1:25" hidden="1" x14ac:dyDescent="0.45">
      <c r="A284">
        <v>283</v>
      </c>
      <c r="B284" t="s">
        <v>479</v>
      </c>
      <c r="C284" t="s">
        <v>480</v>
      </c>
      <c r="D284" t="s">
        <v>601</v>
      </c>
      <c r="E284" t="s">
        <v>602</v>
      </c>
      <c r="F284" s="1">
        <v>48755</v>
      </c>
      <c r="G284" s="1">
        <v>37253</v>
      </c>
      <c r="H284" s="1">
        <v>37251</v>
      </c>
      <c r="I284" s="5">
        <f>Table1[[#This Row],[ Verified Ballot Papers ]]/Table1[[#This Row],[ Electorate ]]</f>
        <v>0.76404471336273205</v>
      </c>
      <c r="J284" s="1">
        <v>37251</v>
      </c>
      <c r="K284" s="1">
        <v>37229</v>
      </c>
      <c r="L284" s="1">
        <v>16914</v>
      </c>
      <c r="M284" s="1">
        <v>20315</v>
      </c>
      <c r="N284">
        <v>22</v>
      </c>
      <c r="O284">
        <v>0</v>
      </c>
      <c r="P284">
        <v>8</v>
      </c>
      <c r="Q284">
        <v>0</v>
      </c>
      <c r="R284">
        <v>14</v>
      </c>
      <c r="S284" s="5">
        <f>Table1[[#This Row],[ Remain ]]/Table1[[#This Row],[ Valid Votes ]]</f>
        <v>0.45432324263343093</v>
      </c>
      <c r="T284" s="5">
        <f>Table1[[#This Row],[ Leave ]]/Table1[[#This Row],[ Valid Votes ]]</f>
        <v>0.54567675736656907</v>
      </c>
      <c r="U284" s="5">
        <f>Table1[[#This Row],[ Rejected Ballots ]]/Table1[[#This Row],[ Votes Cast ]]</f>
        <v>5.905881721296073E-4</v>
      </c>
      <c r="V284" t="str">
        <f>IF(Table1[[#This Row],[Percent Leave]]&gt;Table1[[#This Row],[Percent Remain]],"Leave", "Remain")</f>
        <v>Leave</v>
      </c>
      <c r="W284">
        <v>50.845717999999998</v>
      </c>
      <c r="X284">
        <v>-0.32416999000000002</v>
      </c>
      <c r="Y284" s="1">
        <f>_xlfn.XLOOKUP(Table1[[#This Row],[Area]],Table2[Area],Table2[All Residents])</f>
        <v>61182</v>
      </c>
    </row>
    <row r="285" spans="1:25" hidden="1" x14ac:dyDescent="0.45">
      <c r="A285">
        <v>284</v>
      </c>
      <c r="B285" t="s">
        <v>479</v>
      </c>
      <c r="C285" t="s">
        <v>480</v>
      </c>
      <c r="D285" t="s">
        <v>603</v>
      </c>
      <c r="E285" t="s">
        <v>604</v>
      </c>
      <c r="F285" s="1">
        <v>117138</v>
      </c>
      <c r="G285" s="1">
        <v>91203</v>
      </c>
      <c r="H285" s="1">
        <v>91198</v>
      </c>
      <c r="I285" s="5">
        <f>Table1[[#This Row],[ Verified Ballot Papers ]]/Table1[[#This Row],[ Electorate ]]</f>
        <v>0.77855179361095461</v>
      </c>
      <c r="J285" s="1">
        <v>91199</v>
      </c>
      <c r="K285" s="1">
        <v>91129</v>
      </c>
      <c r="L285" s="1">
        <v>34193</v>
      </c>
      <c r="M285" s="1">
        <v>56936</v>
      </c>
      <c r="N285">
        <v>70</v>
      </c>
      <c r="O285">
        <v>0</v>
      </c>
      <c r="P285">
        <v>22</v>
      </c>
      <c r="Q285">
        <v>2</v>
      </c>
      <c r="R285">
        <v>46</v>
      </c>
      <c r="S285" s="5">
        <f>Table1[[#This Row],[ Remain ]]/Table1[[#This Row],[ Valid Votes ]]</f>
        <v>0.3752153540585324</v>
      </c>
      <c r="T285" s="5">
        <f>Table1[[#This Row],[ Leave ]]/Table1[[#This Row],[ Valid Votes ]]</f>
        <v>0.62478464594146754</v>
      </c>
      <c r="U285" s="5">
        <f>Table1[[#This Row],[ Rejected Ballots ]]/Table1[[#This Row],[ Votes Cast ]]</f>
        <v>7.6755227579249768E-4</v>
      </c>
      <c r="V285" t="str">
        <f>IF(Table1[[#This Row],[Percent Leave]]&gt;Table1[[#This Row],[Percent Remain]],"Leave", "Remain")</f>
        <v>Leave</v>
      </c>
      <c r="W285">
        <v>50.843207999999997</v>
      </c>
      <c r="X285">
        <v>-0.64999001999999995</v>
      </c>
      <c r="Y285" s="1">
        <f>_xlfn.XLOOKUP(Table1[[#This Row],[Area]],Table2[Area],Table2[All Residents])</f>
        <v>149518</v>
      </c>
    </row>
    <row r="286" spans="1:25" hidden="1" x14ac:dyDescent="0.45">
      <c r="A286">
        <v>285</v>
      </c>
      <c r="B286" t="s">
        <v>479</v>
      </c>
      <c r="C286" t="s">
        <v>480</v>
      </c>
      <c r="D286" t="s">
        <v>605</v>
      </c>
      <c r="E286" t="s">
        <v>606</v>
      </c>
      <c r="F286" s="1">
        <v>91659</v>
      </c>
      <c r="G286" s="1">
        <v>71411</v>
      </c>
      <c r="H286" s="1">
        <v>71406</v>
      </c>
      <c r="I286" s="5">
        <f>Table1[[#This Row],[ Verified Ballot Papers ]]/Table1[[#This Row],[ Electorate ]]</f>
        <v>0.7790397015023075</v>
      </c>
      <c r="J286" s="1">
        <v>71407</v>
      </c>
      <c r="K286" s="1">
        <v>71337</v>
      </c>
      <c r="L286" s="1">
        <v>35011</v>
      </c>
      <c r="M286" s="1">
        <v>36326</v>
      </c>
      <c r="N286">
        <v>70</v>
      </c>
      <c r="O286">
        <v>3</v>
      </c>
      <c r="P286">
        <v>27</v>
      </c>
      <c r="Q286">
        <v>1</v>
      </c>
      <c r="R286">
        <v>39</v>
      </c>
      <c r="S286" s="5">
        <f>Table1[[#This Row],[ Remain ]]/Table1[[#This Row],[ Valid Votes ]]</f>
        <v>0.49078318404194177</v>
      </c>
      <c r="T286" s="5">
        <f>Table1[[#This Row],[ Leave ]]/Table1[[#This Row],[ Valid Votes ]]</f>
        <v>0.50921681595805823</v>
      </c>
      <c r="U286" s="5">
        <f>Table1[[#This Row],[ Rejected Ballots ]]/Table1[[#This Row],[ Votes Cast ]]</f>
        <v>9.802960494069209E-4</v>
      </c>
      <c r="V286" t="str">
        <f>IF(Table1[[#This Row],[Percent Leave]]&gt;Table1[[#This Row],[Percent Remain]],"Leave", "Remain")</f>
        <v>Leave</v>
      </c>
      <c r="W286">
        <v>50.941769000000001</v>
      </c>
      <c r="X286">
        <v>-0.71630000999999999</v>
      </c>
      <c r="Y286" s="1">
        <f>_xlfn.XLOOKUP(Table1[[#This Row],[Area]],Table2[Area],Table2[All Residents])</f>
        <v>113794</v>
      </c>
    </row>
    <row r="287" spans="1:25" hidden="1" x14ac:dyDescent="0.45">
      <c r="A287">
        <v>286</v>
      </c>
      <c r="B287" t="s">
        <v>479</v>
      </c>
      <c r="C287" t="s">
        <v>480</v>
      </c>
      <c r="D287" t="s">
        <v>607</v>
      </c>
      <c r="E287" t="s">
        <v>608</v>
      </c>
      <c r="F287" s="1">
        <v>73575</v>
      </c>
      <c r="G287" s="1">
        <v>53884</v>
      </c>
      <c r="H287" s="1">
        <v>53883</v>
      </c>
      <c r="I287" s="5">
        <f>Table1[[#This Row],[ Verified Ballot Papers ]]/Table1[[#This Row],[ Electorate ]]</f>
        <v>0.73235474006116208</v>
      </c>
      <c r="J287" s="1">
        <v>53884</v>
      </c>
      <c r="K287" s="1">
        <v>53835</v>
      </c>
      <c r="L287" s="1">
        <v>22388</v>
      </c>
      <c r="M287" s="1">
        <v>31447</v>
      </c>
      <c r="N287">
        <v>49</v>
      </c>
      <c r="O287">
        <v>0</v>
      </c>
      <c r="P287">
        <v>19</v>
      </c>
      <c r="Q287">
        <v>9</v>
      </c>
      <c r="R287">
        <v>21</v>
      </c>
      <c r="S287" s="5">
        <f>Table1[[#This Row],[ Remain ]]/Table1[[#This Row],[ Valid Votes ]]</f>
        <v>0.41586328596637873</v>
      </c>
      <c r="T287" s="5">
        <f>Table1[[#This Row],[ Leave ]]/Table1[[#This Row],[ Valid Votes ]]</f>
        <v>0.58413671403362122</v>
      </c>
      <c r="U287" s="5">
        <f>Table1[[#This Row],[ Rejected Ballots ]]/Table1[[#This Row],[ Votes Cast ]]</f>
        <v>9.0936084923168292E-4</v>
      </c>
      <c r="V287" t="str">
        <f>IF(Table1[[#This Row],[Percent Leave]]&gt;Table1[[#This Row],[Percent Remain]],"Leave", "Remain")</f>
        <v>Leave</v>
      </c>
      <c r="W287">
        <v>51.123569000000003</v>
      </c>
      <c r="X287">
        <v>-0.19532999000000001</v>
      </c>
      <c r="Y287" s="1">
        <f>_xlfn.XLOOKUP(Table1[[#This Row],[Area]],Table2[Area],Table2[All Residents])</f>
        <v>106597</v>
      </c>
    </row>
    <row r="288" spans="1:25" hidden="1" x14ac:dyDescent="0.45">
      <c r="A288">
        <v>287</v>
      </c>
      <c r="B288" t="s">
        <v>479</v>
      </c>
      <c r="C288" t="s">
        <v>480</v>
      </c>
      <c r="D288" t="s">
        <v>609</v>
      </c>
      <c r="E288" t="s">
        <v>610</v>
      </c>
      <c r="F288" s="1">
        <v>104270</v>
      </c>
      <c r="G288" s="1">
        <v>85131</v>
      </c>
      <c r="H288" s="1">
        <v>85133</v>
      </c>
      <c r="I288" s="5">
        <f>Table1[[#This Row],[ Verified Ballot Papers ]]/Table1[[#This Row],[ Electorate ]]</f>
        <v>0.81646686487004894</v>
      </c>
      <c r="J288" s="1">
        <v>85132</v>
      </c>
      <c r="K288" s="1">
        <v>85088</v>
      </c>
      <c r="L288" s="1">
        <v>43785</v>
      </c>
      <c r="M288" s="1">
        <v>41303</v>
      </c>
      <c r="N288">
        <v>44</v>
      </c>
      <c r="O288">
        <v>2</v>
      </c>
      <c r="P288">
        <v>16</v>
      </c>
      <c r="Q288">
        <v>5</v>
      </c>
      <c r="R288">
        <v>21</v>
      </c>
      <c r="S288" s="5">
        <f>Table1[[#This Row],[ Remain ]]/Table1[[#This Row],[ Valid Votes ]]</f>
        <v>0.51458490033847315</v>
      </c>
      <c r="T288" s="5">
        <f>Table1[[#This Row],[ Leave ]]/Table1[[#This Row],[ Valid Votes ]]</f>
        <v>0.48541509966152691</v>
      </c>
      <c r="U288" s="5">
        <f>Table1[[#This Row],[ Rejected Ballots ]]/Table1[[#This Row],[ Votes Cast ]]</f>
        <v>5.1684442982662224E-4</v>
      </c>
      <c r="V288" t="str">
        <f>IF(Table1[[#This Row],[Percent Leave]]&gt;Table1[[#This Row],[Percent Remain]],"Leave", "Remain")</f>
        <v>Remain</v>
      </c>
      <c r="W288">
        <v>51.002719999999997</v>
      </c>
      <c r="X288">
        <v>-0.38126000999999998</v>
      </c>
      <c r="Y288" s="1">
        <f>_xlfn.XLOOKUP(Table1[[#This Row],[Area]],Table2[Area],Table2[All Residents])</f>
        <v>131301</v>
      </c>
    </row>
    <row r="289" spans="1:25" hidden="1" x14ac:dyDescent="0.45">
      <c r="A289">
        <v>288</v>
      </c>
      <c r="B289" t="s">
        <v>479</v>
      </c>
      <c r="C289" t="s">
        <v>480</v>
      </c>
      <c r="D289" t="s">
        <v>611</v>
      </c>
      <c r="E289" t="s">
        <v>612</v>
      </c>
      <c r="F289" s="1">
        <v>108416</v>
      </c>
      <c r="G289" s="1">
        <v>87588</v>
      </c>
      <c r="H289" s="1">
        <v>87588</v>
      </c>
      <c r="I289" s="5">
        <f>Table1[[#This Row],[ Verified Ballot Papers ]]/Table1[[#This Row],[ Electorate ]]</f>
        <v>0.80788813459268005</v>
      </c>
      <c r="J289" s="1">
        <v>87588</v>
      </c>
      <c r="K289" s="1">
        <v>87528</v>
      </c>
      <c r="L289" s="1">
        <v>46471</v>
      </c>
      <c r="M289" s="1">
        <v>41057</v>
      </c>
      <c r="N289">
        <v>60</v>
      </c>
      <c r="O289">
        <v>0</v>
      </c>
      <c r="P289">
        <v>40</v>
      </c>
      <c r="Q289">
        <v>2</v>
      </c>
      <c r="R289">
        <v>18</v>
      </c>
      <c r="S289" s="5">
        <f>Table1[[#This Row],[ Remain ]]/Table1[[#This Row],[ Valid Votes ]]</f>
        <v>0.53092724613837861</v>
      </c>
      <c r="T289" s="5">
        <f>Table1[[#This Row],[ Leave ]]/Table1[[#This Row],[ Valid Votes ]]</f>
        <v>0.46907275386162145</v>
      </c>
      <c r="U289" s="5">
        <f>Table1[[#This Row],[ Rejected Ballots ]]/Table1[[#This Row],[ Votes Cast ]]</f>
        <v>6.850253459377997E-4</v>
      </c>
      <c r="V289" t="str">
        <f>IF(Table1[[#This Row],[Percent Leave]]&gt;Table1[[#This Row],[Percent Remain]],"Leave", "Remain")</f>
        <v>Remain</v>
      </c>
      <c r="W289">
        <v>51.059528</v>
      </c>
      <c r="X289">
        <v>-0.10272000000000001</v>
      </c>
      <c r="Y289" s="1">
        <f>_xlfn.XLOOKUP(Table1[[#This Row],[Area]],Table2[Area],Table2[All Residents])</f>
        <v>139860</v>
      </c>
    </row>
    <row r="290" spans="1:25" hidden="1" x14ac:dyDescent="0.45">
      <c r="A290">
        <v>289</v>
      </c>
      <c r="B290" t="s">
        <v>479</v>
      </c>
      <c r="C290" t="s">
        <v>480</v>
      </c>
      <c r="D290" t="s">
        <v>613</v>
      </c>
      <c r="E290" t="s">
        <v>614</v>
      </c>
      <c r="F290" s="1">
        <v>81384</v>
      </c>
      <c r="G290" s="1">
        <v>61420</v>
      </c>
      <c r="H290" s="1">
        <v>61416</v>
      </c>
      <c r="I290" s="5">
        <f>Table1[[#This Row],[ Verified Ballot Papers ]]/Table1[[#This Row],[ Electorate ]]</f>
        <v>0.75464464759657923</v>
      </c>
      <c r="J290" s="1">
        <v>61416</v>
      </c>
      <c r="K290" s="1">
        <v>61366</v>
      </c>
      <c r="L290" s="1">
        <v>28851</v>
      </c>
      <c r="M290" s="1">
        <v>32515</v>
      </c>
      <c r="N290">
        <v>50</v>
      </c>
      <c r="O290">
        <v>0</v>
      </c>
      <c r="P290">
        <v>11</v>
      </c>
      <c r="Q290">
        <v>1</v>
      </c>
      <c r="R290">
        <v>38</v>
      </c>
      <c r="S290" s="5">
        <f>Table1[[#This Row],[ Remain ]]/Table1[[#This Row],[ Valid Votes ]]</f>
        <v>0.47014633510412934</v>
      </c>
      <c r="T290" s="5">
        <f>Table1[[#This Row],[ Leave ]]/Table1[[#This Row],[ Valid Votes ]]</f>
        <v>0.52985366489587071</v>
      </c>
      <c r="U290" s="5">
        <f>Table1[[#This Row],[ Rejected Ballots ]]/Table1[[#This Row],[ Votes Cast ]]</f>
        <v>8.1412009899700405E-4</v>
      </c>
      <c r="V290" t="str">
        <f>IF(Table1[[#This Row],[Percent Leave]]&gt;Table1[[#This Row],[Percent Remain]],"Leave", "Remain")</f>
        <v>Leave</v>
      </c>
      <c r="W290">
        <v>50.833098999999997</v>
      </c>
      <c r="X290">
        <v>-0.40127000000000002</v>
      </c>
      <c r="Y290" s="1">
        <f>_xlfn.XLOOKUP(Table1[[#This Row],[Area]],Table2[Area],Table2[All Residents])</f>
        <v>104640</v>
      </c>
    </row>
    <row r="291" spans="1:25" hidden="1" x14ac:dyDescent="0.45">
      <c r="A291">
        <v>290</v>
      </c>
      <c r="B291" t="s">
        <v>615</v>
      </c>
      <c r="C291" t="s">
        <v>616</v>
      </c>
      <c r="D291" t="s">
        <v>617</v>
      </c>
      <c r="E291" t="s">
        <v>618</v>
      </c>
      <c r="F291" s="1">
        <v>136522</v>
      </c>
      <c r="G291" s="1">
        <v>105300</v>
      </c>
      <c r="H291" s="1">
        <v>105298</v>
      </c>
      <c r="I291" s="5">
        <f>Table1[[#This Row],[ Verified Ballot Papers ]]/Table1[[#This Row],[ Electorate ]]</f>
        <v>0.77128960900074717</v>
      </c>
      <c r="J291" s="1">
        <v>105300</v>
      </c>
      <c r="K291" s="1">
        <v>105230</v>
      </c>
      <c r="L291" s="1">
        <v>60878</v>
      </c>
      <c r="M291" s="1">
        <v>44352</v>
      </c>
      <c r="N291">
        <v>70</v>
      </c>
      <c r="O291">
        <v>0</v>
      </c>
      <c r="P291">
        <v>20</v>
      </c>
      <c r="Q291">
        <v>5</v>
      </c>
      <c r="R291">
        <v>45</v>
      </c>
      <c r="S291" s="5">
        <f>Table1[[#This Row],[ Remain ]]/Table1[[#This Row],[ Valid Votes ]]</f>
        <v>0.57852323481896795</v>
      </c>
      <c r="T291" s="5">
        <f>Table1[[#This Row],[ Leave ]]/Table1[[#This Row],[ Valid Votes ]]</f>
        <v>0.421476765181032</v>
      </c>
      <c r="U291" s="5">
        <f>Table1[[#This Row],[ Rejected Ballots ]]/Table1[[#This Row],[ Votes Cast ]]</f>
        <v>6.6476733143399811E-4</v>
      </c>
      <c r="V291" t="str">
        <f>IF(Table1[[#This Row],[Percent Leave]]&gt;Table1[[#This Row],[Percent Remain]],"Leave", "Remain")</f>
        <v>Remain</v>
      </c>
      <c r="W291">
        <v>51.356040999999998</v>
      </c>
      <c r="X291">
        <v>-2.4865401</v>
      </c>
      <c r="Y291" s="1">
        <f>_xlfn.XLOOKUP(Table1[[#This Row],[Area]],Table2[Area],Table2[All Residents])</f>
        <v>176016</v>
      </c>
    </row>
    <row r="292" spans="1:25" hidden="1" x14ac:dyDescent="0.45">
      <c r="A292">
        <v>291</v>
      </c>
      <c r="B292" t="s">
        <v>615</v>
      </c>
      <c r="C292" t="s">
        <v>616</v>
      </c>
      <c r="D292" t="s">
        <v>619</v>
      </c>
      <c r="E292" t="s">
        <v>620</v>
      </c>
      <c r="F292" s="1">
        <v>312465</v>
      </c>
      <c r="G292" s="1">
        <v>228704</v>
      </c>
      <c r="H292" s="1">
        <v>228678</v>
      </c>
      <c r="I292" s="5">
        <f>Table1[[#This Row],[ Verified Ballot Papers ]]/Table1[[#This Row],[ Electorate ]]</f>
        <v>0.73185156737554602</v>
      </c>
      <c r="J292" s="1">
        <v>228646</v>
      </c>
      <c r="K292" s="1">
        <v>228445</v>
      </c>
      <c r="L292" s="1">
        <v>141027</v>
      </c>
      <c r="M292" s="1">
        <v>87418</v>
      </c>
      <c r="N292">
        <v>201</v>
      </c>
      <c r="O292">
        <v>0</v>
      </c>
      <c r="P292">
        <v>63</v>
      </c>
      <c r="Q292">
        <v>6</v>
      </c>
      <c r="R292">
        <v>132</v>
      </c>
      <c r="S292" s="5">
        <f>Table1[[#This Row],[ Remain ]]/Table1[[#This Row],[ Valid Votes ]]</f>
        <v>0.61733458819409481</v>
      </c>
      <c r="T292" s="5">
        <f>Table1[[#This Row],[ Leave ]]/Table1[[#This Row],[ Valid Votes ]]</f>
        <v>0.38266541180590513</v>
      </c>
      <c r="U292" s="5">
        <f>Table1[[#This Row],[ Rejected Ballots ]]/Table1[[#This Row],[ Votes Cast ]]</f>
        <v>8.7908819747557364E-4</v>
      </c>
      <c r="V292" t="str">
        <f>IF(Table1[[#This Row],[Percent Leave]]&gt;Table1[[#This Row],[Percent Remain]],"Leave", "Remain")</f>
        <v>Remain</v>
      </c>
      <c r="W292">
        <v>51.471148999999997</v>
      </c>
      <c r="X292">
        <v>-2.57742</v>
      </c>
      <c r="Y292" s="1">
        <f>_xlfn.XLOOKUP(Table1[[#This Row],[Area]],Table2[Area],Table2[All Residents])</f>
        <v>428234</v>
      </c>
    </row>
    <row r="293" spans="1:25" hidden="1" x14ac:dyDescent="0.45">
      <c r="A293">
        <v>292</v>
      </c>
      <c r="B293" t="s">
        <v>615</v>
      </c>
      <c r="C293" t="s">
        <v>616</v>
      </c>
      <c r="D293" t="s">
        <v>621</v>
      </c>
      <c r="E293" t="s">
        <v>622</v>
      </c>
      <c r="F293" s="1">
        <v>160860</v>
      </c>
      <c r="G293" s="1">
        <v>124637</v>
      </c>
      <c r="H293" s="1">
        <v>124622</v>
      </c>
      <c r="I293" s="5">
        <f>Table1[[#This Row],[ Verified Ballot Papers ]]/Table1[[#This Row],[ Electorate ]]</f>
        <v>0.77472336192962821</v>
      </c>
      <c r="J293" s="1">
        <v>124622</v>
      </c>
      <c r="K293" s="1">
        <v>124548</v>
      </c>
      <c r="L293" s="1">
        <v>59572</v>
      </c>
      <c r="M293" s="1">
        <v>64976</v>
      </c>
      <c r="N293">
        <v>74</v>
      </c>
      <c r="O293">
        <v>0</v>
      </c>
      <c r="P293">
        <v>33</v>
      </c>
      <c r="Q293">
        <v>0</v>
      </c>
      <c r="R293">
        <v>41</v>
      </c>
      <c r="S293" s="5">
        <f>Table1[[#This Row],[ Remain ]]/Table1[[#This Row],[ Valid Votes ]]</f>
        <v>0.47830555287921123</v>
      </c>
      <c r="T293" s="5">
        <f>Table1[[#This Row],[ Leave ]]/Table1[[#This Row],[ Valid Votes ]]</f>
        <v>0.52169444712078872</v>
      </c>
      <c r="U293" s="5">
        <f>Table1[[#This Row],[ Rejected Ballots ]]/Table1[[#This Row],[ Votes Cast ]]</f>
        <v>5.9379563800934028E-4</v>
      </c>
      <c r="V293" t="str">
        <f>IF(Table1[[#This Row],[Percent Leave]]&gt;Table1[[#This Row],[Percent Remain]],"Leave", "Remain")</f>
        <v>Leave</v>
      </c>
      <c r="W293">
        <v>51.397060000000003</v>
      </c>
      <c r="X293">
        <v>-2.7543799999999998</v>
      </c>
      <c r="Y293" s="1">
        <f>_xlfn.XLOOKUP(Table1[[#This Row],[Area]],Table2[Area],Table2[All Residents])</f>
        <v>202566</v>
      </c>
    </row>
    <row r="294" spans="1:25" hidden="1" x14ac:dyDescent="0.45">
      <c r="A294">
        <v>293</v>
      </c>
      <c r="B294" t="s">
        <v>615</v>
      </c>
      <c r="C294" t="s">
        <v>616</v>
      </c>
      <c r="D294" t="s">
        <v>623</v>
      </c>
      <c r="E294" t="s">
        <v>624</v>
      </c>
      <c r="F294" s="1">
        <v>207793</v>
      </c>
      <c r="G294" s="1">
        <v>158444</v>
      </c>
      <c r="H294" s="1">
        <v>158424</v>
      </c>
      <c r="I294" s="5">
        <f>Table1[[#This Row],[ Verified Ballot Papers ]]/Table1[[#This Row],[ Electorate ]]</f>
        <v>0.76241259330198807</v>
      </c>
      <c r="J294" s="1">
        <v>158427</v>
      </c>
      <c r="K294" s="1">
        <v>158333</v>
      </c>
      <c r="L294" s="1">
        <v>74928</v>
      </c>
      <c r="M294" s="1">
        <v>83405</v>
      </c>
      <c r="N294">
        <v>94</v>
      </c>
      <c r="O294">
        <v>0</v>
      </c>
      <c r="P294">
        <v>28</v>
      </c>
      <c r="Q294">
        <v>4</v>
      </c>
      <c r="R294">
        <v>62</v>
      </c>
      <c r="S294" s="5">
        <f>Table1[[#This Row],[ Remain ]]/Table1[[#This Row],[ Valid Votes ]]</f>
        <v>0.47323046995888413</v>
      </c>
      <c r="T294" s="5">
        <f>Table1[[#This Row],[ Leave ]]/Table1[[#This Row],[ Valid Votes ]]</f>
        <v>0.52676953004111593</v>
      </c>
      <c r="U294" s="5">
        <f>Table1[[#This Row],[ Rejected Ballots ]]/Table1[[#This Row],[ Votes Cast ]]</f>
        <v>5.9333320709222545E-4</v>
      </c>
      <c r="V294" t="str">
        <f>IF(Table1[[#This Row],[Percent Leave]]&gt;Table1[[#This Row],[Percent Remain]],"Leave", "Remain")</f>
        <v>Leave</v>
      </c>
      <c r="W294">
        <v>51.546729999999997</v>
      </c>
      <c r="X294">
        <v>-2.4692199000000001</v>
      </c>
      <c r="Y294" s="1">
        <f>_xlfn.XLOOKUP(Table1[[#This Row],[Area]],Table2[Area],Table2[All Residents])</f>
        <v>262767</v>
      </c>
    </row>
    <row r="295" spans="1:25" hidden="1" x14ac:dyDescent="0.45">
      <c r="A295">
        <v>294</v>
      </c>
      <c r="B295" t="s">
        <v>615</v>
      </c>
      <c r="C295" t="s">
        <v>616</v>
      </c>
      <c r="D295" t="s">
        <v>625</v>
      </c>
      <c r="E295" t="s">
        <v>626</v>
      </c>
      <c r="F295" s="1">
        <v>419755</v>
      </c>
      <c r="G295" s="1">
        <v>323528</v>
      </c>
      <c r="H295" s="1">
        <v>323491</v>
      </c>
      <c r="I295" s="5">
        <f>Table1[[#This Row],[ Verified Ballot Papers ]]/Table1[[#This Row],[ Electorate ]]</f>
        <v>0.77066622196281165</v>
      </c>
      <c r="J295" s="1">
        <v>323442</v>
      </c>
      <c r="K295" s="1">
        <v>323205</v>
      </c>
      <c r="L295" s="1">
        <v>140540</v>
      </c>
      <c r="M295" s="1">
        <v>182665</v>
      </c>
      <c r="N295">
        <v>237</v>
      </c>
      <c r="O295">
        <v>0</v>
      </c>
      <c r="P295">
        <v>71</v>
      </c>
      <c r="Q295">
        <v>0</v>
      </c>
      <c r="R295">
        <v>166</v>
      </c>
      <c r="S295" s="5">
        <f>Table1[[#This Row],[ Remain ]]/Table1[[#This Row],[ Valid Votes ]]</f>
        <v>0.43483238192478457</v>
      </c>
      <c r="T295" s="5">
        <f>Table1[[#This Row],[ Leave ]]/Table1[[#This Row],[ Valid Votes ]]</f>
        <v>0.56516761807521543</v>
      </c>
      <c r="U295" s="5">
        <f>Table1[[#This Row],[ Rejected Ballots ]]/Table1[[#This Row],[ Votes Cast ]]</f>
        <v>7.3274342849722674E-4</v>
      </c>
      <c r="V295" t="str">
        <f>IF(Table1[[#This Row],[Percent Leave]]&gt;Table1[[#This Row],[Percent Remain]],"Leave", "Remain")</f>
        <v>Leave</v>
      </c>
      <c r="W295">
        <v>50.450218</v>
      </c>
      <c r="X295">
        <v>-4.6425400000000003</v>
      </c>
      <c r="Y295" s="1">
        <f>_xlfn.XLOOKUP(Table1[[#This Row],[Area]],Table2[Area],Table2[All Residents])</f>
        <v>532273</v>
      </c>
    </row>
    <row r="296" spans="1:25" hidden="1" x14ac:dyDescent="0.45">
      <c r="A296">
        <v>295</v>
      </c>
      <c r="B296" t="s">
        <v>615</v>
      </c>
      <c r="C296" t="s">
        <v>616</v>
      </c>
      <c r="D296" t="s">
        <v>627</v>
      </c>
      <c r="E296" t="s">
        <v>628</v>
      </c>
      <c r="F296" s="1">
        <v>1799</v>
      </c>
      <c r="G296" s="1">
        <v>1424</v>
      </c>
      <c r="H296" s="1">
        <v>1424</v>
      </c>
      <c r="I296" s="5">
        <f>Table1[[#This Row],[ Verified Ballot Papers ]]/Table1[[#This Row],[ Electorate ]]</f>
        <v>0.79155086158977206</v>
      </c>
      <c r="J296" s="1">
        <v>1424</v>
      </c>
      <c r="K296" s="1">
        <v>1424</v>
      </c>
      <c r="L296">
        <v>803</v>
      </c>
      <c r="M296">
        <v>621</v>
      </c>
      <c r="N296">
        <v>0</v>
      </c>
      <c r="O296">
        <v>0</v>
      </c>
      <c r="P296">
        <v>0</v>
      </c>
      <c r="Q296">
        <v>0</v>
      </c>
      <c r="R296">
        <v>0</v>
      </c>
      <c r="S296" s="5">
        <f>Table1[[#This Row],[ Remain ]]/Table1[[#This Row],[ Valid Votes ]]</f>
        <v>0.5639044943820225</v>
      </c>
      <c r="T296" s="5">
        <f>Table1[[#This Row],[ Leave ]]/Table1[[#This Row],[ Valid Votes ]]</f>
        <v>0.43609550561797755</v>
      </c>
      <c r="U296" s="5">
        <f>Table1[[#This Row],[ Rejected Ballots ]]/Table1[[#This Row],[ Votes Cast ]]</f>
        <v>0</v>
      </c>
      <c r="V296" t="str">
        <f>IF(Table1[[#This Row],[Percent Leave]]&gt;Table1[[#This Row],[Percent Remain]],"Leave", "Remain")</f>
        <v>Remain</v>
      </c>
      <c r="W296">
        <v>49.923321000000001</v>
      </c>
      <c r="X296">
        <v>-6.3021697999999997</v>
      </c>
      <c r="Y296" s="1">
        <f>_xlfn.XLOOKUP(Table1[[#This Row],[Area]],Table2[Area],Table2[All Residents])</f>
        <v>2203</v>
      </c>
    </row>
    <row r="297" spans="1:25" hidden="1" x14ac:dyDescent="0.45">
      <c r="A297">
        <v>296</v>
      </c>
      <c r="B297" t="s">
        <v>615</v>
      </c>
      <c r="C297" t="s">
        <v>616</v>
      </c>
      <c r="D297" t="s">
        <v>629</v>
      </c>
      <c r="E297" t="s">
        <v>630</v>
      </c>
      <c r="F297" s="1">
        <v>186989</v>
      </c>
      <c r="G297" s="1">
        <v>133537</v>
      </c>
      <c r="H297" s="1">
        <v>133524</v>
      </c>
      <c r="I297" s="5">
        <f>Table1[[#This Row],[ Verified Ballot Papers ]]/Table1[[#This Row],[ Electorate ]]</f>
        <v>0.71407408991972787</v>
      </c>
      <c r="J297" s="1">
        <v>133523</v>
      </c>
      <c r="K297" s="1">
        <v>133455</v>
      </c>
      <c r="L297" s="1">
        <v>53458</v>
      </c>
      <c r="M297" s="1">
        <v>79997</v>
      </c>
      <c r="N297">
        <v>68</v>
      </c>
      <c r="O297">
        <v>1</v>
      </c>
      <c r="P297">
        <v>18</v>
      </c>
      <c r="Q297">
        <v>1</v>
      </c>
      <c r="R297">
        <v>48</v>
      </c>
      <c r="S297" s="5">
        <f>Table1[[#This Row],[ Remain ]]/Table1[[#This Row],[ Valid Votes ]]</f>
        <v>0.40056948034918138</v>
      </c>
      <c r="T297" s="5">
        <f>Table1[[#This Row],[ Leave ]]/Table1[[#This Row],[ Valid Votes ]]</f>
        <v>0.59943051965081862</v>
      </c>
      <c r="U297" s="5">
        <f>Table1[[#This Row],[ Rejected Ballots ]]/Table1[[#This Row],[ Votes Cast ]]</f>
        <v>5.0927555552226958E-4</v>
      </c>
      <c r="V297" t="str">
        <f>IF(Table1[[#This Row],[Percent Leave]]&gt;Table1[[#This Row],[Percent Remain]],"Leave", "Remain")</f>
        <v>Leave</v>
      </c>
      <c r="W297">
        <v>50.404941999999998</v>
      </c>
      <c r="X297">
        <v>-4.1129699000000004</v>
      </c>
      <c r="Y297" s="1">
        <f>_xlfn.XLOOKUP(Table1[[#This Row],[Area]],Table2[Area],Table2[All Residents])</f>
        <v>256384</v>
      </c>
    </row>
    <row r="298" spans="1:25" hidden="1" x14ac:dyDescent="0.45">
      <c r="A298">
        <v>297</v>
      </c>
      <c r="B298" t="s">
        <v>615</v>
      </c>
      <c r="C298" t="s">
        <v>616</v>
      </c>
      <c r="D298" t="s">
        <v>631</v>
      </c>
      <c r="E298" t="s">
        <v>632</v>
      </c>
      <c r="F298" s="1">
        <v>102961</v>
      </c>
      <c r="G298" s="1">
        <v>75873</v>
      </c>
      <c r="H298" s="1">
        <v>75868</v>
      </c>
      <c r="I298" s="5">
        <f>Table1[[#This Row],[ Verified Ballot Papers ]]/Table1[[#This Row],[ Electorate ]]</f>
        <v>0.73686153009391908</v>
      </c>
      <c r="J298" s="1">
        <v>75868</v>
      </c>
      <c r="K298" s="1">
        <v>75824</v>
      </c>
      <c r="L298" s="1">
        <v>27935</v>
      </c>
      <c r="M298" s="1">
        <v>47889</v>
      </c>
      <c r="N298">
        <v>44</v>
      </c>
      <c r="O298">
        <v>0</v>
      </c>
      <c r="P298">
        <v>18</v>
      </c>
      <c r="Q298">
        <v>0</v>
      </c>
      <c r="R298">
        <v>26</v>
      </c>
      <c r="S298" s="5">
        <f>Table1[[#This Row],[ Remain ]]/Table1[[#This Row],[ Valid Votes ]]</f>
        <v>0.36841897024688752</v>
      </c>
      <c r="T298" s="5">
        <f>Table1[[#This Row],[ Leave ]]/Table1[[#This Row],[ Valid Votes ]]</f>
        <v>0.63158102975311248</v>
      </c>
      <c r="U298" s="5">
        <f>Table1[[#This Row],[ Rejected Ballots ]]/Table1[[#This Row],[ Votes Cast ]]</f>
        <v>5.799546580903675E-4</v>
      </c>
      <c r="V298" t="str">
        <f>IF(Table1[[#This Row],[Percent Leave]]&gt;Table1[[#This Row],[Percent Remain]],"Leave", "Remain")</f>
        <v>Leave</v>
      </c>
      <c r="W298">
        <v>50.470920999999997</v>
      </c>
      <c r="X298">
        <v>-3.5552299000000001</v>
      </c>
      <c r="Y298" s="1">
        <f>_xlfn.XLOOKUP(Table1[[#This Row],[Area]],Table2[Area],Table2[All Residents])</f>
        <v>130959</v>
      </c>
    </row>
    <row r="299" spans="1:25" hidden="1" x14ac:dyDescent="0.45">
      <c r="A299">
        <v>298</v>
      </c>
      <c r="B299" t="s">
        <v>615</v>
      </c>
      <c r="C299" t="s">
        <v>616</v>
      </c>
      <c r="D299" t="s">
        <v>633</v>
      </c>
      <c r="E299" t="s">
        <v>634</v>
      </c>
      <c r="F299" s="1">
        <v>132752</v>
      </c>
      <c r="G299" s="1">
        <v>92002</v>
      </c>
      <c r="H299" s="1">
        <v>91998</v>
      </c>
      <c r="I299" s="5">
        <f>Table1[[#This Row],[ Verified Ballot Papers ]]/Table1[[#This Row],[ Electorate ]]</f>
        <v>0.69300650837652167</v>
      </c>
      <c r="J299" s="1">
        <v>91997</v>
      </c>
      <c r="K299" s="1">
        <v>91926</v>
      </c>
      <c r="L299" s="1">
        <v>41473</v>
      </c>
      <c r="M299" s="1">
        <v>50453</v>
      </c>
      <c r="N299">
        <v>71</v>
      </c>
      <c r="O299">
        <v>0</v>
      </c>
      <c r="P299">
        <v>31</v>
      </c>
      <c r="Q299">
        <v>1</v>
      </c>
      <c r="R299">
        <v>39</v>
      </c>
      <c r="S299" s="5">
        <f>Table1[[#This Row],[ Remain ]]/Table1[[#This Row],[ Valid Votes ]]</f>
        <v>0.45115636490220395</v>
      </c>
      <c r="T299" s="5">
        <f>Table1[[#This Row],[ Leave ]]/Table1[[#This Row],[ Valid Votes ]]</f>
        <v>0.5488436350977961</v>
      </c>
      <c r="U299" s="5">
        <f>Table1[[#This Row],[ Rejected Ballots ]]/Table1[[#This Row],[ Votes Cast ]]</f>
        <v>7.7176429666184763E-4</v>
      </c>
      <c r="V299" t="str">
        <f>IF(Table1[[#This Row],[Percent Leave]]&gt;Table1[[#This Row],[Percent Remain]],"Leave", "Remain")</f>
        <v>Leave</v>
      </c>
      <c r="W299">
        <v>50.7448616</v>
      </c>
      <c r="X299">
        <v>-1.8586399600000001</v>
      </c>
      <c r="Y299" s="1">
        <f>_xlfn.XLOOKUP(Table1[[#This Row],[Area]],Table2[Area],Table2[All Residents])</f>
        <v>183491</v>
      </c>
    </row>
    <row r="300" spans="1:25" hidden="1" x14ac:dyDescent="0.45">
      <c r="A300">
        <v>299</v>
      </c>
      <c r="B300" t="s">
        <v>615</v>
      </c>
      <c r="C300" t="s">
        <v>616</v>
      </c>
      <c r="D300" t="s">
        <v>635</v>
      </c>
      <c r="E300" t="s">
        <v>636</v>
      </c>
      <c r="F300" s="1">
        <v>113421</v>
      </c>
      <c r="G300" s="1">
        <v>85500</v>
      </c>
      <c r="H300" s="1">
        <v>85494</v>
      </c>
      <c r="I300" s="5">
        <f>Table1[[#This Row],[ Verified Ballot Papers ]]/Table1[[#This Row],[ Electorate ]]</f>
        <v>0.75377575581241574</v>
      </c>
      <c r="J300" s="1">
        <v>85493</v>
      </c>
      <c r="K300" s="1">
        <v>85448</v>
      </c>
      <c r="L300" s="1">
        <v>35741</v>
      </c>
      <c r="M300" s="1">
        <v>49707</v>
      </c>
      <c r="N300">
        <v>45</v>
      </c>
      <c r="O300">
        <v>2</v>
      </c>
      <c r="P300">
        <v>12</v>
      </c>
      <c r="Q300">
        <v>0</v>
      </c>
      <c r="R300">
        <v>31</v>
      </c>
      <c r="S300" s="5">
        <f>Table1[[#This Row],[ Remain ]]/Table1[[#This Row],[ Valid Votes ]]</f>
        <v>0.41827778297912183</v>
      </c>
      <c r="T300" s="5">
        <f>Table1[[#This Row],[ Leave ]]/Table1[[#This Row],[ Valid Votes ]]</f>
        <v>0.58172221702087823</v>
      </c>
      <c r="U300" s="5">
        <f>Table1[[#This Row],[ Rejected Ballots ]]/Table1[[#This Row],[ Votes Cast ]]</f>
        <v>5.2635888318341853E-4</v>
      </c>
      <c r="V300" t="str">
        <f>IF(Table1[[#This Row],[Percent Leave]]&gt;Table1[[#This Row],[Percent Remain]],"Leave", "Remain")</f>
        <v>Leave</v>
      </c>
      <c r="W300">
        <v>50.740779879999998</v>
      </c>
      <c r="X300">
        <v>-1.9532699600000001</v>
      </c>
      <c r="Y300" s="1">
        <f>_xlfn.XLOOKUP(Table1[[#This Row],[Area]],Table2[Area],Table2[All Residents])</f>
        <v>147645</v>
      </c>
    </row>
    <row r="301" spans="1:25" hidden="1" x14ac:dyDescent="0.45">
      <c r="A301">
        <v>300</v>
      </c>
      <c r="B301" t="s">
        <v>615</v>
      </c>
      <c r="C301" t="s">
        <v>616</v>
      </c>
      <c r="D301" t="s">
        <v>637</v>
      </c>
      <c r="E301" t="s">
        <v>638</v>
      </c>
      <c r="F301" s="1">
        <v>148960</v>
      </c>
      <c r="G301" s="1">
        <v>113064</v>
      </c>
      <c r="H301" s="1">
        <v>113060</v>
      </c>
      <c r="I301" s="5">
        <f>Table1[[#This Row],[ Verified Ballot Papers ]]/Table1[[#This Row],[ Electorate ]]</f>
        <v>0.75899570354457568</v>
      </c>
      <c r="J301" s="1">
        <v>113060</v>
      </c>
      <c r="K301" s="1">
        <v>112965</v>
      </c>
      <c r="L301" s="1">
        <v>51220</v>
      </c>
      <c r="M301" s="1">
        <v>61745</v>
      </c>
      <c r="N301">
        <v>95</v>
      </c>
      <c r="O301">
        <v>0</v>
      </c>
      <c r="P301">
        <v>33</v>
      </c>
      <c r="Q301">
        <v>5</v>
      </c>
      <c r="R301">
        <v>57</v>
      </c>
      <c r="S301" s="5">
        <f>Table1[[#This Row],[ Remain ]]/Table1[[#This Row],[ Valid Votes ]]</f>
        <v>0.4534147744876732</v>
      </c>
      <c r="T301" s="5">
        <f>Table1[[#This Row],[ Leave ]]/Table1[[#This Row],[ Valid Votes ]]</f>
        <v>0.5465852255123268</v>
      </c>
      <c r="U301" s="5">
        <f>Table1[[#This Row],[ Rejected Ballots ]]/Table1[[#This Row],[ Votes Cast ]]</f>
        <v>8.4026180788961612E-4</v>
      </c>
      <c r="V301" t="str">
        <f>IF(Table1[[#This Row],[Percent Leave]]&gt;Table1[[#This Row],[Percent Remain]],"Leave", "Remain")</f>
        <v>Leave</v>
      </c>
      <c r="W301">
        <v>51.577629000000002</v>
      </c>
      <c r="X301">
        <v>-1.73367</v>
      </c>
      <c r="Y301" s="1">
        <f>_xlfn.XLOOKUP(Table1[[#This Row],[Area]],Table2[Area],Table2[All Residents])</f>
        <v>209156</v>
      </c>
    </row>
    <row r="302" spans="1:25" hidden="1" x14ac:dyDescent="0.45">
      <c r="A302">
        <v>301</v>
      </c>
      <c r="B302" t="s">
        <v>615</v>
      </c>
      <c r="C302" t="s">
        <v>616</v>
      </c>
      <c r="D302" t="s">
        <v>639</v>
      </c>
      <c r="E302" t="s">
        <v>640</v>
      </c>
      <c r="F302" s="1">
        <v>366555</v>
      </c>
      <c r="G302" s="1">
        <v>289110</v>
      </c>
      <c r="H302" s="1">
        <v>289102</v>
      </c>
      <c r="I302" s="5">
        <f>Table1[[#This Row],[ Verified Ballot Papers ]]/Table1[[#This Row],[ Electorate ]]</f>
        <v>0.78870019505940447</v>
      </c>
      <c r="J302" s="1">
        <v>289102</v>
      </c>
      <c r="K302" s="1">
        <v>288895</v>
      </c>
      <c r="L302" s="1">
        <v>137258</v>
      </c>
      <c r="M302" s="1">
        <v>151637</v>
      </c>
      <c r="N302">
        <v>207</v>
      </c>
      <c r="O302">
        <v>0</v>
      </c>
      <c r="P302">
        <v>70</v>
      </c>
      <c r="Q302">
        <v>9</v>
      </c>
      <c r="R302">
        <v>128</v>
      </c>
      <c r="S302" s="5">
        <f>Table1[[#This Row],[ Remain ]]/Table1[[#This Row],[ Valid Votes ]]</f>
        <v>0.47511379566970696</v>
      </c>
      <c r="T302" s="5">
        <f>Table1[[#This Row],[ Leave ]]/Table1[[#This Row],[ Valid Votes ]]</f>
        <v>0.52488620433029298</v>
      </c>
      <c r="U302" s="5">
        <f>Table1[[#This Row],[ Rejected Ballots ]]/Table1[[#This Row],[ Votes Cast ]]</f>
        <v>7.1601026627280339E-4</v>
      </c>
      <c r="V302" t="str">
        <f>IF(Table1[[#This Row],[Percent Leave]]&gt;Table1[[#This Row],[Percent Remain]],"Leave", "Remain")</f>
        <v>Leave</v>
      </c>
      <c r="W302">
        <v>51.328831000000001</v>
      </c>
      <c r="X302">
        <v>-1.9266099999999999</v>
      </c>
      <c r="Y302" s="1">
        <f>_xlfn.XLOOKUP(Table1[[#This Row],[Area]],Table2[Area],Table2[All Residents])</f>
        <v>470981</v>
      </c>
    </row>
    <row r="303" spans="1:25" hidden="1" x14ac:dyDescent="0.45">
      <c r="A303">
        <v>302</v>
      </c>
      <c r="B303" t="s">
        <v>615</v>
      </c>
      <c r="C303" t="s">
        <v>616</v>
      </c>
      <c r="D303" t="s">
        <v>641</v>
      </c>
      <c r="E303" t="s">
        <v>642</v>
      </c>
      <c r="F303" s="1">
        <v>112527</v>
      </c>
      <c r="G303" s="1">
        <v>88831</v>
      </c>
      <c r="H303" s="1">
        <v>88831</v>
      </c>
      <c r="I303" s="5">
        <f>Table1[[#This Row],[ Verified Ballot Papers ]]/Table1[[#This Row],[ Electorate ]]</f>
        <v>0.78941942822611466</v>
      </c>
      <c r="J303" s="1">
        <v>88831</v>
      </c>
      <c r="K303" s="1">
        <v>88783</v>
      </c>
      <c r="L303" s="1">
        <v>40743</v>
      </c>
      <c r="M303" s="1">
        <v>48040</v>
      </c>
      <c r="N303">
        <v>48</v>
      </c>
      <c r="O303">
        <v>0</v>
      </c>
      <c r="P303">
        <v>23</v>
      </c>
      <c r="Q303">
        <v>0</v>
      </c>
      <c r="R303">
        <v>25</v>
      </c>
      <c r="S303" s="5">
        <f>Table1[[#This Row],[ Remain ]]/Table1[[#This Row],[ Valid Votes ]]</f>
        <v>0.45890542108286497</v>
      </c>
      <c r="T303" s="5">
        <f>Table1[[#This Row],[ Leave ]]/Table1[[#This Row],[ Valid Votes ]]</f>
        <v>0.54109457891713508</v>
      </c>
      <c r="U303" s="5">
        <f>Table1[[#This Row],[ Rejected Ballots ]]/Table1[[#This Row],[ Votes Cast ]]</f>
        <v>5.4035190417759565E-4</v>
      </c>
      <c r="V303" t="str">
        <f>IF(Table1[[#This Row],[Percent Leave]]&gt;Table1[[#This Row],[Percent Remain]],"Leave", "Remain")</f>
        <v>Leave</v>
      </c>
      <c r="W303">
        <v>50.757598999999999</v>
      </c>
      <c r="X303">
        <v>-3.2235898999999999</v>
      </c>
      <c r="Y303" s="1">
        <f>_xlfn.XLOOKUP(Table1[[#This Row],[Area]],Table2[Area],Table2[All Residents])</f>
        <v>132457</v>
      </c>
    </row>
    <row r="304" spans="1:25" hidden="1" x14ac:dyDescent="0.45">
      <c r="A304">
        <v>303</v>
      </c>
      <c r="B304" t="s">
        <v>615</v>
      </c>
      <c r="C304" t="s">
        <v>616</v>
      </c>
      <c r="D304" t="s">
        <v>643</v>
      </c>
      <c r="E304" t="s">
        <v>644</v>
      </c>
      <c r="F304" s="1">
        <v>86417</v>
      </c>
      <c r="G304" s="1">
        <v>63888</v>
      </c>
      <c r="H304" s="1">
        <v>63877</v>
      </c>
      <c r="I304" s="5">
        <f>Table1[[#This Row],[ Verified Ballot Papers ]]/Table1[[#This Row],[ Electorate ]]</f>
        <v>0.73917169075529121</v>
      </c>
      <c r="J304" s="1">
        <v>63867</v>
      </c>
      <c r="K304" s="1">
        <v>63803</v>
      </c>
      <c r="L304" s="1">
        <v>35270</v>
      </c>
      <c r="M304" s="1">
        <v>28533</v>
      </c>
      <c r="N304">
        <v>64</v>
      </c>
      <c r="O304">
        <v>0</v>
      </c>
      <c r="P304">
        <v>19</v>
      </c>
      <c r="Q304">
        <v>3</v>
      </c>
      <c r="R304">
        <v>42</v>
      </c>
      <c r="S304" s="5">
        <f>Table1[[#This Row],[ Remain ]]/Table1[[#This Row],[ Valid Votes ]]</f>
        <v>0.55279532310392931</v>
      </c>
      <c r="T304" s="5">
        <f>Table1[[#This Row],[ Leave ]]/Table1[[#This Row],[ Valid Votes ]]</f>
        <v>0.44720467689607074</v>
      </c>
      <c r="U304" s="5">
        <f>Table1[[#This Row],[ Rejected Ballots ]]/Table1[[#This Row],[ Votes Cast ]]</f>
        <v>1.0020824525968028E-3</v>
      </c>
      <c r="V304" t="str">
        <f>IF(Table1[[#This Row],[Percent Leave]]&gt;Table1[[#This Row],[Percent Remain]],"Leave", "Remain")</f>
        <v>Remain</v>
      </c>
      <c r="W304">
        <v>50.717818999999999</v>
      </c>
      <c r="X304">
        <v>-3.5136799999999999</v>
      </c>
      <c r="Y304" s="1">
        <f>_xlfn.XLOOKUP(Table1[[#This Row],[Area]],Table2[Area],Table2[All Residents])</f>
        <v>117773</v>
      </c>
    </row>
    <row r="305" spans="1:25" hidden="1" x14ac:dyDescent="0.45">
      <c r="A305">
        <v>304</v>
      </c>
      <c r="B305" t="s">
        <v>615</v>
      </c>
      <c r="C305" t="s">
        <v>616</v>
      </c>
      <c r="D305" t="s">
        <v>645</v>
      </c>
      <c r="E305" t="s">
        <v>646</v>
      </c>
      <c r="F305" s="1">
        <v>60532</v>
      </c>
      <c r="G305" s="1">
        <v>48049</v>
      </c>
      <c r="H305" s="1">
        <v>48049</v>
      </c>
      <c r="I305" s="5">
        <f>Table1[[#This Row],[ Verified Ballot Papers ]]/Table1[[#This Row],[ Electorate ]]</f>
        <v>0.79377849732372963</v>
      </c>
      <c r="J305" s="1">
        <v>48049</v>
      </c>
      <c r="K305" s="1">
        <v>48006</v>
      </c>
      <c r="L305" s="1">
        <v>22400</v>
      </c>
      <c r="M305" s="1">
        <v>25606</v>
      </c>
      <c r="N305">
        <v>43</v>
      </c>
      <c r="O305">
        <v>0</v>
      </c>
      <c r="P305">
        <v>7</v>
      </c>
      <c r="Q305">
        <v>3</v>
      </c>
      <c r="R305">
        <v>33</v>
      </c>
      <c r="S305" s="5">
        <f>Table1[[#This Row],[ Remain ]]/Table1[[#This Row],[ Valid Votes ]]</f>
        <v>0.46660834062408868</v>
      </c>
      <c r="T305" s="5">
        <f>Table1[[#This Row],[ Leave ]]/Table1[[#This Row],[ Valid Votes ]]</f>
        <v>0.53339165937591138</v>
      </c>
      <c r="U305" s="5">
        <f>Table1[[#This Row],[ Rejected Ballots ]]/Table1[[#This Row],[ Votes Cast ]]</f>
        <v>8.9491976940206874E-4</v>
      </c>
      <c r="V305" t="str">
        <f>IF(Table1[[#This Row],[Percent Leave]]&gt;Table1[[#This Row],[Percent Remain]],"Leave", "Remain")</f>
        <v>Leave</v>
      </c>
      <c r="W305">
        <v>50.868819999999999</v>
      </c>
      <c r="X305">
        <v>-3.5921199000000001</v>
      </c>
      <c r="Y305" s="1">
        <f>_xlfn.XLOOKUP(Table1[[#This Row],[Area]],Table2[Area],Table2[All Residents])</f>
        <v>77750</v>
      </c>
    </row>
    <row r="306" spans="1:25" hidden="1" x14ac:dyDescent="0.45">
      <c r="A306">
        <v>305</v>
      </c>
      <c r="B306" t="s">
        <v>615</v>
      </c>
      <c r="C306" t="s">
        <v>616</v>
      </c>
      <c r="D306" t="s">
        <v>647</v>
      </c>
      <c r="E306" t="s">
        <v>648</v>
      </c>
      <c r="F306" s="1">
        <v>75548</v>
      </c>
      <c r="G306" s="1">
        <v>58054</v>
      </c>
      <c r="H306" s="1">
        <v>58056</v>
      </c>
      <c r="I306" s="5">
        <f>Table1[[#This Row],[ Verified Ballot Papers ]]/Table1[[#This Row],[ Electorate ]]</f>
        <v>0.76846508180229789</v>
      </c>
      <c r="J306" s="1">
        <v>58056</v>
      </c>
      <c r="K306" s="1">
        <v>58031</v>
      </c>
      <c r="L306" s="1">
        <v>24931</v>
      </c>
      <c r="M306" s="1">
        <v>33100</v>
      </c>
      <c r="N306">
        <v>25</v>
      </c>
      <c r="O306">
        <v>0</v>
      </c>
      <c r="P306">
        <v>10</v>
      </c>
      <c r="Q306">
        <v>1</v>
      </c>
      <c r="R306">
        <v>14</v>
      </c>
      <c r="S306" s="5">
        <f>Table1[[#This Row],[ Remain ]]/Table1[[#This Row],[ Valid Votes ]]</f>
        <v>0.42961520566593719</v>
      </c>
      <c r="T306" s="5">
        <f>Table1[[#This Row],[ Leave ]]/Table1[[#This Row],[ Valid Votes ]]</f>
        <v>0.57038479433406286</v>
      </c>
      <c r="U306" s="5">
        <f>Table1[[#This Row],[ Rejected Ballots ]]/Table1[[#This Row],[ Votes Cast ]]</f>
        <v>4.3061871296679071E-4</v>
      </c>
      <c r="V306" t="str">
        <f>IF(Table1[[#This Row],[Percent Leave]]&gt;Table1[[#This Row],[Percent Remain]],"Leave", "Remain")</f>
        <v>Leave</v>
      </c>
      <c r="W306">
        <v>51.076210000000003</v>
      </c>
      <c r="X306">
        <v>-3.9269099000000001</v>
      </c>
      <c r="Y306" s="1">
        <f>_xlfn.XLOOKUP(Table1[[#This Row],[Area]],Table2[Area],Table2[All Residents])</f>
        <v>93667</v>
      </c>
    </row>
    <row r="307" spans="1:25" hidden="1" x14ac:dyDescent="0.45">
      <c r="A307">
        <v>306</v>
      </c>
      <c r="B307" t="s">
        <v>615</v>
      </c>
      <c r="C307" t="s">
        <v>616</v>
      </c>
      <c r="D307" t="s">
        <v>649</v>
      </c>
      <c r="E307" t="s">
        <v>650</v>
      </c>
      <c r="F307" s="1">
        <v>69121</v>
      </c>
      <c r="G307" s="1">
        <v>55488</v>
      </c>
      <c r="H307" s="1">
        <v>55486</v>
      </c>
      <c r="I307" s="5">
        <f>Table1[[#This Row],[ Verified Ballot Papers ]]/Table1[[#This Row],[ Electorate ]]</f>
        <v>0.80273722891740573</v>
      </c>
      <c r="J307" s="1">
        <v>55485</v>
      </c>
      <c r="K307" s="1">
        <v>55450</v>
      </c>
      <c r="L307" s="1">
        <v>29308</v>
      </c>
      <c r="M307" s="1">
        <v>26142</v>
      </c>
      <c r="N307">
        <v>35</v>
      </c>
      <c r="O307">
        <v>0</v>
      </c>
      <c r="P307">
        <v>15</v>
      </c>
      <c r="Q307">
        <v>0</v>
      </c>
      <c r="R307">
        <v>20</v>
      </c>
      <c r="S307" s="5">
        <f>Table1[[#This Row],[ Remain ]]/Table1[[#This Row],[ Valid Votes ]]</f>
        <v>0.52854824165915237</v>
      </c>
      <c r="T307" s="5">
        <f>Table1[[#This Row],[ Leave ]]/Table1[[#This Row],[ Valid Votes ]]</f>
        <v>0.47145175834084763</v>
      </c>
      <c r="U307" s="5">
        <f>Table1[[#This Row],[ Rejected Ballots ]]/Table1[[#This Row],[ Votes Cast ]]</f>
        <v>6.3080111741912234E-4</v>
      </c>
      <c r="V307" t="str">
        <f>IF(Table1[[#This Row],[Percent Leave]]&gt;Table1[[#This Row],[Percent Remain]],"Leave", "Remain")</f>
        <v>Remain</v>
      </c>
      <c r="W307">
        <v>50.371948000000003</v>
      </c>
      <c r="X307">
        <v>-3.8199600999999999</v>
      </c>
      <c r="Y307" s="1">
        <f>_xlfn.XLOOKUP(Table1[[#This Row],[Area]],Table2[Area],Table2[All Residents])</f>
        <v>83140</v>
      </c>
    </row>
    <row r="308" spans="1:25" hidden="1" x14ac:dyDescent="0.45">
      <c r="A308">
        <v>307</v>
      </c>
      <c r="B308" t="s">
        <v>615</v>
      </c>
      <c r="C308" t="s">
        <v>616</v>
      </c>
      <c r="D308" t="s">
        <v>651</v>
      </c>
      <c r="E308" t="s">
        <v>652</v>
      </c>
      <c r="F308" s="1">
        <v>103740</v>
      </c>
      <c r="G308" s="1">
        <v>82383</v>
      </c>
      <c r="H308" s="1">
        <v>82377</v>
      </c>
      <c r="I308" s="5">
        <f>Table1[[#This Row],[ Verified Ballot Papers ]]/Table1[[#This Row],[ Electorate ]]</f>
        <v>0.79407171775592833</v>
      </c>
      <c r="J308" s="1">
        <v>82369</v>
      </c>
      <c r="K308" s="1">
        <v>82312</v>
      </c>
      <c r="L308" s="1">
        <v>37949</v>
      </c>
      <c r="M308" s="1">
        <v>44363</v>
      </c>
      <c r="N308">
        <v>57</v>
      </c>
      <c r="O308">
        <v>0</v>
      </c>
      <c r="P308">
        <v>19</v>
      </c>
      <c r="Q308">
        <v>0</v>
      </c>
      <c r="R308">
        <v>38</v>
      </c>
      <c r="S308" s="5">
        <f>Table1[[#This Row],[ Remain ]]/Table1[[#This Row],[ Valid Votes ]]</f>
        <v>0.46103848770531636</v>
      </c>
      <c r="T308" s="5">
        <f>Table1[[#This Row],[ Leave ]]/Table1[[#This Row],[ Valid Votes ]]</f>
        <v>0.5389615122946837</v>
      </c>
      <c r="U308" s="5">
        <f>Table1[[#This Row],[ Rejected Ballots ]]/Table1[[#This Row],[ Votes Cast ]]</f>
        <v>6.9200791559931524E-4</v>
      </c>
      <c r="V308" t="str">
        <f>IF(Table1[[#This Row],[Percent Leave]]&gt;Table1[[#This Row],[Percent Remain]],"Leave", "Remain")</f>
        <v>Leave</v>
      </c>
      <c r="W308">
        <v>50.609810000000003</v>
      </c>
      <c r="X308">
        <v>-3.6528900000000002</v>
      </c>
      <c r="Y308" s="1">
        <f>_xlfn.XLOOKUP(Table1[[#This Row],[Area]],Table2[Area],Table2[All Residents])</f>
        <v>124220</v>
      </c>
    </row>
    <row r="309" spans="1:25" hidden="1" x14ac:dyDescent="0.45">
      <c r="A309">
        <v>308</v>
      </c>
      <c r="B309" t="s">
        <v>615</v>
      </c>
      <c r="C309" t="s">
        <v>616</v>
      </c>
      <c r="D309" t="s">
        <v>653</v>
      </c>
      <c r="E309" t="s">
        <v>654</v>
      </c>
      <c r="F309" s="1">
        <v>52881</v>
      </c>
      <c r="G309" s="1">
        <v>41462</v>
      </c>
      <c r="H309" s="1">
        <v>41461</v>
      </c>
      <c r="I309" s="5">
        <f>Table1[[#This Row],[ Verified Ballot Papers ]]/Table1[[#This Row],[ Electorate ]]</f>
        <v>0.78404341824095614</v>
      </c>
      <c r="J309" s="1">
        <v>41462</v>
      </c>
      <c r="K309" s="1">
        <v>41429</v>
      </c>
      <c r="L309" s="1">
        <v>16229</v>
      </c>
      <c r="M309" s="1">
        <v>25200</v>
      </c>
      <c r="N309">
        <v>33</v>
      </c>
      <c r="O309">
        <v>0</v>
      </c>
      <c r="P309">
        <v>11</v>
      </c>
      <c r="Q309">
        <v>1</v>
      </c>
      <c r="R309">
        <v>21</v>
      </c>
      <c r="S309" s="5">
        <f>Table1[[#This Row],[ Remain ]]/Table1[[#This Row],[ Valid Votes ]]</f>
        <v>0.39173043037485822</v>
      </c>
      <c r="T309" s="5">
        <f>Table1[[#This Row],[ Leave ]]/Table1[[#This Row],[ Valid Votes ]]</f>
        <v>0.60826956962514178</v>
      </c>
      <c r="U309" s="5">
        <f>Table1[[#This Row],[ Rejected Ballots ]]/Table1[[#This Row],[ Votes Cast ]]</f>
        <v>7.9590950750084411E-4</v>
      </c>
      <c r="V309" t="str">
        <f>IF(Table1[[#This Row],[Percent Leave]]&gt;Table1[[#This Row],[Percent Remain]],"Leave", "Remain")</f>
        <v>Leave</v>
      </c>
      <c r="W309">
        <v>50.907390999999997</v>
      </c>
      <c r="X309">
        <v>-4.2172799000000003</v>
      </c>
      <c r="Y309" s="1">
        <f>_xlfn.XLOOKUP(Table1[[#This Row],[Area]],Table2[Area],Table2[All Residents])</f>
        <v>63839</v>
      </c>
    </row>
    <row r="310" spans="1:25" hidden="1" x14ac:dyDescent="0.45">
      <c r="A310">
        <v>309</v>
      </c>
      <c r="B310" t="s">
        <v>615</v>
      </c>
      <c r="C310" t="s">
        <v>616</v>
      </c>
      <c r="D310" t="s">
        <v>655</v>
      </c>
      <c r="E310" t="s">
        <v>656</v>
      </c>
      <c r="F310" s="1">
        <v>43823</v>
      </c>
      <c r="G310" s="1">
        <v>35613</v>
      </c>
      <c r="H310" s="1">
        <v>35613</v>
      </c>
      <c r="I310" s="5">
        <f>Table1[[#This Row],[ Verified Ballot Papers ]]/Table1[[#This Row],[ Electorate ]]</f>
        <v>0.81265545489811286</v>
      </c>
      <c r="J310" s="1">
        <v>35612</v>
      </c>
      <c r="K310" s="1">
        <v>35595</v>
      </c>
      <c r="L310" s="1">
        <v>16658</v>
      </c>
      <c r="M310" s="1">
        <v>18937</v>
      </c>
      <c r="N310">
        <v>17</v>
      </c>
      <c r="O310">
        <v>0</v>
      </c>
      <c r="P310">
        <v>5</v>
      </c>
      <c r="Q310">
        <v>1</v>
      </c>
      <c r="R310">
        <v>11</v>
      </c>
      <c r="S310" s="5">
        <f>Table1[[#This Row],[ Remain ]]/Table1[[#This Row],[ Valid Votes ]]</f>
        <v>0.46798707683663437</v>
      </c>
      <c r="T310" s="5">
        <f>Table1[[#This Row],[ Leave ]]/Table1[[#This Row],[ Valid Votes ]]</f>
        <v>0.53201292316336568</v>
      </c>
      <c r="U310" s="5">
        <f>Table1[[#This Row],[ Rejected Ballots ]]/Table1[[#This Row],[ Votes Cast ]]</f>
        <v>4.7736717960238122E-4</v>
      </c>
      <c r="V310" t="str">
        <f>IF(Table1[[#This Row],[Percent Leave]]&gt;Table1[[#This Row],[Percent Remain]],"Leave", "Remain")</f>
        <v>Leave</v>
      </c>
      <c r="W310">
        <v>50.664810000000003</v>
      </c>
      <c r="X310">
        <v>-4.0336099000000001</v>
      </c>
      <c r="Y310" s="1">
        <f>_xlfn.XLOOKUP(Table1[[#This Row],[Area]],Table2[Area],Table2[All Residents])</f>
        <v>53553</v>
      </c>
    </row>
    <row r="311" spans="1:25" hidden="1" x14ac:dyDescent="0.45">
      <c r="A311">
        <v>310</v>
      </c>
      <c r="B311" t="s">
        <v>615</v>
      </c>
      <c r="C311" t="s">
        <v>616</v>
      </c>
      <c r="D311" t="s">
        <v>657</v>
      </c>
      <c r="E311" t="s">
        <v>658</v>
      </c>
      <c r="F311" s="1">
        <v>39176</v>
      </c>
      <c r="G311" s="1">
        <v>31071</v>
      </c>
      <c r="H311" s="1">
        <v>31066</v>
      </c>
      <c r="I311" s="5">
        <f>Table1[[#This Row],[ Verified Ballot Papers ]]/Table1[[#This Row],[ Electorate ]]</f>
        <v>0.79298550132734325</v>
      </c>
      <c r="J311" s="1">
        <v>31066</v>
      </c>
      <c r="K311" s="1">
        <v>31050</v>
      </c>
      <c r="L311" s="1">
        <v>12782</v>
      </c>
      <c r="M311" s="1">
        <v>18268</v>
      </c>
      <c r="N311">
        <v>16</v>
      </c>
      <c r="O311">
        <v>0</v>
      </c>
      <c r="P311">
        <v>6</v>
      </c>
      <c r="Q311">
        <v>2</v>
      </c>
      <c r="R311">
        <v>8</v>
      </c>
      <c r="S311" s="5">
        <f>Table1[[#This Row],[ Remain ]]/Table1[[#This Row],[ Valid Votes ]]</f>
        <v>0.41165861513687602</v>
      </c>
      <c r="T311" s="5">
        <f>Table1[[#This Row],[ Leave ]]/Table1[[#This Row],[ Valid Votes ]]</f>
        <v>0.58834138486312404</v>
      </c>
      <c r="U311" s="5">
        <f>Table1[[#This Row],[ Rejected Ballots ]]/Table1[[#This Row],[ Votes Cast ]]</f>
        <v>5.1503251142728389E-4</v>
      </c>
      <c r="V311" t="str">
        <f>IF(Table1[[#This Row],[Percent Leave]]&gt;Table1[[#This Row],[Percent Remain]],"Leave", "Remain")</f>
        <v>Leave</v>
      </c>
      <c r="W311">
        <v>50.76625061</v>
      </c>
      <c r="X311">
        <v>-1.81570005</v>
      </c>
      <c r="Y311" s="1">
        <f>_xlfn.XLOOKUP(Table1[[#This Row],[Area]],Table2[Area],Table2[All Residents])</f>
        <v>47752</v>
      </c>
    </row>
    <row r="312" spans="1:25" hidden="1" x14ac:dyDescent="0.45">
      <c r="A312">
        <v>311</v>
      </c>
      <c r="B312" t="s">
        <v>615</v>
      </c>
      <c r="C312" t="s">
        <v>616</v>
      </c>
      <c r="D312" t="s">
        <v>659</v>
      </c>
      <c r="E312" t="s">
        <v>660</v>
      </c>
      <c r="F312" s="1">
        <v>71966</v>
      </c>
      <c r="G312" s="1">
        <v>58530</v>
      </c>
      <c r="H312" s="1">
        <v>58530</v>
      </c>
      <c r="I312" s="5">
        <f>Table1[[#This Row],[ Verified Ballot Papers ]]/Table1[[#This Row],[ Electorate ]]</f>
        <v>0.81330072534252285</v>
      </c>
      <c r="J312" s="1">
        <v>58530</v>
      </c>
      <c r="K312" s="1">
        <v>58488</v>
      </c>
      <c r="L312" s="1">
        <v>24786</v>
      </c>
      <c r="M312" s="1">
        <v>33702</v>
      </c>
      <c r="N312">
        <v>42</v>
      </c>
      <c r="O312">
        <v>0</v>
      </c>
      <c r="P312">
        <v>12</v>
      </c>
      <c r="Q312">
        <v>2</v>
      </c>
      <c r="R312">
        <v>28</v>
      </c>
      <c r="S312" s="5">
        <f>Table1[[#This Row],[ Remain ]]/Table1[[#This Row],[ Valid Votes ]]</f>
        <v>0.42377923676651619</v>
      </c>
      <c r="T312" s="5">
        <f>Table1[[#This Row],[ Leave ]]/Table1[[#This Row],[ Valid Votes ]]</f>
        <v>0.57622076323348381</v>
      </c>
      <c r="U312" s="5">
        <f>Table1[[#This Row],[ Rejected Ballots ]]/Table1[[#This Row],[ Votes Cast ]]</f>
        <v>7.1758072783188113E-4</v>
      </c>
      <c r="V312" t="str">
        <f>IF(Table1[[#This Row],[Percent Leave]]&gt;Table1[[#This Row],[Percent Remain]],"Leave", "Remain")</f>
        <v>Leave</v>
      </c>
      <c r="W312">
        <v>50.889171599999997</v>
      </c>
      <c r="X312">
        <v>-1.9773999499999999</v>
      </c>
      <c r="Y312" s="1">
        <f>_xlfn.XLOOKUP(Table1[[#This Row],[Area]],Table2[Area],Table2[All Residents])</f>
        <v>87166</v>
      </c>
    </row>
    <row r="313" spans="1:25" hidden="1" x14ac:dyDescent="0.45">
      <c r="A313">
        <v>312</v>
      </c>
      <c r="B313" t="s">
        <v>615</v>
      </c>
      <c r="C313" t="s">
        <v>616</v>
      </c>
      <c r="D313" t="s">
        <v>661</v>
      </c>
      <c r="E313" t="s">
        <v>662</v>
      </c>
      <c r="F313" s="1">
        <v>52980</v>
      </c>
      <c r="G313" s="1">
        <v>42228</v>
      </c>
      <c r="H313" s="1">
        <v>42223</v>
      </c>
      <c r="I313" s="5">
        <f>Table1[[#This Row],[ Verified Ballot Papers ]]/Table1[[#This Row],[ Electorate ]]</f>
        <v>0.79696111740279352</v>
      </c>
      <c r="J313" s="1">
        <v>42228</v>
      </c>
      <c r="K313" s="1">
        <v>42201</v>
      </c>
      <c r="L313" s="1">
        <v>18399</v>
      </c>
      <c r="M313" s="1">
        <v>23802</v>
      </c>
      <c r="N313">
        <v>27</v>
      </c>
      <c r="O313">
        <v>0</v>
      </c>
      <c r="P313">
        <v>0</v>
      </c>
      <c r="Q313">
        <v>0</v>
      </c>
      <c r="R313">
        <v>27</v>
      </c>
      <c r="S313" s="5">
        <f>Table1[[#This Row],[ Remain ]]/Table1[[#This Row],[ Valid Votes ]]</f>
        <v>0.43598492926707899</v>
      </c>
      <c r="T313" s="5">
        <f>Table1[[#This Row],[ Leave ]]/Table1[[#This Row],[ Valid Votes ]]</f>
        <v>0.56401507073292101</v>
      </c>
      <c r="U313" s="5">
        <f>Table1[[#This Row],[ Rejected Ballots ]]/Table1[[#This Row],[ Votes Cast ]]</f>
        <v>6.3938618925831207E-4</v>
      </c>
      <c r="V313" t="str">
        <f>IF(Table1[[#This Row],[Percent Leave]]&gt;Table1[[#This Row],[Percent Remain]],"Leave", "Remain")</f>
        <v>Leave</v>
      </c>
      <c r="W313">
        <v>50.919818880000001</v>
      </c>
      <c r="X313">
        <v>-2.2603700199999999</v>
      </c>
      <c r="Y313" s="1">
        <f>_xlfn.XLOOKUP(Table1[[#This Row],[Area]],Table2[Area],Table2[All Residents])</f>
        <v>68583</v>
      </c>
    </row>
    <row r="314" spans="1:25" hidden="1" x14ac:dyDescent="0.45">
      <c r="A314">
        <v>313</v>
      </c>
      <c r="B314" t="s">
        <v>615</v>
      </c>
      <c r="C314" t="s">
        <v>616</v>
      </c>
      <c r="D314" t="s">
        <v>663</v>
      </c>
      <c r="E314" t="s">
        <v>664</v>
      </c>
      <c r="F314" s="1">
        <v>36418</v>
      </c>
      <c r="G314" s="1">
        <v>28736</v>
      </c>
      <c r="H314" s="1">
        <v>28736</v>
      </c>
      <c r="I314" s="5">
        <f>Table1[[#This Row],[ Verified Ballot Papers ]]/Table1[[#This Row],[ Electorate ]]</f>
        <v>0.78906035476961944</v>
      </c>
      <c r="J314" s="1">
        <v>28736</v>
      </c>
      <c r="K314" s="1">
        <v>28720</v>
      </c>
      <c r="L314" s="1">
        <v>11754</v>
      </c>
      <c r="M314" s="1">
        <v>16966</v>
      </c>
      <c r="N314">
        <v>16</v>
      </c>
      <c r="O314">
        <v>0</v>
      </c>
      <c r="P314">
        <v>6</v>
      </c>
      <c r="Q314">
        <v>0</v>
      </c>
      <c r="R314">
        <v>10</v>
      </c>
      <c r="S314" s="5">
        <f>Table1[[#This Row],[ Remain ]]/Table1[[#This Row],[ Valid Votes ]]</f>
        <v>0.40926183844011144</v>
      </c>
      <c r="T314" s="5">
        <f>Table1[[#This Row],[ Leave ]]/Table1[[#This Row],[ Valid Votes ]]</f>
        <v>0.59073816155988856</v>
      </c>
      <c r="U314" s="5">
        <f>Table1[[#This Row],[ Rejected Ballots ]]/Table1[[#This Row],[ Votes Cast ]]</f>
        <v>5.5679287305122492E-4</v>
      </c>
      <c r="V314" t="str">
        <f>IF(Table1[[#This Row],[Percent Leave]]&gt;Table1[[#This Row],[Percent Remain]],"Leave", "Remain")</f>
        <v>Leave</v>
      </c>
      <c r="W314">
        <v>50.694450379999999</v>
      </c>
      <c r="X314">
        <v>-2.1261799300000002</v>
      </c>
      <c r="Y314" s="1">
        <f>_xlfn.XLOOKUP(Table1[[#This Row],[Area]],Table2[Area],Table2[All Residents])</f>
        <v>44973</v>
      </c>
    </row>
    <row r="315" spans="1:25" hidden="1" x14ac:dyDescent="0.45">
      <c r="A315">
        <v>314</v>
      </c>
      <c r="B315" t="s">
        <v>615</v>
      </c>
      <c r="C315" t="s">
        <v>616</v>
      </c>
      <c r="D315" t="s">
        <v>665</v>
      </c>
      <c r="E315" t="s">
        <v>666</v>
      </c>
      <c r="F315" s="1">
        <v>82071</v>
      </c>
      <c r="G315" s="1">
        <v>65237</v>
      </c>
      <c r="H315" s="1">
        <v>65237</v>
      </c>
      <c r="I315" s="5">
        <f>Table1[[#This Row],[ Verified Ballot Papers ]]/Table1[[#This Row],[ Electorate ]]</f>
        <v>0.79488491671845107</v>
      </c>
      <c r="J315" s="1">
        <v>65237</v>
      </c>
      <c r="K315" s="1">
        <v>65191</v>
      </c>
      <c r="L315" s="1">
        <v>31924</v>
      </c>
      <c r="M315" s="1">
        <v>33267</v>
      </c>
      <c r="N315">
        <v>46</v>
      </c>
      <c r="O315">
        <v>0</v>
      </c>
      <c r="P315">
        <v>14</v>
      </c>
      <c r="Q315">
        <v>1</v>
      </c>
      <c r="R315">
        <v>31</v>
      </c>
      <c r="S315" s="5">
        <f>Table1[[#This Row],[ Remain ]]/Table1[[#This Row],[ Valid Votes ]]</f>
        <v>0.48969949839701798</v>
      </c>
      <c r="T315" s="5">
        <f>Table1[[#This Row],[ Leave ]]/Table1[[#This Row],[ Valid Votes ]]</f>
        <v>0.51030050160298202</v>
      </c>
      <c r="U315" s="5">
        <f>Table1[[#This Row],[ Rejected Ballots ]]/Table1[[#This Row],[ Votes Cast ]]</f>
        <v>7.0512132685439247E-4</v>
      </c>
      <c r="V315" t="str">
        <f>IF(Table1[[#This Row],[Percent Leave]]&gt;Table1[[#This Row],[Percent Remain]],"Leave", "Remain")</f>
        <v>Leave</v>
      </c>
      <c r="W315">
        <v>50.79497147</v>
      </c>
      <c r="X315">
        <v>-2.60061002</v>
      </c>
      <c r="Y315" s="1">
        <f>_xlfn.XLOOKUP(Table1[[#This Row],[Area]],Table2[Area],Table2[All Residents])</f>
        <v>99264</v>
      </c>
    </row>
    <row r="316" spans="1:25" hidden="1" x14ac:dyDescent="0.45">
      <c r="A316">
        <v>315</v>
      </c>
      <c r="B316" t="s">
        <v>615</v>
      </c>
      <c r="C316" t="s">
        <v>616</v>
      </c>
      <c r="D316" t="s">
        <v>667</v>
      </c>
      <c r="E316" t="s">
        <v>668</v>
      </c>
      <c r="F316" s="1">
        <v>50442</v>
      </c>
      <c r="G316" s="1">
        <v>38273</v>
      </c>
      <c r="H316" s="1">
        <v>38271</v>
      </c>
      <c r="I316" s="5">
        <f>Table1[[#This Row],[ Verified Ballot Papers ]]/Table1[[#This Row],[ Electorate ]]</f>
        <v>0.75871297728083742</v>
      </c>
      <c r="J316" s="1">
        <v>38271</v>
      </c>
      <c r="K316" s="1">
        <v>38255</v>
      </c>
      <c r="L316" s="1">
        <v>14903</v>
      </c>
      <c r="M316" s="1">
        <v>23352</v>
      </c>
      <c r="N316">
        <v>16</v>
      </c>
      <c r="O316">
        <v>0</v>
      </c>
      <c r="P316">
        <v>6</v>
      </c>
      <c r="Q316">
        <v>0</v>
      </c>
      <c r="R316">
        <v>10</v>
      </c>
      <c r="S316" s="5">
        <f>Table1[[#This Row],[ Remain ]]/Table1[[#This Row],[ Valid Votes ]]</f>
        <v>0.38956999085086919</v>
      </c>
      <c r="T316" s="5">
        <f>Table1[[#This Row],[ Leave ]]/Table1[[#This Row],[ Valid Votes ]]</f>
        <v>0.61043000914913081</v>
      </c>
      <c r="U316" s="5">
        <f>Table1[[#This Row],[ Rejected Ballots ]]/Table1[[#This Row],[ Votes Cast ]]</f>
        <v>4.1807112435003006E-4</v>
      </c>
      <c r="V316" t="str">
        <f>IF(Table1[[#This Row],[Percent Leave]]&gt;Table1[[#This Row],[Percent Remain]],"Leave", "Remain")</f>
        <v>Leave</v>
      </c>
      <c r="W316">
        <v>50.632400509999997</v>
      </c>
      <c r="X316">
        <v>-2.4513399599999999</v>
      </c>
      <c r="Y316" s="1">
        <f>_xlfn.XLOOKUP(Table1[[#This Row],[Area]],Table2[Area],Table2[All Residents])</f>
        <v>65167</v>
      </c>
    </row>
    <row r="317" spans="1:25" hidden="1" x14ac:dyDescent="0.45">
      <c r="A317">
        <v>316</v>
      </c>
      <c r="B317" t="s">
        <v>615</v>
      </c>
      <c r="C317" t="s">
        <v>616</v>
      </c>
      <c r="D317" t="s">
        <v>669</v>
      </c>
      <c r="E317" t="s">
        <v>670</v>
      </c>
      <c r="F317" s="1">
        <v>87060</v>
      </c>
      <c r="G317" s="1">
        <v>66060</v>
      </c>
      <c r="H317" s="1">
        <v>66059</v>
      </c>
      <c r="I317" s="5">
        <f>Table1[[#This Row],[ Verified Ballot Papers ]]/Table1[[#This Row],[ Electorate ]]</f>
        <v>0.75877555708706634</v>
      </c>
      <c r="J317" s="1">
        <v>66057</v>
      </c>
      <c r="K317" s="1">
        <v>66013</v>
      </c>
      <c r="L317" s="1">
        <v>37081</v>
      </c>
      <c r="M317" s="1">
        <v>28932</v>
      </c>
      <c r="N317">
        <v>44</v>
      </c>
      <c r="O317">
        <v>0</v>
      </c>
      <c r="P317">
        <v>18</v>
      </c>
      <c r="Q317">
        <v>2</v>
      </c>
      <c r="R317">
        <v>24</v>
      </c>
      <c r="S317" s="5">
        <f>Table1[[#This Row],[ Remain ]]/Table1[[#This Row],[ Valid Votes ]]</f>
        <v>0.56172269098510896</v>
      </c>
      <c r="T317" s="5">
        <f>Table1[[#This Row],[ Leave ]]/Table1[[#This Row],[ Valid Votes ]]</f>
        <v>0.43827730901489098</v>
      </c>
      <c r="U317" s="5">
        <f>Table1[[#This Row],[ Rejected Ballots ]]/Table1[[#This Row],[ Votes Cast ]]</f>
        <v>6.6609140590701964E-4</v>
      </c>
      <c r="V317" t="str">
        <f>IF(Table1[[#This Row],[Percent Leave]]&gt;Table1[[#This Row],[Percent Remain]],"Leave", "Remain")</f>
        <v>Remain</v>
      </c>
      <c r="W317">
        <v>51.898609</v>
      </c>
      <c r="X317">
        <v>-2.0751499999999998</v>
      </c>
      <c r="Y317" s="1">
        <f>_xlfn.XLOOKUP(Table1[[#This Row],[Area]],Table2[Area],Table2[All Residents])</f>
        <v>115732</v>
      </c>
    </row>
    <row r="318" spans="1:25" hidden="1" x14ac:dyDescent="0.45">
      <c r="A318">
        <v>317</v>
      </c>
      <c r="B318" t="s">
        <v>615</v>
      </c>
      <c r="C318" t="s">
        <v>616</v>
      </c>
      <c r="D318" t="s">
        <v>671</v>
      </c>
      <c r="E318" t="s">
        <v>672</v>
      </c>
      <c r="F318" s="1">
        <v>68734</v>
      </c>
      <c r="G318" s="1">
        <v>54847</v>
      </c>
      <c r="H318" s="1">
        <v>54847</v>
      </c>
      <c r="I318" s="5">
        <f>Table1[[#This Row],[ Verified Ballot Papers ]]/Table1[[#This Row],[ Electorate ]]</f>
        <v>0.79796025256787029</v>
      </c>
      <c r="J318" s="1">
        <v>54847</v>
      </c>
      <c r="K318" s="1">
        <v>54821</v>
      </c>
      <c r="L318" s="1">
        <v>28015</v>
      </c>
      <c r="M318" s="1">
        <v>26806</v>
      </c>
      <c r="N318">
        <v>26</v>
      </c>
      <c r="O318">
        <v>0</v>
      </c>
      <c r="P318">
        <v>10</v>
      </c>
      <c r="Q318">
        <v>2</v>
      </c>
      <c r="R318">
        <v>14</v>
      </c>
      <c r="S318" s="5">
        <f>Table1[[#This Row],[ Remain ]]/Table1[[#This Row],[ Valid Votes ]]</f>
        <v>0.5110267963006877</v>
      </c>
      <c r="T318" s="5">
        <f>Table1[[#This Row],[ Leave ]]/Table1[[#This Row],[ Valid Votes ]]</f>
        <v>0.4889732036993123</v>
      </c>
      <c r="U318" s="5">
        <f>Table1[[#This Row],[ Rejected Ballots ]]/Table1[[#This Row],[ Votes Cast ]]</f>
        <v>4.7404598246029864E-4</v>
      </c>
      <c r="V318" t="str">
        <f>IF(Table1[[#This Row],[Percent Leave]]&gt;Table1[[#This Row],[Percent Remain]],"Leave", "Remain")</f>
        <v>Remain</v>
      </c>
      <c r="W318">
        <v>51.772548999999998</v>
      </c>
      <c r="X318">
        <v>-1.9705900000000001</v>
      </c>
      <c r="Y318" s="1">
        <f>_xlfn.XLOOKUP(Table1[[#This Row],[Area]],Table2[Area],Table2[All Residents])</f>
        <v>82881</v>
      </c>
    </row>
    <row r="319" spans="1:25" hidden="1" x14ac:dyDescent="0.45">
      <c r="A319">
        <v>318</v>
      </c>
      <c r="B319" t="s">
        <v>615</v>
      </c>
      <c r="C319" t="s">
        <v>616</v>
      </c>
      <c r="D319" t="s">
        <v>673</v>
      </c>
      <c r="E319" t="s">
        <v>674</v>
      </c>
      <c r="F319" s="1">
        <v>66705</v>
      </c>
      <c r="G319" s="1">
        <v>51679</v>
      </c>
      <c r="H319" s="1">
        <v>51678</v>
      </c>
      <c r="I319" s="5">
        <f>Table1[[#This Row],[ Verified Ballot Papers ]]/Table1[[#This Row],[ Electorate ]]</f>
        <v>0.77472453339329883</v>
      </c>
      <c r="J319" s="1">
        <v>51677</v>
      </c>
      <c r="K319" s="1">
        <v>51643</v>
      </c>
      <c r="L319" s="1">
        <v>21392</v>
      </c>
      <c r="M319" s="1">
        <v>30251</v>
      </c>
      <c r="N319">
        <v>34</v>
      </c>
      <c r="O319">
        <v>0</v>
      </c>
      <c r="P319">
        <v>17</v>
      </c>
      <c r="Q319">
        <v>1</v>
      </c>
      <c r="R319">
        <v>16</v>
      </c>
      <c r="S319" s="5">
        <f>Table1[[#This Row],[ Remain ]]/Table1[[#This Row],[ Valid Votes ]]</f>
        <v>0.41422845303332495</v>
      </c>
      <c r="T319" s="5">
        <f>Table1[[#This Row],[ Leave ]]/Table1[[#This Row],[ Valid Votes ]]</f>
        <v>0.58577154696667511</v>
      </c>
      <c r="U319" s="5">
        <f>Table1[[#This Row],[ Rejected Ballots ]]/Table1[[#This Row],[ Votes Cast ]]</f>
        <v>6.5793292954312364E-4</v>
      </c>
      <c r="V319" t="str">
        <f>IF(Table1[[#This Row],[Percent Leave]]&gt;Table1[[#This Row],[Percent Remain]],"Leave", "Remain")</f>
        <v>Leave</v>
      </c>
      <c r="W319">
        <v>51.812488999999999</v>
      </c>
      <c r="X319">
        <v>-2.4775499999999999</v>
      </c>
      <c r="Y319" s="1">
        <f>_xlfn.XLOOKUP(Table1[[#This Row],[Area]],Table2[Area],Table2[All Residents])</f>
        <v>81961</v>
      </c>
    </row>
    <row r="320" spans="1:25" hidden="1" x14ac:dyDescent="0.45">
      <c r="A320">
        <v>319</v>
      </c>
      <c r="B320" t="s">
        <v>615</v>
      </c>
      <c r="C320" t="s">
        <v>616</v>
      </c>
      <c r="D320" t="s">
        <v>675</v>
      </c>
      <c r="E320" t="s">
        <v>676</v>
      </c>
      <c r="F320" s="1">
        <v>89661</v>
      </c>
      <c r="G320" s="1">
        <v>64605</v>
      </c>
      <c r="H320" s="1">
        <v>64608</v>
      </c>
      <c r="I320" s="5">
        <f>Table1[[#This Row],[ Verified Ballot Papers ]]/Table1[[#This Row],[ Electorate ]]</f>
        <v>0.72058085455214638</v>
      </c>
      <c r="J320" s="1">
        <v>64606</v>
      </c>
      <c r="K320" s="1">
        <v>64577</v>
      </c>
      <c r="L320" s="1">
        <v>26801</v>
      </c>
      <c r="M320" s="1">
        <v>37776</v>
      </c>
      <c r="N320">
        <v>29</v>
      </c>
      <c r="O320">
        <v>0</v>
      </c>
      <c r="P320">
        <v>14</v>
      </c>
      <c r="Q320">
        <v>1</v>
      </c>
      <c r="R320">
        <v>14</v>
      </c>
      <c r="S320" s="5">
        <f>Table1[[#This Row],[ Remain ]]/Table1[[#This Row],[ Valid Votes ]]</f>
        <v>0.41502392492683154</v>
      </c>
      <c r="T320" s="5">
        <f>Table1[[#This Row],[ Leave ]]/Table1[[#This Row],[ Valid Votes ]]</f>
        <v>0.58497607507316851</v>
      </c>
      <c r="U320" s="5">
        <f>Table1[[#This Row],[ Rejected Ballots ]]/Table1[[#This Row],[ Votes Cast ]]</f>
        <v>4.4887471751849675E-4</v>
      </c>
      <c r="V320" t="str">
        <f>IF(Table1[[#This Row],[Percent Leave]]&gt;Table1[[#This Row],[Percent Remain]],"Leave", "Remain")</f>
        <v>Leave</v>
      </c>
      <c r="W320">
        <v>51.846409000000001</v>
      </c>
      <c r="X320">
        <v>-2.2326299999999999</v>
      </c>
      <c r="Y320" s="1">
        <f>_xlfn.XLOOKUP(Table1[[#This Row],[Area]],Table2[Area],Table2[All Residents])</f>
        <v>121688</v>
      </c>
    </row>
    <row r="321" spans="1:25" hidden="1" x14ac:dyDescent="0.45">
      <c r="A321">
        <v>320</v>
      </c>
      <c r="B321" t="s">
        <v>615</v>
      </c>
      <c r="C321" t="s">
        <v>616</v>
      </c>
      <c r="D321" t="s">
        <v>677</v>
      </c>
      <c r="E321" t="s">
        <v>678</v>
      </c>
      <c r="F321" s="1">
        <v>92631</v>
      </c>
      <c r="G321" s="1">
        <v>74129</v>
      </c>
      <c r="H321" s="1">
        <v>74128</v>
      </c>
      <c r="I321" s="5">
        <f>Table1[[#This Row],[ Verified Ballot Papers ]]/Table1[[#This Row],[ Electorate ]]</f>
        <v>0.80025045611080525</v>
      </c>
      <c r="J321" s="1">
        <v>74128</v>
      </c>
      <c r="K321" s="1">
        <v>74064</v>
      </c>
      <c r="L321" s="1">
        <v>40446</v>
      </c>
      <c r="M321" s="1">
        <v>33618</v>
      </c>
      <c r="N321">
        <v>64</v>
      </c>
      <c r="O321">
        <v>0</v>
      </c>
      <c r="P321">
        <v>20</v>
      </c>
      <c r="Q321">
        <v>5</v>
      </c>
      <c r="R321">
        <v>39</v>
      </c>
      <c r="S321" s="5">
        <f>Table1[[#This Row],[ Remain ]]/Table1[[#This Row],[ Valid Votes ]]</f>
        <v>0.54609526895657812</v>
      </c>
      <c r="T321" s="5">
        <f>Table1[[#This Row],[ Leave ]]/Table1[[#This Row],[ Valid Votes ]]</f>
        <v>0.45390473104342188</v>
      </c>
      <c r="U321" s="5">
        <f>Table1[[#This Row],[ Rejected Ballots ]]/Table1[[#This Row],[ Votes Cast ]]</f>
        <v>8.6337146557306278E-4</v>
      </c>
      <c r="V321" t="str">
        <f>IF(Table1[[#This Row],[Percent Leave]]&gt;Table1[[#This Row],[Percent Remain]],"Leave", "Remain")</f>
        <v>Remain</v>
      </c>
      <c r="W321">
        <v>51.720008999999997</v>
      </c>
      <c r="X321">
        <v>-2.3081801</v>
      </c>
      <c r="Y321" s="1">
        <f>_xlfn.XLOOKUP(Table1[[#This Row],[Area]],Table2[Area],Table2[All Residents])</f>
        <v>112779</v>
      </c>
    </row>
    <row r="322" spans="1:25" hidden="1" x14ac:dyDescent="0.45">
      <c r="A322">
        <v>321</v>
      </c>
      <c r="B322" t="s">
        <v>615</v>
      </c>
      <c r="C322" t="s">
        <v>616</v>
      </c>
      <c r="D322" t="s">
        <v>679</v>
      </c>
      <c r="E322" t="s">
        <v>680</v>
      </c>
      <c r="F322" s="1">
        <v>67831</v>
      </c>
      <c r="G322" s="1">
        <v>53687</v>
      </c>
      <c r="H322" s="1">
        <v>53686</v>
      </c>
      <c r="I322" s="5">
        <f>Table1[[#This Row],[ Verified Ballot Papers ]]/Table1[[#This Row],[ Electorate ]]</f>
        <v>0.79146702834986948</v>
      </c>
      <c r="J322" s="1">
        <v>53686</v>
      </c>
      <c r="K322" s="1">
        <v>53652</v>
      </c>
      <c r="L322" s="1">
        <v>25084</v>
      </c>
      <c r="M322" s="1">
        <v>28568</v>
      </c>
      <c r="N322">
        <v>34</v>
      </c>
      <c r="O322">
        <v>0</v>
      </c>
      <c r="P322">
        <v>16</v>
      </c>
      <c r="Q322">
        <v>2</v>
      </c>
      <c r="R322">
        <v>16</v>
      </c>
      <c r="S322" s="5">
        <f>Table1[[#This Row],[ Remain ]]/Table1[[#This Row],[ Valid Votes ]]</f>
        <v>0.46753149929173188</v>
      </c>
      <c r="T322" s="5">
        <f>Table1[[#This Row],[ Leave ]]/Table1[[#This Row],[ Valid Votes ]]</f>
        <v>0.53246850070826812</v>
      </c>
      <c r="U322" s="5">
        <f>Table1[[#This Row],[ Rejected Ballots ]]/Table1[[#This Row],[ Votes Cast ]]</f>
        <v>6.3331222292590248E-4</v>
      </c>
      <c r="V322" t="str">
        <f>IF(Table1[[#This Row],[Percent Leave]]&gt;Table1[[#This Row],[Percent Remain]],"Leave", "Remain")</f>
        <v>Leave</v>
      </c>
      <c r="W322">
        <v>51.934849</v>
      </c>
      <c r="X322">
        <v>-2.19998</v>
      </c>
      <c r="Y322" s="1">
        <f>_xlfn.XLOOKUP(Table1[[#This Row],[Area]],Table2[Area],Table2[All Residents])</f>
        <v>81943</v>
      </c>
    </row>
    <row r="323" spans="1:25" hidden="1" x14ac:dyDescent="0.45">
      <c r="A323">
        <v>322</v>
      </c>
      <c r="B323" t="s">
        <v>615</v>
      </c>
      <c r="C323" t="s">
        <v>616</v>
      </c>
      <c r="D323" t="s">
        <v>681</v>
      </c>
      <c r="E323" t="s">
        <v>682</v>
      </c>
      <c r="F323" s="1">
        <v>85068</v>
      </c>
      <c r="G323" s="1">
        <v>65529</v>
      </c>
      <c r="H323" s="1">
        <v>65509</v>
      </c>
      <c r="I323" s="5">
        <f>Table1[[#This Row],[ Verified Ballot Papers ]]/Table1[[#This Row],[ Electorate ]]</f>
        <v>0.77007805520289652</v>
      </c>
      <c r="J323" s="1">
        <v>65509</v>
      </c>
      <c r="K323" s="1">
        <v>65455</v>
      </c>
      <c r="L323" s="1">
        <v>33427</v>
      </c>
      <c r="M323" s="1">
        <v>32028</v>
      </c>
      <c r="N323">
        <v>54</v>
      </c>
      <c r="O323">
        <v>0</v>
      </c>
      <c r="P323">
        <v>16</v>
      </c>
      <c r="Q323">
        <v>5</v>
      </c>
      <c r="R323">
        <v>33</v>
      </c>
      <c r="S323" s="5">
        <f>Table1[[#This Row],[ Remain ]]/Table1[[#This Row],[ Valid Votes ]]</f>
        <v>0.51068673134214349</v>
      </c>
      <c r="T323" s="5">
        <f>Table1[[#This Row],[ Leave ]]/Table1[[#This Row],[ Valid Votes ]]</f>
        <v>0.48931326865785651</v>
      </c>
      <c r="U323" s="5">
        <f>Table1[[#This Row],[ Rejected Ballots ]]/Table1[[#This Row],[ Votes Cast ]]</f>
        <v>8.2431421636721671E-4</v>
      </c>
      <c r="V323" t="str">
        <f>IF(Table1[[#This Row],[Percent Leave]]&gt;Table1[[#This Row],[Percent Remain]],"Leave", "Remain")</f>
        <v>Remain</v>
      </c>
      <c r="W323">
        <v>51.194758999999998</v>
      </c>
      <c r="X323">
        <v>-2.5417800000000002</v>
      </c>
      <c r="Y323" s="1">
        <f>_xlfn.XLOOKUP(Table1[[#This Row],[Area]],Table2[Area],Table2[All Residents])</f>
        <v>109279</v>
      </c>
    </row>
    <row r="324" spans="1:25" hidden="1" x14ac:dyDescent="0.45">
      <c r="A324">
        <v>323</v>
      </c>
      <c r="B324" t="s">
        <v>615</v>
      </c>
      <c r="C324" t="s">
        <v>616</v>
      </c>
      <c r="D324" t="s">
        <v>683</v>
      </c>
      <c r="E324" t="s">
        <v>684</v>
      </c>
      <c r="F324" s="1">
        <v>89714</v>
      </c>
      <c r="G324" s="1">
        <v>68451</v>
      </c>
      <c r="H324" s="1">
        <v>68448</v>
      </c>
      <c r="I324" s="5">
        <f>Table1[[#This Row],[ Verified Ballot Papers ]]/Table1[[#This Row],[ Electorate ]]</f>
        <v>0.76295784381478926</v>
      </c>
      <c r="J324" s="1">
        <v>68450</v>
      </c>
      <c r="K324" s="1">
        <v>68414</v>
      </c>
      <c r="L324" s="1">
        <v>26545</v>
      </c>
      <c r="M324" s="1">
        <v>41869</v>
      </c>
      <c r="N324">
        <v>36</v>
      </c>
      <c r="O324">
        <v>1</v>
      </c>
      <c r="P324">
        <v>13</v>
      </c>
      <c r="Q324">
        <v>1</v>
      </c>
      <c r="R324">
        <v>21</v>
      </c>
      <c r="S324" s="5">
        <f>Table1[[#This Row],[ Remain ]]/Table1[[#This Row],[ Valid Votes ]]</f>
        <v>0.38800537901599086</v>
      </c>
      <c r="T324" s="5">
        <f>Table1[[#This Row],[ Leave ]]/Table1[[#This Row],[ Valid Votes ]]</f>
        <v>0.61199462098400914</v>
      </c>
      <c r="U324" s="5">
        <f>Table1[[#This Row],[ Rejected Ballots ]]/Table1[[#This Row],[ Votes Cast ]]</f>
        <v>5.259313367421475E-4</v>
      </c>
      <c r="V324" t="str">
        <f>IF(Table1[[#This Row],[Percent Leave]]&gt;Table1[[#This Row],[Percent Remain]],"Leave", "Remain")</f>
        <v>Leave</v>
      </c>
      <c r="W324">
        <v>51.191859999999998</v>
      </c>
      <c r="X324">
        <v>-2.8824600999999999</v>
      </c>
      <c r="Y324" s="1">
        <f>_xlfn.XLOOKUP(Table1[[#This Row],[Area]],Table2[Area],Table2[All Residents])</f>
        <v>114588</v>
      </c>
    </row>
    <row r="325" spans="1:25" hidden="1" x14ac:dyDescent="0.45">
      <c r="A325">
        <v>324</v>
      </c>
      <c r="B325" t="s">
        <v>615</v>
      </c>
      <c r="C325" t="s">
        <v>616</v>
      </c>
      <c r="D325" t="s">
        <v>685</v>
      </c>
      <c r="E325" t="s">
        <v>686</v>
      </c>
      <c r="F325" s="1">
        <v>126495</v>
      </c>
      <c r="G325" s="1">
        <v>99535</v>
      </c>
      <c r="H325" s="1">
        <v>99535</v>
      </c>
      <c r="I325" s="5">
        <f>Table1[[#This Row],[ Verified Ballot Papers ]]/Table1[[#This Row],[ Electorate ]]</f>
        <v>0.78686904620735998</v>
      </c>
      <c r="J325" s="1">
        <v>99535</v>
      </c>
      <c r="K325" s="1">
        <v>99467</v>
      </c>
      <c r="L325" s="1">
        <v>42527</v>
      </c>
      <c r="M325" s="1">
        <v>56940</v>
      </c>
      <c r="N325">
        <v>68</v>
      </c>
      <c r="O325">
        <v>0</v>
      </c>
      <c r="P325">
        <v>22</v>
      </c>
      <c r="Q325">
        <v>0</v>
      </c>
      <c r="R325">
        <v>46</v>
      </c>
      <c r="S325" s="5">
        <f>Table1[[#This Row],[ Remain ]]/Table1[[#This Row],[ Valid Votes ]]</f>
        <v>0.42754883529210691</v>
      </c>
      <c r="T325" s="5">
        <f>Table1[[#This Row],[ Leave ]]/Table1[[#This Row],[ Valid Votes ]]</f>
        <v>0.57245116470789303</v>
      </c>
      <c r="U325" s="5">
        <f>Table1[[#This Row],[ Rejected Ballots ]]/Table1[[#This Row],[ Votes Cast ]]</f>
        <v>6.8317677198975236E-4</v>
      </c>
      <c r="V325" t="str">
        <f>IF(Table1[[#This Row],[Percent Leave]]&gt;Table1[[#This Row],[Percent Remain]],"Leave", "Remain")</f>
        <v>Leave</v>
      </c>
      <c r="W325">
        <v>50.983989999999999</v>
      </c>
      <c r="X325">
        <v>-2.7758801000000002</v>
      </c>
      <c r="Y325" s="1">
        <f>_xlfn.XLOOKUP(Table1[[#This Row],[Area]],Table2[Area],Table2[All Residents])</f>
        <v>161243</v>
      </c>
    </row>
    <row r="326" spans="1:25" hidden="1" x14ac:dyDescent="0.45">
      <c r="A326">
        <v>325</v>
      </c>
      <c r="B326" t="s">
        <v>615</v>
      </c>
      <c r="C326" t="s">
        <v>616</v>
      </c>
      <c r="D326" t="s">
        <v>687</v>
      </c>
      <c r="E326" t="s">
        <v>688</v>
      </c>
      <c r="F326" s="1">
        <v>84164</v>
      </c>
      <c r="G326" s="1">
        <v>65789</v>
      </c>
      <c r="H326" s="1">
        <v>65785</v>
      </c>
      <c r="I326" s="5">
        <f>Table1[[#This Row],[ Verified Ballot Papers ]]/Table1[[#This Row],[ Electorate ]]</f>
        <v>0.78162872487049095</v>
      </c>
      <c r="J326" s="1">
        <v>65786</v>
      </c>
      <c r="K326" s="1">
        <v>65733</v>
      </c>
      <c r="L326" s="1">
        <v>30944</v>
      </c>
      <c r="M326" s="1">
        <v>34789</v>
      </c>
      <c r="N326">
        <v>53</v>
      </c>
      <c r="O326">
        <v>0</v>
      </c>
      <c r="P326">
        <v>21</v>
      </c>
      <c r="Q326">
        <v>1</v>
      </c>
      <c r="R326">
        <v>31</v>
      </c>
      <c r="S326" s="5">
        <f>Table1[[#This Row],[ Remain ]]/Table1[[#This Row],[ Valid Votes ]]</f>
        <v>0.47075289428445377</v>
      </c>
      <c r="T326" s="5">
        <f>Table1[[#This Row],[ Leave ]]/Table1[[#This Row],[ Valid Votes ]]</f>
        <v>0.52924710571554623</v>
      </c>
      <c r="U326" s="5">
        <f>Table1[[#This Row],[ Rejected Ballots ]]/Table1[[#This Row],[ Votes Cast ]]</f>
        <v>8.0564253792600254E-4</v>
      </c>
      <c r="V326" t="str">
        <f>IF(Table1[[#This Row],[Percent Leave]]&gt;Table1[[#This Row],[Percent Remain]],"Leave", "Remain")</f>
        <v>Leave</v>
      </c>
      <c r="W326">
        <v>51.004791259999998</v>
      </c>
      <c r="X326">
        <v>-3.1654200600000002</v>
      </c>
      <c r="Y326" s="1">
        <f>_xlfn.XLOOKUP(Table1[[#This Row],[Area]],Table2[Area],Table2[All Residents])</f>
        <v>110187</v>
      </c>
    </row>
    <row r="327" spans="1:25" hidden="1" x14ac:dyDescent="0.45">
      <c r="A327">
        <v>326</v>
      </c>
      <c r="B327" t="s">
        <v>615</v>
      </c>
      <c r="C327" t="s">
        <v>616</v>
      </c>
      <c r="D327" t="s">
        <v>689</v>
      </c>
      <c r="E327" t="s">
        <v>690</v>
      </c>
      <c r="F327" s="1">
        <v>27478</v>
      </c>
      <c r="G327" s="1">
        <v>21755</v>
      </c>
      <c r="H327" s="1">
        <v>21752</v>
      </c>
      <c r="I327" s="5">
        <f>Table1[[#This Row],[ Verified Ballot Papers ]]/Table1[[#This Row],[ Electorate ]]</f>
        <v>0.79161511027003417</v>
      </c>
      <c r="J327" s="1">
        <v>21753</v>
      </c>
      <c r="K327" s="1">
        <v>21734</v>
      </c>
      <c r="L327" s="1">
        <v>8566</v>
      </c>
      <c r="M327" s="1">
        <v>13168</v>
      </c>
      <c r="N327">
        <v>19</v>
      </c>
      <c r="O327">
        <v>1</v>
      </c>
      <c r="P327">
        <v>10</v>
      </c>
      <c r="Q327">
        <v>0</v>
      </c>
      <c r="R327">
        <v>8</v>
      </c>
      <c r="S327" s="5">
        <f>Table1[[#This Row],[ Remain ]]/Table1[[#This Row],[ Valid Votes ]]</f>
        <v>0.39412901444740961</v>
      </c>
      <c r="T327" s="5">
        <f>Table1[[#This Row],[ Leave ]]/Table1[[#This Row],[ Valid Votes ]]</f>
        <v>0.60587098555259045</v>
      </c>
      <c r="U327" s="5">
        <f>Table1[[#This Row],[ Rejected Ballots ]]/Table1[[#This Row],[ Votes Cast ]]</f>
        <v>8.7344274352962805E-4</v>
      </c>
      <c r="V327" t="str">
        <f>IF(Table1[[#This Row],[Percent Leave]]&gt;Table1[[#This Row],[Percent Remain]],"Leave", "Remain")</f>
        <v>Leave</v>
      </c>
      <c r="W327">
        <v>51.119899750000002</v>
      </c>
      <c r="X327">
        <v>-3.5049400300000002</v>
      </c>
      <c r="Y327" s="1">
        <f>_xlfn.XLOOKUP(Table1[[#This Row],[Area]],Table2[Area],Table2[All Residents])</f>
        <v>34675</v>
      </c>
    </row>
    <row r="328" spans="1:25" hidden="1" x14ac:dyDescent="0.45">
      <c r="A328">
        <v>327</v>
      </c>
      <c r="B328" t="s">
        <v>615</v>
      </c>
      <c r="C328" t="s">
        <v>616</v>
      </c>
      <c r="D328" t="s">
        <v>691</v>
      </c>
      <c r="E328" t="s">
        <v>692</v>
      </c>
      <c r="F328" s="1">
        <v>24119</v>
      </c>
      <c r="G328" s="1">
        <v>20172</v>
      </c>
      <c r="H328" s="1">
        <v>20172</v>
      </c>
      <c r="I328" s="5">
        <f>Table1[[#This Row],[ Verified Ballot Papers ]]/Table1[[#This Row],[ Electorate ]]</f>
        <v>0.83635308263194996</v>
      </c>
      <c r="J328" s="1">
        <v>20172</v>
      </c>
      <c r="K328" s="1">
        <v>20145</v>
      </c>
      <c r="L328" s="1">
        <v>19322</v>
      </c>
      <c r="M328">
        <v>823</v>
      </c>
      <c r="N328">
        <v>27</v>
      </c>
      <c r="O328">
        <v>0</v>
      </c>
      <c r="P328">
        <v>8</v>
      </c>
      <c r="Q328">
        <v>0</v>
      </c>
      <c r="R328">
        <v>19</v>
      </c>
      <c r="S328" s="5">
        <f>Table1[[#This Row],[ Remain ]]/Table1[[#This Row],[ Valid Votes ]]</f>
        <v>0.95914619012161828</v>
      </c>
      <c r="T328" s="5">
        <f>Table1[[#This Row],[ Leave ]]/Table1[[#This Row],[ Valid Votes ]]</f>
        <v>4.0853809878381733E-2</v>
      </c>
      <c r="U328" s="5">
        <f>Table1[[#This Row],[ Rejected Ballots ]]/Table1[[#This Row],[ Votes Cast ]]</f>
        <v>1.338488994646044E-3</v>
      </c>
      <c r="V328" t="str">
        <f>IF(Table1[[#This Row],[Percent Leave]]&gt;Table1[[#This Row],[Percent Remain]],"Leave", "Remain")</f>
        <v>Remain</v>
      </c>
      <c r="W328">
        <v>36.142331919999997</v>
      </c>
      <c r="X328">
        <v>-5.3476352970000001</v>
      </c>
      <c r="Y328" s="1" t="e">
        <f>_xlfn.XLOOKUP(Table1[[#This Row],[Area]],Table2[Area],Table2[All Residents])</f>
        <v>#N/A</v>
      </c>
    </row>
    <row r="329" spans="1:25" hidden="1" x14ac:dyDescent="0.45">
      <c r="A329">
        <v>328</v>
      </c>
      <c r="B329" t="s">
        <v>693</v>
      </c>
      <c r="C329" t="s">
        <v>694</v>
      </c>
      <c r="D329" t="s">
        <v>693</v>
      </c>
      <c r="E329" t="s">
        <v>694</v>
      </c>
      <c r="F329" s="1">
        <v>1260955</v>
      </c>
      <c r="G329" s="1">
        <v>790647</v>
      </c>
      <c r="H329" s="1">
        <v>790523</v>
      </c>
      <c r="I329" s="5">
        <f>Table1[[#This Row],[ Verified Ballot Papers ]]/Table1[[#This Row],[ Electorate ]]</f>
        <v>0.62692403773330529</v>
      </c>
      <c r="J329" s="1">
        <v>790523</v>
      </c>
      <c r="K329" s="1">
        <v>790149</v>
      </c>
      <c r="L329" s="1">
        <v>440707</v>
      </c>
      <c r="M329" s="1">
        <v>349442</v>
      </c>
      <c r="N329">
        <v>374</v>
      </c>
      <c r="O329">
        <v>18</v>
      </c>
      <c r="P329">
        <v>148</v>
      </c>
      <c r="Q329">
        <v>1</v>
      </c>
      <c r="R329">
        <v>207</v>
      </c>
      <c r="S329" s="5">
        <f>Table1[[#This Row],[ Remain ]]/Table1[[#This Row],[ Valid Votes ]]</f>
        <v>0.55775176580619601</v>
      </c>
      <c r="T329" s="5">
        <f>Table1[[#This Row],[ Leave ]]/Table1[[#This Row],[ Valid Votes ]]</f>
        <v>0.44224823419380394</v>
      </c>
      <c r="U329" s="5">
        <f>Table1[[#This Row],[ Rejected Ballots ]]/Table1[[#This Row],[ Votes Cast ]]</f>
        <v>4.7310451435315606E-4</v>
      </c>
      <c r="V329" t="str">
        <f>IF(Table1[[#This Row],[Percent Leave]]&gt;Table1[[#This Row],[Percent Remain]],"Leave", "Remain")</f>
        <v>Remain</v>
      </c>
      <c r="W329">
        <v>54.896154119999998</v>
      </c>
      <c r="X329">
        <v>-6.9972316790000004</v>
      </c>
      <c r="Y329" s="1">
        <f>_xlfn.XLOOKUP(Table1[[#This Row],[Area]],Table2[Area],Table2[All Residents])</f>
        <v>1810863</v>
      </c>
    </row>
    <row r="330" spans="1:25" hidden="1" x14ac:dyDescent="0.45">
      <c r="A330">
        <v>329</v>
      </c>
      <c r="B330" t="s">
        <v>695</v>
      </c>
      <c r="C330" t="s">
        <v>696</v>
      </c>
      <c r="D330" t="s">
        <v>697</v>
      </c>
      <c r="E330" t="s">
        <v>698</v>
      </c>
      <c r="F330" s="1">
        <v>154266</v>
      </c>
      <c r="G330" s="1">
        <v>104809</v>
      </c>
      <c r="H330" s="1">
        <v>104809</v>
      </c>
      <c r="I330" s="5">
        <f>Table1[[#This Row],[ Verified Ballot Papers ]]/Table1[[#This Row],[ Electorate ]]</f>
        <v>0.67940440537772417</v>
      </c>
      <c r="J330" s="1">
        <v>104809</v>
      </c>
      <c r="K330" s="1">
        <v>104714</v>
      </c>
      <c r="L330" s="1">
        <v>63985</v>
      </c>
      <c r="M330" s="1">
        <v>40729</v>
      </c>
      <c r="N330">
        <v>95</v>
      </c>
      <c r="O330">
        <v>0</v>
      </c>
      <c r="P330">
        <v>34</v>
      </c>
      <c r="Q330">
        <v>2</v>
      </c>
      <c r="R330">
        <v>59</v>
      </c>
      <c r="S330" s="5">
        <f>Table1[[#This Row],[ Remain ]]/Table1[[#This Row],[ Valid Votes ]]</f>
        <v>0.61104532345245144</v>
      </c>
      <c r="T330" s="5">
        <f>Table1[[#This Row],[ Leave ]]/Table1[[#This Row],[ Valid Votes ]]</f>
        <v>0.38895467654754856</v>
      </c>
      <c r="U330" s="5">
        <f>Table1[[#This Row],[ Rejected Ballots ]]/Table1[[#This Row],[ Votes Cast ]]</f>
        <v>9.0641070900399773E-4</v>
      </c>
      <c r="V330" t="str">
        <f>IF(Table1[[#This Row],[Percent Leave]]&gt;Table1[[#This Row],[Percent Remain]],"Leave", "Remain")</f>
        <v>Remain</v>
      </c>
      <c r="W330">
        <v>57.166969000000002</v>
      </c>
      <c r="X330">
        <v>-2.2039800000000001</v>
      </c>
      <c r="Y330" s="1">
        <f>_xlfn.XLOOKUP(Table1[[#This Row],[Area]],Table2[Area],Table2[All Residents])</f>
        <v>222800</v>
      </c>
    </row>
    <row r="331" spans="1:25" hidden="1" x14ac:dyDescent="0.45">
      <c r="A331">
        <v>330</v>
      </c>
      <c r="B331" t="s">
        <v>695</v>
      </c>
      <c r="C331" t="s">
        <v>696</v>
      </c>
      <c r="D331" t="s">
        <v>699</v>
      </c>
      <c r="E331" t="s">
        <v>700</v>
      </c>
      <c r="F331" s="1">
        <v>196809</v>
      </c>
      <c r="G331" s="1">
        <v>139014</v>
      </c>
      <c r="H331" s="1">
        <v>139014</v>
      </c>
      <c r="I331" s="5">
        <f>Table1[[#This Row],[ Verified Ballot Papers ]]/Table1[[#This Row],[ Electorate ]]</f>
        <v>0.706339649101413</v>
      </c>
      <c r="J331" s="1">
        <v>139014</v>
      </c>
      <c r="K331" s="1">
        <v>138961</v>
      </c>
      <c r="L331" s="1">
        <v>76445</v>
      </c>
      <c r="M331" s="1">
        <v>62516</v>
      </c>
      <c r="N331">
        <v>53</v>
      </c>
      <c r="O331">
        <v>0</v>
      </c>
      <c r="P331">
        <v>19</v>
      </c>
      <c r="Q331">
        <v>1</v>
      </c>
      <c r="R331">
        <v>33</v>
      </c>
      <c r="S331" s="5">
        <f>Table1[[#This Row],[ Remain ]]/Table1[[#This Row],[ Valid Votes ]]</f>
        <v>0.55011837853786316</v>
      </c>
      <c r="T331" s="5">
        <f>Table1[[#This Row],[ Leave ]]/Table1[[#This Row],[ Valid Votes ]]</f>
        <v>0.44988162146213684</v>
      </c>
      <c r="U331" s="5">
        <f>Table1[[#This Row],[ Rejected Ballots ]]/Table1[[#This Row],[ Votes Cast ]]</f>
        <v>3.8125656408707036E-4</v>
      </c>
      <c r="V331" t="str">
        <f>IF(Table1[[#This Row],[Percent Leave]]&gt;Table1[[#This Row],[Percent Remain]],"Leave", "Remain")</f>
        <v>Remain</v>
      </c>
      <c r="W331">
        <v>57.234692000000003</v>
      </c>
      <c r="X331">
        <v>-2.7920799000000001</v>
      </c>
      <c r="Y331" s="1">
        <f>_xlfn.XLOOKUP(Table1[[#This Row],[Area]],Table2[Area],Table2[All Residents])</f>
        <v>253000</v>
      </c>
    </row>
    <row r="332" spans="1:25" hidden="1" x14ac:dyDescent="0.45">
      <c r="A332">
        <v>331</v>
      </c>
      <c r="B332" t="s">
        <v>695</v>
      </c>
      <c r="C332" t="s">
        <v>696</v>
      </c>
      <c r="D332" t="s">
        <v>701</v>
      </c>
      <c r="E332" t="s">
        <v>702</v>
      </c>
      <c r="F332" s="1">
        <v>87137</v>
      </c>
      <c r="G332" s="1">
        <v>59295</v>
      </c>
      <c r="H332" s="1">
        <v>59282</v>
      </c>
      <c r="I332" s="5">
        <f>Table1[[#This Row],[ Verified Ballot Papers ]]/Table1[[#This Row],[ Electorate ]]</f>
        <v>0.6803309730654028</v>
      </c>
      <c r="J332" s="1">
        <v>59282</v>
      </c>
      <c r="K332" s="1">
        <v>59258</v>
      </c>
      <c r="L332" s="1">
        <v>32747</v>
      </c>
      <c r="M332" s="1">
        <v>26511</v>
      </c>
      <c r="N332">
        <v>24</v>
      </c>
      <c r="O332">
        <v>0</v>
      </c>
      <c r="P332">
        <v>9</v>
      </c>
      <c r="Q332">
        <v>1</v>
      </c>
      <c r="R332">
        <v>14</v>
      </c>
      <c r="S332" s="5">
        <f>Table1[[#This Row],[ Remain ]]/Table1[[#This Row],[ Valid Votes ]]</f>
        <v>0.55261736811907258</v>
      </c>
      <c r="T332" s="5">
        <f>Table1[[#This Row],[ Leave ]]/Table1[[#This Row],[ Valid Votes ]]</f>
        <v>0.44738263188092747</v>
      </c>
      <c r="U332" s="5">
        <f>Table1[[#This Row],[ Rejected Ballots ]]/Table1[[#This Row],[ Votes Cast ]]</f>
        <v>4.0484464086906649E-4</v>
      </c>
      <c r="V332" t="str">
        <f>IF(Table1[[#This Row],[Percent Leave]]&gt;Table1[[#This Row],[Percent Remain]],"Leave", "Remain")</f>
        <v>Remain</v>
      </c>
      <c r="W332">
        <v>56.725181999999997</v>
      </c>
      <c r="X332">
        <v>-2.8921001</v>
      </c>
      <c r="Y332" s="1">
        <f>_xlfn.XLOOKUP(Table1[[#This Row],[Area]],Table2[Area],Table2[All Residents])</f>
        <v>116000</v>
      </c>
    </row>
    <row r="333" spans="1:25" hidden="1" x14ac:dyDescent="0.45">
      <c r="A333">
        <v>332</v>
      </c>
      <c r="B333" t="s">
        <v>695</v>
      </c>
      <c r="C333" t="s">
        <v>696</v>
      </c>
      <c r="D333" t="s">
        <v>703</v>
      </c>
      <c r="E333" t="s">
        <v>704</v>
      </c>
      <c r="F333" s="1">
        <v>66642</v>
      </c>
      <c r="G333" s="1">
        <v>48734</v>
      </c>
      <c r="H333" s="1">
        <v>48734</v>
      </c>
      <c r="I333" s="5">
        <f>Table1[[#This Row],[ Verified Ballot Papers ]]/Table1[[#This Row],[ Electorate ]]</f>
        <v>0.7312805738123106</v>
      </c>
      <c r="J333" s="1">
        <v>48734</v>
      </c>
      <c r="K333" s="1">
        <v>48696</v>
      </c>
      <c r="L333" s="1">
        <v>29494</v>
      </c>
      <c r="M333" s="1">
        <v>19202</v>
      </c>
      <c r="N333">
        <v>38</v>
      </c>
      <c r="O333">
        <v>0</v>
      </c>
      <c r="P333">
        <v>16</v>
      </c>
      <c r="Q333">
        <v>1</v>
      </c>
      <c r="R333">
        <v>21</v>
      </c>
      <c r="S333" s="5">
        <f>Table1[[#This Row],[ Remain ]]/Table1[[#This Row],[ Valid Votes ]]</f>
        <v>0.60567603088549371</v>
      </c>
      <c r="T333" s="5">
        <f>Table1[[#This Row],[ Leave ]]/Table1[[#This Row],[ Valid Votes ]]</f>
        <v>0.39432396911450635</v>
      </c>
      <c r="U333" s="5">
        <f>Table1[[#This Row],[ Rejected Ballots ]]/Table1[[#This Row],[ Votes Cast ]]</f>
        <v>7.7974309516969673E-4</v>
      </c>
      <c r="V333" t="str">
        <f>IF(Table1[[#This Row],[Percent Leave]]&gt;Table1[[#This Row],[Percent Remain]],"Leave", "Remain")</f>
        <v>Remain</v>
      </c>
      <c r="W333">
        <v>56.289439999999999</v>
      </c>
      <c r="X333">
        <v>-5.2211398999999998</v>
      </c>
      <c r="Y333" s="1">
        <f>_xlfn.XLOOKUP(Table1[[#This Row],[Area]],Table2[Area],Table2[All Residents])</f>
        <v>88200</v>
      </c>
    </row>
    <row r="334" spans="1:25" hidden="1" x14ac:dyDescent="0.45">
      <c r="A334">
        <v>333</v>
      </c>
      <c r="B334" t="s">
        <v>695</v>
      </c>
      <c r="C334" t="s">
        <v>696</v>
      </c>
      <c r="D334" t="s">
        <v>705</v>
      </c>
      <c r="E334" t="s">
        <v>706</v>
      </c>
      <c r="F334" s="1">
        <v>88440</v>
      </c>
      <c r="G334" s="1">
        <v>64953</v>
      </c>
      <c r="H334" s="1">
        <v>64953</v>
      </c>
      <c r="I334" s="5">
        <f>Table1[[#This Row],[ Verified Ballot Papers ]]/Table1[[#This Row],[ Electorate ]]</f>
        <v>0.73443012211668923</v>
      </c>
      <c r="J334" s="1">
        <v>64953</v>
      </c>
      <c r="K334" s="1">
        <v>64914</v>
      </c>
      <c r="L334" s="1">
        <v>37952</v>
      </c>
      <c r="M334" s="1">
        <v>26962</v>
      </c>
      <c r="N334">
        <v>39</v>
      </c>
      <c r="O334">
        <v>0</v>
      </c>
      <c r="P334">
        <v>14</v>
      </c>
      <c r="Q334">
        <v>0</v>
      </c>
      <c r="R334">
        <v>25</v>
      </c>
      <c r="S334" s="5">
        <f>Table1[[#This Row],[ Remain ]]/Table1[[#This Row],[ Valid Votes ]]</f>
        <v>0.58465046060942172</v>
      </c>
      <c r="T334" s="5">
        <f>Table1[[#This Row],[ Leave ]]/Table1[[#This Row],[ Valid Votes ]]</f>
        <v>0.41534953939057828</v>
      </c>
      <c r="U334" s="5">
        <f>Table1[[#This Row],[ Rejected Ballots ]]/Table1[[#This Row],[ Votes Cast ]]</f>
        <v>6.004341600849845E-4</v>
      </c>
      <c r="V334" t="str">
        <f>IF(Table1[[#This Row],[Percent Leave]]&gt;Table1[[#This Row],[Percent Remain]],"Leave", "Remain")</f>
        <v>Remain</v>
      </c>
      <c r="W334">
        <v>55.525950999999999</v>
      </c>
      <c r="X334">
        <v>-2.8586900000000002</v>
      </c>
      <c r="Y334" s="1">
        <f>_xlfn.XLOOKUP(Table1[[#This Row],[Area]],Table2[Area],Table2[All Residents])</f>
        <v>113900</v>
      </c>
    </row>
    <row r="335" spans="1:25" hidden="1" x14ac:dyDescent="0.45">
      <c r="A335">
        <v>334</v>
      </c>
      <c r="B335" t="s">
        <v>695</v>
      </c>
      <c r="C335" t="s">
        <v>696</v>
      </c>
      <c r="D335" t="s">
        <v>707</v>
      </c>
      <c r="E335" t="s">
        <v>708</v>
      </c>
      <c r="F335" s="1">
        <v>37841</v>
      </c>
      <c r="G335" s="1">
        <v>25439</v>
      </c>
      <c r="H335" s="1">
        <v>25439</v>
      </c>
      <c r="I335" s="5">
        <f>Table1[[#This Row],[ Verified Ballot Papers ]]/Table1[[#This Row],[ Electorate ]]</f>
        <v>0.67226024682222985</v>
      </c>
      <c r="J335" s="1">
        <v>25439</v>
      </c>
      <c r="K335" s="1">
        <v>25427</v>
      </c>
      <c r="L335" s="1">
        <v>14691</v>
      </c>
      <c r="M335" s="1">
        <v>10736</v>
      </c>
      <c r="N335">
        <v>12</v>
      </c>
      <c r="O335">
        <v>0</v>
      </c>
      <c r="P335">
        <v>6</v>
      </c>
      <c r="Q335">
        <v>0</v>
      </c>
      <c r="R335">
        <v>6</v>
      </c>
      <c r="S335" s="5">
        <f>Table1[[#This Row],[ Remain ]]/Table1[[#This Row],[ Valid Votes ]]</f>
        <v>0.57777166004640734</v>
      </c>
      <c r="T335" s="5">
        <f>Table1[[#This Row],[ Leave ]]/Table1[[#This Row],[ Valid Votes ]]</f>
        <v>0.42222833995359266</v>
      </c>
      <c r="U335" s="5">
        <f>Table1[[#This Row],[ Rejected Ballots ]]/Table1[[#This Row],[ Votes Cast ]]</f>
        <v>4.717166555289123E-4</v>
      </c>
      <c r="V335" t="str">
        <f>IF(Table1[[#This Row],[Percent Leave]]&gt;Table1[[#This Row],[Percent Remain]],"Leave", "Remain")</f>
        <v>Remain</v>
      </c>
      <c r="W335">
        <v>56.147838999999998</v>
      </c>
      <c r="X335">
        <v>-3.7531599999999998</v>
      </c>
      <c r="Y335" s="1">
        <f>_xlfn.XLOOKUP(Table1[[#This Row],[Area]],Table2[Area],Table2[All Residents])</f>
        <v>51400</v>
      </c>
    </row>
    <row r="336" spans="1:25" hidden="1" x14ac:dyDescent="0.45">
      <c r="A336">
        <v>335</v>
      </c>
      <c r="B336" t="s">
        <v>695</v>
      </c>
      <c r="C336" t="s">
        <v>696</v>
      </c>
      <c r="D336" t="s">
        <v>709</v>
      </c>
      <c r="E336" t="s">
        <v>710</v>
      </c>
      <c r="F336" s="1">
        <v>67595</v>
      </c>
      <c r="G336" s="1">
        <v>43250</v>
      </c>
      <c r="H336" s="1">
        <v>43245</v>
      </c>
      <c r="I336" s="5">
        <f>Table1[[#This Row],[ Verified Ballot Papers ]]/Table1[[#This Row],[ Electorate ]]</f>
        <v>0.63976625490051042</v>
      </c>
      <c r="J336" s="1">
        <v>43245</v>
      </c>
      <c r="K336" s="1">
        <v>43220</v>
      </c>
      <c r="L336" s="1">
        <v>26794</v>
      </c>
      <c r="M336" s="1">
        <v>16426</v>
      </c>
      <c r="N336">
        <v>25</v>
      </c>
      <c r="O336">
        <v>0</v>
      </c>
      <c r="P336">
        <v>9</v>
      </c>
      <c r="Q336">
        <v>0</v>
      </c>
      <c r="R336">
        <v>16</v>
      </c>
      <c r="S336" s="5">
        <f>Table1[[#This Row],[ Remain ]]/Table1[[#This Row],[ Valid Votes ]]</f>
        <v>0.61994447015270704</v>
      </c>
      <c r="T336" s="5">
        <f>Table1[[#This Row],[ Leave ]]/Table1[[#This Row],[ Valid Votes ]]</f>
        <v>0.38005552984729291</v>
      </c>
      <c r="U336" s="5">
        <f>Table1[[#This Row],[ Rejected Ballots ]]/Table1[[#This Row],[ Votes Cast ]]</f>
        <v>5.7810151462596828E-4</v>
      </c>
      <c r="V336" t="str">
        <f>IF(Table1[[#This Row],[Percent Leave]]&gt;Table1[[#This Row],[Percent Remain]],"Leave", "Remain")</f>
        <v>Remain</v>
      </c>
      <c r="W336">
        <v>56.001399999999997</v>
      </c>
      <c r="X336">
        <v>-4.52074</v>
      </c>
      <c r="Y336" s="1">
        <f>_xlfn.XLOOKUP(Table1[[#This Row],[Area]],Table2[Area],Table2[All Residents])</f>
        <v>90700</v>
      </c>
    </row>
    <row r="337" spans="1:25" hidden="1" x14ac:dyDescent="0.45">
      <c r="A337">
        <v>336</v>
      </c>
      <c r="B337" t="s">
        <v>695</v>
      </c>
      <c r="C337" t="s">
        <v>696</v>
      </c>
      <c r="D337" t="s">
        <v>711</v>
      </c>
      <c r="E337" t="s">
        <v>712</v>
      </c>
      <c r="F337" s="1">
        <v>115837</v>
      </c>
      <c r="G337" s="1">
        <v>82718</v>
      </c>
      <c r="H337" s="1">
        <v>82715</v>
      </c>
      <c r="I337" s="5">
        <f>Table1[[#This Row],[ Verified Ballot Papers ]]/Table1[[#This Row],[ Electorate ]]</f>
        <v>0.71406372747913016</v>
      </c>
      <c r="J337" s="1">
        <v>82715</v>
      </c>
      <c r="K337" s="1">
        <v>82667</v>
      </c>
      <c r="L337" s="1">
        <v>43864</v>
      </c>
      <c r="M337" s="1">
        <v>38803</v>
      </c>
      <c r="N337">
        <v>48</v>
      </c>
      <c r="O337">
        <v>0</v>
      </c>
      <c r="P337">
        <v>13</v>
      </c>
      <c r="Q337">
        <v>1</v>
      </c>
      <c r="R337">
        <v>34</v>
      </c>
      <c r="S337" s="5">
        <f>Table1[[#This Row],[ Remain ]]/Table1[[#This Row],[ Valid Votes ]]</f>
        <v>0.53061076366627558</v>
      </c>
      <c r="T337" s="5">
        <f>Table1[[#This Row],[ Leave ]]/Table1[[#This Row],[ Valid Votes ]]</f>
        <v>0.46938923633372448</v>
      </c>
      <c r="U337" s="5">
        <f>Table1[[#This Row],[ Rejected Ballots ]]/Table1[[#This Row],[ Votes Cast ]]</f>
        <v>5.8030586955207643E-4</v>
      </c>
      <c r="V337" t="str">
        <f>IF(Table1[[#This Row],[Percent Leave]]&gt;Table1[[#This Row],[Percent Remain]],"Leave", "Remain")</f>
        <v>Remain</v>
      </c>
      <c r="W337">
        <v>55.096209999999999</v>
      </c>
      <c r="X337">
        <v>-4.0286298</v>
      </c>
      <c r="Y337" s="1">
        <f>_xlfn.XLOOKUP(Table1[[#This Row],[Area]],Table2[Area],Table2[All Residents])</f>
        <v>151300</v>
      </c>
    </row>
    <row r="338" spans="1:25" hidden="1" x14ac:dyDescent="0.45">
      <c r="A338">
        <v>337</v>
      </c>
      <c r="B338" t="s">
        <v>695</v>
      </c>
      <c r="C338" t="s">
        <v>696</v>
      </c>
      <c r="D338" t="s">
        <v>713</v>
      </c>
      <c r="E338" t="s">
        <v>714</v>
      </c>
      <c r="F338" s="1">
        <v>105554</v>
      </c>
      <c r="G338" s="1">
        <v>66418</v>
      </c>
      <c r="H338" s="1">
        <v>66418</v>
      </c>
      <c r="I338" s="5">
        <f>Table1[[#This Row],[ Verified Ballot Papers ]]/Table1[[#This Row],[ Electorate ]]</f>
        <v>0.62923243079371693</v>
      </c>
      <c r="J338" s="1">
        <v>66418</v>
      </c>
      <c r="K338" s="1">
        <v>66385</v>
      </c>
      <c r="L338" s="1">
        <v>39688</v>
      </c>
      <c r="M338" s="1">
        <v>26697</v>
      </c>
      <c r="N338">
        <v>33</v>
      </c>
      <c r="O338">
        <v>0</v>
      </c>
      <c r="P338">
        <v>12</v>
      </c>
      <c r="Q338">
        <v>0</v>
      </c>
      <c r="R338">
        <v>21</v>
      </c>
      <c r="S338" s="5">
        <f>Table1[[#This Row],[ Remain ]]/Table1[[#This Row],[ Valid Votes ]]</f>
        <v>0.59784589892294948</v>
      </c>
      <c r="T338" s="5">
        <f>Table1[[#This Row],[ Leave ]]/Table1[[#This Row],[ Valid Votes ]]</f>
        <v>0.40215410107705052</v>
      </c>
      <c r="U338" s="5">
        <f>Table1[[#This Row],[ Rejected Ballots ]]/Table1[[#This Row],[ Votes Cast ]]</f>
        <v>4.9685326266975824E-4</v>
      </c>
      <c r="V338" t="str">
        <f>IF(Table1[[#This Row],[Percent Leave]]&gt;Table1[[#This Row],[Percent Remain]],"Leave", "Remain")</f>
        <v>Remain</v>
      </c>
      <c r="W338">
        <v>56.477600000000002</v>
      </c>
      <c r="X338">
        <v>-2.9709498999999999</v>
      </c>
      <c r="Y338" s="1">
        <f>_xlfn.XLOOKUP(Table1[[#This Row],[Area]],Table2[Area],Table2[All Residents])</f>
        <v>147300</v>
      </c>
    </row>
    <row r="339" spans="1:25" hidden="1" x14ac:dyDescent="0.45">
      <c r="A339">
        <v>338</v>
      </c>
      <c r="B339" t="s">
        <v>695</v>
      </c>
      <c r="C339" t="s">
        <v>696</v>
      </c>
      <c r="D339" t="s">
        <v>715</v>
      </c>
      <c r="E339" t="s">
        <v>716</v>
      </c>
      <c r="F339" s="1">
        <v>91977</v>
      </c>
      <c r="G339" s="1">
        <v>57859</v>
      </c>
      <c r="H339" s="1">
        <v>57859</v>
      </c>
      <c r="I339" s="5">
        <f>Table1[[#This Row],[ Verified Ballot Papers ]]/Table1[[#This Row],[ Electorate ]]</f>
        <v>0.62905943877273662</v>
      </c>
      <c r="J339" s="1">
        <v>57859</v>
      </c>
      <c r="K339" s="1">
        <v>57833</v>
      </c>
      <c r="L339" s="1">
        <v>33891</v>
      </c>
      <c r="M339" s="1">
        <v>23942</v>
      </c>
      <c r="N339">
        <v>26</v>
      </c>
      <c r="O339">
        <v>0</v>
      </c>
      <c r="P339">
        <v>8</v>
      </c>
      <c r="Q339">
        <v>0</v>
      </c>
      <c r="R339">
        <v>18</v>
      </c>
      <c r="S339" s="5">
        <f>Table1[[#This Row],[ Remain ]]/Table1[[#This Row],[ Valid Votes ]]</f>
        <v>0.58601490498504316</v>
      </c>
      <c r="T339" s="5">
        <f>Table1[[#This Row],[ Leave ]]/Table1[[#This Row],[ Valid Votes ]]</f>
        <v>0.41398509501495684</v>
      </c>
      <c r="U339" s="5">
        <f>Table1[[#This Row],[ Rejected Ballots ]]/Table1[[#This Row],[ Votes Cast ]]</f>
        <v>4.4936829188198897E-4</v>
      </c>
      <c r="V339" t="str">
        <f>IF(Table1[[#This Row],[Percent Leave]]&gt;Table1[[#This Row],[Percent Remain]],"Leave", "Remain")</f>
        <v>Remain</v>
      </c>
      <c r="W339">
        <v>55.496738000000001</v>
      </c>
      <c r="X339">
        <v>-4.2905698000000001</v>
      </c>
      <c r="Y339" s="1">
        <f>_xlfn.XLOOKUP(Table1[[#This Row],[Area]],Table2[Area],Table2[All Residents])</f>
        <v>122700</v>
      </c>
    </row>
    <row r="340" spans="1:25" hidden="1" x14ac:dyDescent="0.45">
      <c r="A340">
        <v>339</v>
      </c>
      <c r="B340" t="s">
        <v>695</v>
      </c>
      <c r="C340" t="s">
        <v>696</v>
      </c>
      <c r="D340" t="s">
        <v>717</v>
      </c>
      <c r="E340" t="s">
        <v>718</v>
      </c>
      <c r="F340" s="1">
        <v>83031</v>
      </c>
      <c r="G340" s="1">
        <v>62418</v>
      </c>
      <c r="H340" s="1">
        <v>62418</v>
      </c>
      <c r="I340" s="5">
        <f>Table1[[#This Row],[ Verified Ballot Papers ]]/Table1[[#This Row],[ Electorate ]]</f>
        <v>0.75174332478231021</v>
      </c>
      <c r="J340" s="1">
        <v>62418</v>
      </c>
      <c r="K340" s="1">
        <v>62374</v>
      </c>
      <c r="L340" s="1">
        <v>44534</v>
      </c>
      <c r="M340" s="1">
        <v>17840</v>
      </c>
      <c r="N340">
        <v>44</v>
      </c>
      <c r="O340">
        <v>0</v>
      </c>
      <c r="P340">
        <v>7</v>
      </c>
      <c r="Q340">
        <v>0</v>
      </c>
      <c r="R340">
        <v>37</v>
      </c>
      <c r="S340" s="5">
        <f>Table1[[#This Row],[ Remain ]]/Table1[[#This Row],[ Valid Votes ]]</f>
        <v>0.71398339051527882</v>
      </c>
      <c r="T340" s="5">
        <f>Table1[[#This Row],[ Leave ]]/Table1[[#This Row],[ Valid Votes ]]</f>
        <v>0.28601660948472118</v>
      </c>
      <c r="U340" s="5">
        <f>Table1[[#This Row],[ Rejected Ballots ]]/Table1[[#This Row],[ Votes Cast ]]</f>
        <v>7.049248614181806E-4</v>
      </c>
      <c r="V340" t="str">
        <f>IF(Table1[[#This Row],[Percent Leave]]&gt;Table1[[#This Row],[Percent Remain]],"Leave", "Remain")</f>
        <v>Remain</v>
      </c>
      <c r="W340">
        <v>55.958289999999998</v>
      </c>
      <c r="X340">
        <v>-4.2241701999999997</v>
      </c>
      <c r="Y340" s="1">
        <f>_xlfn.XLOOKUP(Table1[[#This Row],[Area]],Table2[Area],Table2[All Residents])</f>
        <v>105000</v>
      </c>
    </row>
    <row r="341" spans="1:25" hidden="1" x14ac:dyDescent="0.45">
      <c r="A341">
        <v>340</v>
      </c>
      <c r="B341" t="s">
        <v>695</v>
      </c>
      <c r="C341" t="s">
        <v>696</v>
      </c>
      <c r="D341" t="s">
        <v>719</v>
      </c>
      <c r="E341" t="s">
        <v>720</v>
      </c>
      <c r="F341" s="1">
        <v>77788</v>
      </c>
      <c r="G341" s="1">
        <v>55822</v>
      </c>
      <c r="H341" s="1">
        <v>55800</v>
      </c>
      <c r="I341" s="5">
        <f>Table1[[#This Row],[ Verified Ballot Papers ]]/Table1[[#This Row],[ Electorate ]]</f>
        <v>0.71733429320717845</v>
      </c>
      <c r="J341" s="1">
        <v>55800</v>
      </c>
      <c r="K341" s="1">
        <v>55764</v>
      </c>
      <c r="L341" s="1">
        <v>36026</v>
      </c>
      <c r="M341" s="1">
        <v>19738</v>
      </c>
      <c r="N341">
        <v>36</v>
      </c>
      <c r="O341">
        <v>0</v>
      </c>
      <c r="P341">
        <v>12</v>
      </c>
      <c r="Q341">
        <v>0</v>
      </c>
      <c r="R341">
        <v>24</v>
      </c>
      <c r="S341" s="5">
        <f>Table1[[#This Row],[ Remain ]]/Table1[[#This Row],[ Valid Votes ]]</f>
        <v>0.64604404275159599</v>
      </c>
      <c r="T341" s="5">
        <f>Table1[[#This Row],[ Leave ]]/Table1[[#This Row],[ Valid Votes ]]</f>
        <v>0.35395595724840401</v>
      </c>
      <c r="U341" s="5">
        <f>Table1[[#This Row],[ Rejected Ballots ]]/Table1[[#This Row],[ Votes Cast ]]</f>
        <v>6.4516129032258064E-4</v>
      </c>
      <c r="V341" t="str">
        <f>IF(Table1[[#This Row],[Percent Leave]]&gt;Table1[[#This Row],[Percent Remain]],"Leave", "Remain")</f>
        <v>Remain</v>
      </c>
      <c r="W341">
        <v>55.942070000000001</v>
      </c>
      <c r="X341">
        <v>-2.7243499999999998</v>
      </c>
      <c r="Y341" s="1">
        <f>_xlfn.XLOOKUP(Table1[[#This Row],[Area]],Table2[Area],Table2[All Residents])</f>
        <v>99700</v>
      </c>
    </row>
    <row r="342" spans="1:25" hidden="1" x14ac:dyDescent="0.45">
      <c r="A342">
        <v>341</v>
      </c>
      <c r="B342" t="s">
        <v>695</v>
      </c>
      <c r="C342" t="s">
        <v>696</v>
      </c>
      <c r="D342" t="s">
        <v>721</v>
      </c>
      <c r="E342" t="s">
        <v>722</v>
      </c>
      <c r="F342" s="1">
        <v>69575</v>
      </c>
      <c r="G342" s="1">
        <v>52970</v>
      </c>
      <c r="H342" s="1">
        <v>52969</v>
      </c>
      <c r="I342" s="5">
        <f>Table1[[#This Row],[ Verified Ballot Papers ]]/Table1[[#This Row],[ Electorate ]]</f>
        <v>0.76132231404958672</v>
      </c>
      <c r="J342" s="1">
        <v>52969</v>
      </c>
      <c r="K342" s="1">
        <v>52941</v>
      </c>
      <c r="L342" s="1">
        <v>39345</v>
      </c>
      <c r="M342" s="1">
        <v>13596</v>
      </c>
      <c r="N342">
        <v>28</v>
      </c>
      <c r="O342">
        <v>0</v>
      </c>
      <c r="P342">
        <v>7</v>
      </c>
      <c r="Q342">
        <v>0</v>
      </c>
      <c r="R342">
        <v>21</v>
      </c>
      <c r="S342" s="5">
        <f>Table1[[#This Row],[ Remain ]]/Table1[[#This Row],[ Valid Votes ]]</f>
        <v>0.74318581061936873</v>
      </c>
      <c r="T342" s="5">
        <f>Table1[[#This Row],[ Leave ]]/Table1[[#This Row],[ Valid Votes ]]</f>
        <v>0.25681418938063127</v>
      </c>
      <c r="U342" s="5">
        <f>Table1[[#This Row],[ Rejected Ballots ]]/Table1[[#This Row],[ Votes Cast ]]</f>
        <v>5.2861107440200876E-4</v>
      </c>
      <c r="V342" t="str">
        <f>IF(Table1[[#This Row],[Percent Leave]]&gt;Table1[[#This Row],[Percent Remain]],"Leave", "Remain")</f>
        <v>Remain</v>
      </c>
      <c r="W342">
        <v>55.74868</v>
      </c>
      <c r="X342">
        <v>-4.3605999999999998</v>
      </c>
      <c r="Y342" s="1">
        <f>_xlfn.XLOOKUP(Table1[[#This Row],[Area]],Table2[Area],Table2[All Residents])</f>
        <v>90600</v>
      </c>
    </row>
    <row r="343" spans="1:25" hidden="1" x14ac:dyDescent="0.45">
      <c r="A343">
        <v>342</v>
      </c>
      <c r="B343" t="s">
        <v>695</v>
      </c>
      <c r="C343" t="s">
        <v>696</v>
      </c>
      <c r="D343" t="s">
        <v>723</v>
      </c>
      <c r="E343" t="s">
        <v>724</v>
      </c>
      <c r="F343" s="1">
        <v>346073</v>
      </c>
      <c r="G343" s="1">
        <v>252490</v>
      </c>
      <c r="H343" s="1">
        <v>252481</v>
      </c>
      <c r="I343" s="5">
        <f>Table1[[#This Row],[ Verified Ballot Papers ]]/Table1[[#This Row],[ Electorate ]]</f>
        <v>0.72955994833459992</v>
      </c>
      <c r="J343" s="1">
        <v>252481</v>
      </c>
      <c r="K343" s="1">
        <v>252294</v>
      </c>
      <c r="L343" s="1">
        <v>187796</v>
      </c>
      <c r="M343" s="1">
        <v>64498</v>
      </c>
      <c r="N343">
        <v>187</v>
      </c>
      <c r="O343">
        <v>0</v>
      </c>
      <c r="P343">
        <v>71</v>
      </c>
      <c r="Q343">
        <v>1</v>
      </c>
      <c r="R343">
        <v>115</v>
      </c>
      <c r="S343" s="5">
        <f>Table1[[#This Row],[ Remain ]]/Table1[[#This Row],[ Valid Votes ]]</f>
        <v>0.74435380944453688</v>
      </c>
      <c r="T343" s="5">
        <f>Table1[[#This Row],[ Leave ]]/Table1[[#This Row],[ Valid Votes ]]</f>
        <v>0.25564619055546306</v>
      </c>
      <c r="U343" s="5">
        <f>Table1[[#This Row],[ Rejected Ballots ]]/Table1[[#This Row],[ Votes Cast ]]</f>
        <v>7.4064979146945716E-4</v>
      </c>
      <c r="V343" t="str">
        <f>IF(Table1[[#This Row],[Percent Leave]]&gt;Table1[[#This Row],[Percent Remain]],"Leave", "Remain")</f>
        <v>Remain</v>
      </c>
      <c r="W343">
        <v>55.911200999999998</v>
      </c>
      <c r="X343">
        <v>-3.27826</v>
      </c>
      <c r="Y343" s="1">
        <f>_xlfn.XLOOKUP(Table1[[#This Row],[Area]],Table2[Area],Table2[All Residents])</f>
        <v>476600</v>
      </c>
    </row>
    <row r="344" spans="1:25" hidden="1" x14ac:dyDescent="0.45">
      <c r="A344">
        <v>343</v>
      </c>
      <c r="B344" t="s">
        <v>695</v>
      </c>
      <c r="C344" t="s">
        <v>696</v>
      </c>
      <c r="D344" t="s">
        <v>725</v>
      </c>
      <c r="E344" t="s">
        <v>726</v>
      </c>
      <c r="F344" s="1">
        <v>117392</v>
      </c>
      <c r="G344" s="1">
        <v>79304</v>
      </c>
      <c r="H344" s="1">
        <v>79302</v>
      </c>
      <c r="I344" s="5">
        <f>Table1[[#This Row],[ Verified Ballot Papers ]]/Table1[[#This Row],[ Electorate ]]</f>
        <v>0.67553155240561535</v>
      </c>
      <c r="J344" s="1">
        <v>79302</v>
      </c>
      <c r="K344" s="1">
        <v>79258</v>
      </c>
      <c r="L344" s="1">
        <v>44987</v>
      </c>
      <c r="M344" s="1">
        <v>34271</v>
      </c>
      <c r="N344">
        <v>44</v>
      </c>
      <c r="O344">
        <v>0</v>
      </c>
      <c r="P344">
        <v>7</v>
      </c>
      <c r="Q344">
        <v>2</v>
      </c>
      <c r="R344">
        <v>35</v>
      </c>
      <c r="S344" s="5">
        <f>Table1[[#This Row],[ Remain ]]/Table1[[#This Row],[ Valid Votes ]]</f>
        <v>0.56760200863004362</v>
      </c>
      <c r="T344" s="5">
        <f>Table1[[#This Row],[ Leave ]]/Table1[[#This Row],[ Valid Votes ]]</f>
        <v>0.43239799136995632</v>
      </c>
      <c r="U344" s="5">
        <f>Table1[[#This Row],[ Rejected Ballots ]]/Table1[[#This Row],[ Votes Cast ]]</f>
        <v>5.5484098761695796E-4</v>
      </c>
      <c r="V344" t="str">
        <f>IF(Table1[[#This Row],[Percent Leave]]&gt;Table1[[#This Row],[Percent Remain]],"Leave", "Remain")</f>
        <v>Remain</v>
      </c>
      <c r="W344">
        <v>56.000751000000001</v>
      </c>
      <c r="X344">
        <v>-3.8361900000000002</v>
      </c>
      <c r="Y344" s="1">
        <f>_xlfn.XLOOKUP(Table1[[#This Row],[Area]],Table2[Area],Table2[All Residents])</f>
        <v>156000</v>
      </c>
    </row>
    <row r="345" spans="1:25" hidden="1" x14ac:dyDescent="0.45">
      <c r="A345">
        <v>344</v>
      </c>
      <c r="B345" t="s">
        <v>695</v>
      </c>
      <c r="C345" t="s">
        <v>696</v>
      </c>
      <c r="D345" t="s">
        <v>727</v>
      </c>
      <c r="E345" t="s">
        <v>728</v>
      </c>
      <c r="F345" s="1">
        <v>272995</v>
      </c>
      <c r="G345" s="1">
        <v>182307</v>
      </c>
      <c r="H345" s="1">
        <v>182307</v>
      </c>
      <c r="I345" s="5">
        <f>Table1[[#This Row],[ Verified Ballot Papers ]]/Table1[[#This Row],[ Electorate ]]</f>
        <v>0.66780343962343636</v>
      </c>
      <c r="J345" s="1">
        <v>182307</v>
      </c>
      <c r="K345" s="1">
        <v>182220</v>
      </c>
      <c r="L345" s="1">
        <v>106754</v>
      </c>
      <c r="M345" s="1">
        <v>75466</v>
      </c>
      <c r="N345">
        <v>87</v>
      </c>
      <c r="O345">
        <v>2</v>
      </c>
      <c r="P345">
        <v>29</v>
      </c>
      <c r="Q345">
        <v>4</v>
      </c>
      <c r="R345">
        <v>52</v>
      </c>
      <c r="S345" s="5">
        <f>Table1[[#This Row],[ Remain ]]/Table1[[#This Row],[ Valid Votes ]]</f>
        <v>0.58585226649105482</v>
      </c>
      <c r="T345" s="5">
        <f>Table1[[#This Row],[ Leave ]]/Table1[[#This Row],[ Valid Votes ]]</f>
        <v>0.41414773350894524</v>
      </c>
      <c r="U345" s="5">
        <f>Table1[[#This Row],[ Rejected Ballots ]]/Table1[[#This Row],[ Votes Cast ]]</f>
        <v>4.7721700208988138E-4</v>
      </c>
      <c r="V345" t="str">
        <f>IF(Table1[[#This Row],[Percent Leave]]&gt;Table1[[#This Row],[Percent Remain]],"Leave", "Remain")</f>
        <v>Remain</v>
      </c>
      <c r="W345">
        <v>56.231121000000002</v>
      </c>
      <c r="X345">
        <v>-2.9825100999999998</v>
      </c>
      <c r="Y345" s="1">
        <f>_xlfn.XLOOKUP(Table1[[#This Row],[Area]],Table2[Area],Table2[All Residents])</f>
        <v>365200</v>
      </c>
    </row>
    <row r="346" spans="1:25" hidden="1" x14ac:dyDescent="0.45">
      <c r="A346">
        <v>345</v>
      </c>
      <c r="B346" t="s">
        <v>695</v>
      </c>
      <c r="C346" t="s">
        <v>696</v>
      </c>
      <c r="D346" t="s">
        <v>729</v>
      </c>
      <c r="E346" t="s">
        <v>730</v>
      </c>
      <c r="F346" s="1">
        <v>449806</v>
      </c>
      <c r="G346" s="1">
        <v>253000</v>
      </c>
      <c r="H346" s="1">
        <v>253000</v>
      </c>
      <c r="I346" s="5">
        <f>Table1[[#This Row],[ Verified Ballot Papers ]]/Table1[[#This Row],[ Electorate ]]</f>
        <v>0.56246470700702078</v>
      </c>
      <c r="J346" s="1">
        <v>253000</v>
      </c>
      <c r="K346" s="1">
        <v>252809</v>
      </c>
      <c r="L346" s="1">
        <v>168335</v>
      </c>
      <c r="M346" s="1">
        <v>84474</v>
      </c>
      <c r="N346">
        <v>191</v>
      </c>
      <c r="O346">
        <v>1</v>
      </c>
      <c r="P346">
        <v>67</v>
      </c>
      <c r="Q346">
        <v>7</v>
      </c>
      <c r="R346">
        <v>116</v>
      </c>
      <c r="S346" s="5">
        <f>Table1[[#This Row],[ Remain ]]/Table1[[#This Row],[ Valid Votes ]]</f>
        <v>0.66585841485073716</v>
      </c>
      <c r="T346" s="5">
        <f>Table1[[#This Row],[ Leave ]]/Table1[[#This Row],[ Valid Votes ]]</f>
        <v>0.3341415851492629</v>
      </c>
      <c r="U346" s="5">
        <f>Table1[[#This Row],[ Rejected Ballots ]]/Table1[[#This Row],[ Votes Cast ]]</f>
        <v>7.5494071146245065E-4</v>
      </c>
      <c r="V346" t="str">
        <f>IF(Table1[[#This Row],[Percent Leave]]&gt;Table1[[#This Row],[Percent Remain]],"Leave", "Remain")</f>
        <v>Remain</v>
      </c>
      <c r="W346">
        <v>55.876491999999999</v>
      </c>
      <c r="X346">
        <v>-4.2147899000000004</v>
      </c>
      <c r="Y346" s="1">
        <f>_xlfn.XLOOKUP(Table1[[#This Row],[Area]],Table2[Area],Table2[All Residents])</f>
        <v>593200</v>
      </c>
    </row>
    <row r="347" spans="1:25" hidden="1" x14ac:dyDescent="0.45">
      <c r="A347">
        <v>346</v>
      </c>
      <c r="B347" t="s">
        <v>695</v>
      </c>
      <c r="C347" t="s">
        <v>696</v>
      </c>
      <c r="D347" t="s">
        <v>731</v>
      </c>
      <c r="E347" t="s">
        <v>732</v>
      </c>
      <c r="F347" s="1">
        <v>175563</v>
      </c>
      <c r="G347" s="1">
        <v>125728</v>
      </c>
      <c r="H347" s="1">
        <v>125728</v>
      </c>
      <c r="I347" s="5">
        <f>Table1[[#This Row],[ Verified Ballot Papers ]]/Table1[[#This Row],[ Electorate ]]</f>
        <v>0.71614178386106409</v>
      </c>
      <c r="J347" s="1">
        <v>125728</v>
      </c>
      <c r="K347" s="1">
        <v>125657</v>
      </c>
      <c r="L347" s="1">
        <v>70308</v>
      </c>
      <c r="M347" s="1">
        <v>55349</v>
      </c>
      <c r="N347">
        <v>71</v>
      </c>
      <c r="O347">
        <v>0</v>
      </c>
      <c r="P347">
        <v>27</v>
      </c>
      <c r="Q347">
        <v>2</v>
      </c>
      <c r="R347">
        <v>42</v>
      </c>
      <c r="S347" s="5">
        <f>Table1[[#This Row],[ Remain ]]/Table1[[#This Row],[ Valid Votes ]]</f>
        <v>0.55952314634282208</v>
      </c>
      <c r="T347" s="5">
        <f>Table1[[#This Row],[ Leave ]]/Table1[[#This Row],[ Valid Votes ]]</f>
        <v>0.44047685365717787</v>
      </c>
      <c r="U347" s="5">
        <f>Table1[[#This Row],[ Rejected Ballots ]]/Table1[[#This Row],[ Votes Cast ]]</f>
        <v>5.6471112242300844E-4</v>
      </c>
      <c r="V347" t="str">
        <f>IF(Table1[[#This Row],[Percent Leave]]&gt;Table1[[#This Row],[Percent Remain]],"Leave", "Remain")</f>
        <v>Remain</v>
      </c>
      <c r="W347">
        <v>57.586570999999999</v>
      </c>
      <c r="X347">
        <v>-4.6610297999999997</v>
      </c>
      <c r="Y347" s="1">
        <f>_xlfn.XLOOKUP(Table1[[#This Row],[Area]],Table2[Area],Table2[All Residents])</f>
        <v>232100</v>
      </c>
    </row>
    <row r="348" spans="1:25" hidden="1" x14ac:dyDescent="0.45">
      <c r="A348">
        <v>347</v>
      </c>
      <c r="B348" t="s">
        <v>695</v>
      </c>
      <c r="C348" t="s">
        <v>696</v>
      </c>
      <c r="D348" t="s">
        <v>733</v>
      </c>
      <c r="E348" t="s">
        <v>734</v>
      </c>
      <c r="F348" s="1">
        <v>58624</v>
      </c>
      <c r="G348" s="1">
        <v>38722</v>
      </c>
      <c r="H348" s="1">
        <v>38722</v>
      </c>
      <c r="I348" s="5">
        <f>Table1[[#This Row],[ Verified Ballot Papers ]]/Table1[[#This Row],[ Electorate ]]</f>
        <v>0.66051446506550215</v>
      </c>
      <c r="J348" s="1">
        <v>38722</v>
      </c>
      <c r="K348" s="1">
        <v>38698</v>
      </c>
      <c r="L348" s="1">
        <v>24688</v>
      </c>
      <c r="M348" s="1">
        <v>14010</v>
      </c>
      <c r="N348">
        <v>24</v>
      </c>
      <c r="O348">
        <v>0</v>
      </c>
      <c r="P348">
        <v>6</v>
      </c>
      <c r="Q348">
        <v>0</v>
      </c>
      <c r="R348">
        <v>18</v>
      </c>
      <c r="S348" s="5">
        <f>Table1[[#This Row],[ Remain ]]/Table1[[#This Row],[ Valid Votes ]]</f>
        <v>0.63796578634554757</v>
      </c>
      <c r="T348" s="5">
        <f>Table1[[#This Row],[ Leave ]]/Table1[[#This Row],[ Valid Votes ]]</f>
        <v>0.36203421365445243</v>
      </c>
      <c r="U348" s="5">
        <f>Table1[[#This Row],[ Rejected Ballots ]]/Table1[[#This Row],[ Votes Cast ]]</f>
        <v>6.1980269614172816E-4</v>
      </c>
      <c r="V348" t="str">
        <f>IF(Table1[[#This Row],[Percent Leave]]&gt;Table1[[#This Row],[Percent Remain]],"Leave", "Remain")</f>
        <v>Remain</v>
      </c>
      <c r="W348">
        <v>55.900298999999997</v>
      </c>
      <c r="X348">
        <v>-4.75387</v>
      </c>
      <c r="Y348" s="1">
        <f>_xlfn.XLOOKUP(Table1[[#This Row],[Area]],Table2[Area],Table2[All Residents])</f>
        <v>81500</v>
      </c>
    </row>
    <row r="349" spans="1:25" hidden="1" x14ac:dyDescent="0.45">
      <c r="A349">
        <v>348</v>
      </c>
      <c r="B349" t="s">
        <v>695</v>
      </c>
      <c r="C349" t="s">
        <v>696</v>
      </c>
      <c r="D349" t="s">
        <v>735</v>
      </c>
      <c r="E349" t="s">
        <v>736</v>
      </c>
      <c r="F349" s="1">
        <v>66758</v>
      </c>
      <c r="G349" s="1">
        <v>45505</v>
      </c>
      <c r="H349" s="1">
        <v>45497</v>
      </c>
      <c r="I349" s="5">
        <f>Table1[[#This Row],[ Verified Ballot Papers ]]/Table1[[#This Row],[ Electorate ]]</f>
        <v>0.68152131579735764</v>
      </c>
      <c r="J349" s="1">
        <v>45497</v>
      </c>
      <c r="K349" s="1">
        <v>45468</v>
      </c>
      <c r="L349" s="1">
        <v>28217</v>
      </c>
      <c r="M349" s="1">
        <v>17251</v>
      </c>
      <c r="N349">
        <v>29</v>
      </c>
      <c r="O349">
        <v>0</v>
      </c>
      <c r="P349">
        <v>8</v>
      </c>
      <c r="Q349">
        <v>0</v>
      </c>
      <c r="R349">
        <v>21</v>
      </c>
      <c r="S349" s="5">
        <f>Table1[[#This Row],[ Remain ]]/Table1[[#This Row],[ Valid Votes ]]</f>
        <v>0.62059030526964021</v>
      </c>
      <c r="T349" s="5">
        <f>Table1[[#This Row],[ Leave ]]/Table1[[#This Row],[ Valid Votes ]]</f>
        <v>0.37940969473035979</v>
      </c>
      <c r="U349" s="5">
        <f>Table1[[#This Row],[ Rejected Ballots ]]/Table1[[#This Row],[ Votes Cast ]]</f>
        <v>6.3740466404378312E-4</v>
      </c>
      <c r="V349" t="str">
        <f>IF(Table1[[#This Row],[Percent Leave]]&gt;Table1[[#This Row],[Percent Remain]],"Leave", "Remain")</f>
        <v>Remain</v>
      </c>
      <c r="W349">
        <v>55.821109999999997</v>
      </c>
      <c r="X349">
        <v>-3.1173799</v>
      </c>
      <c r="Y349" s="1">
        <f>_xlfn.XLOOKUP(Table1[[#This Row],[Area]],Table2[Area],Table2[All Residents])</f>
        <v>83200</v>
      </c>
    </row>
    <row r="350" spans="1:25" hidden="1" x14ac:dyDescent="0.45">
      <c r="A350">
        <v>349</v>
      </c>
      <c r="B350" t="s">
        <v>695</v>
      </c>
      <c r="C350" t="s">
        <v>696</v>
      </c>
      <c r="D350" t="s">
        <v>737</v>
      </c>
      <c r="E350" t="s">
        <v>738</v>
      </c>
      <c r="F350" s="1">
        <v>71370</v>
      </c>
      <c r="G350" s="1">
        <v>48148</v>
      </c>
      <c r="H350" s="1">
        <v>48139</v>
      </c>
      <c r="I350" s="5">
        <f>Table1[[#This Row],[ Verified Ballot Papers ]]/Table1[[#This Row],[ Electorate ]]</f>
        <v>0.67449908925318758</v>
      </c>
      <c r="J350" s="1">
        <v>48139</v>
      </c>
      <c r="K350" s="1">
        <v>48106</v>
      </c>
      <c r="L350" s="1">
        <v>24114</v>
      </c>
      <c r="M350" s="1">
        <v>23992</v>
      </c>
      <c r="N350">
        <v>33</v>
      </c>
      <c r="O350">
        <v>0</v>
      </c>
      <c r="P350">
        <v>16</v>
      </c>
      <c r="Q350">
        <v>3</v>
      </c>
      <c r="R350">
        <v>14</v>
      </c>
      <c r="S350" s="5">
        <f>Table1[[#This Row],[ Remain ]]/Table1[[#This Row],[ Valid Votes ]]</f>
        <v>0.50126803309358503</v>
      </c>
      <c r="T350" s="5">
        <f>Table1[[#This Row],[ Leave ]]/Table1[[#This Row],[ Valid Votes ]]</f>
        <v>0.49873196690641503</v>
      </c>
      <c r="U350" s="5">
        <f>Table1[[#This Row],[ Rejected Ballots ]]/Table1[[#This Row],[ Votes Cast ]]</f>
        <v>6.8551486320862505E-4</v>
      </c>
      <c r="V350" t="str">
        <f>IF(Table1[[#This Row],[Percent Leave]]&gt;Table1[[#This Row],[Percent Remain]],"Leave", "Remain")</f>
        <v>Remain</v>
      </c>
      <c r="W350">
        <v>57.476799</v>
      </c>
      <c r="X350">
        <v>-3.2020198999999998</v>
      </c>
      <c r="Y350" s="1">
        <f>_xlfn.XLOOKUP(Table1[[#This Row],[Area]],Table2[Area],Table2[All Residents])</f>
        <v>93300</v>
      </c>
    </row>
    <row r="351" spans="1:25" hidden="1" x14ac:dyDescent="0.45">
      <c r="A351">
        <v>350</v>
      </c>
      <c r="B351" t="s">
        <v>695</v>
      </c>
      <c r="C351" t="s">
        <v>696</v>
      </c>
      <c r="D351" t="s">
        <v>739</v>
      </c>
      <c r="E351" t="s">
        <v>740</v>
      </c>
      <c r="F351" s="1">
        <v>104572</v>
      </c>
      <c r="G351" s="1">
        <v>67548</v>
      </c>
      <c r="H351" s="1">
        <v>67548</v>
      </c>
      <c r="I351" s="5">
        <f>Table1[[#This Row],[ Verified Ballot Papers ]]/Table1[[#This Row],[ Electorate ]]</f>
        <v>0.64594728990551964</v>
      </c>
      <c r="J351" s="1">
        <v>67548</v>
      </c>
      <c r="K351" s="1">
        <v>67504</v>
      </c>
      <c r="L351" s="1">
        <v>38394</v>
      </c>
      <c r="M351" s="1">
        <v>29110</v>
      </c>
      <c r="N351">
        <v>44</v>
      </c>
      <c r="O351">
        <v>0</v>
      </c>
      <c r="P351">
        <v>16</v>
      </c>
      <c r="Q351">
        <v>0</v>
      </c>
      <c r="R351">
        <v>28</v>
      </c>
      <c r="S351" s="5">
        <f>Table1[[#This Row],[ Remain ]]/Table1[[#This Row],[ Valid Votes ]]</f>
        <v>0.56876629533064704</v>
      </c>
      <c r="T351" s="5">
        <f>Table1[[#This Row],[ Leave ]]/Table1[[#This Row],[ Valid Votes ]]</f>
        <v>0.4312337046693529</v>
      </c>
      <c r="U351" s="5">
        <f>Table1[[#This Row],[ Rejected Ballots ]]/Table1[[#This Row],[ Votes Cast ]]</f>
        <v>6.5138864215076684E-4</v>
      </c>
      <c r="V351" t="str">
        <f>IF(Table1[[#This Row],[Percent Leave]]&gt;Table1[[#This Row],[Percent Remain]],"Leave", "Remain")</f>
        <v>Remain</v>
      </c>
      <c r="W351">
        <v>55.727890000000002</v>
      </c>
      <c r="X351">
        <v>-4.7245998</v>
      </c>
      <c r="Y351" s="1">
        <f>_xlfn.XLOOKUP(Table1[[#This Row],[Area]],Table2[Area],Table2[All Residents])</f>
        <v>138200</v>
      </c>
    </row>
    <row r="352" spans="1:25" hidden="1" x14ac:dyDescent="0.45">
      <c r="A352">
        <v>351</v>
      </c>
      <c r="B352" t="s">
        <v>695</v>
      </c>
      <c r="C352" t="s">
        <v>696</v>
      </c>
      <c r="D352" t="s">
        <v>741</v>
      </c>
      <c r="E352" t="s">
        <v>742</v>
      </c>
      <c r="F352" s="1">
        <v>254567</v>
      </c>
      <c r="G352" s="1">
        <v>155045</v>
      </c>
      <c r="H352" s="1">
        <v>155045</v>
      </c>
      <c r="I352" s="5">
        <f>Table1[[#This Row],[ Verified Ballot Papers ]]/Table1[[#This Row],[ Electorate ]]</f>
        <v>0.60905380508864071</v>
      </c>
      <c r="J352" s="1">
        <v>155045</v>
      </c>
      <c r="K352" s="1">
        <v>154949</v>
      </c>
      <c r="L352" s="1">
        <v>95549</v>
      </c>
      <c r="M352" s="1">
        <v>59400</v>
      </c>
      <c r="N352">
        <v>96</v>
      </c>
      <c r="O352">
        <v>2</v>
      </c>
      <c r="P352">
        <v>19</v>
      </c>
      <c r="Q352">
        <v>2</v>
      </c>
      <c r="R352">
        <v>73</v>
      </c>
      <c r="S352" s="5">
        <f>Table1[[#This Row],[ Remain ]]/Table1[[#This Row],[ Valid Votes ]]</f>
        <v>0.61664805839340686</v>
      </c>
      <c r="T352" s="5">
        <f>Table1[[#This Row],[ Leave ]]/Table1[[#This Row],[ Valid Votes ]]</f>
        <v>0.38335194160659314</v>
      </c>
      <c r="U352" s="5">
        <f>Table1[[#This Row],[ Rejected Ballots ]]/Table1[[#This Row],[ Votes Cast ]]</f>
        <v>6.1917507820310233E-4</v>
      </c>
      <c r="V352" t="str">
        <f>IF(Table1[[#This Row],[Percent Leave]]&gt;Table1[[#This Row],[Percent Remain]],"Leave", "Remain")</f>
        <v>Remain</v>
      </c>
      <c r="W352">
        <v>55.868141000000001</v>
      </c>
      <c r="X352">
        <v>-3.9514</v>
      </c>
      <c r="Y352" s="1">
        <f>_xlfn.XLOOKUP(Table1[[#This Row],[Area]],Table2[Area],Table2[All Residents])</f>
        <v>337800</v>
      </c>
    </row>
    <row r="353" spans="1:25" hidden="1" x14ac:dyDescent="0.45">
      <c r="A353">
        <v>352</v>
      </c>
      <c r="B353" t="s">
        <v>695</v>
      </c>
      <c r="C353" t="s">
        <v>696</v>
      </c>
      <c r="D353" t="s">
        <v>743</v>
      </c>
      <c r="E353" t="s">
        <v>744</v>
      </c>
      <c r="F353" s="1">
        <v>16658</v>
      </c>
      <c r="G353" s="1">
        <v>11402</v>
      </c>
      <c r="H353" s="1">
        <v>11402</v>
      </c>
      <c r="I353" s="5">
        <f>Table1[[#This Row],[ Verified Ballot Papers ]]/Table1[[#This Row],[ Electorate ]]</f>
        <v>0.6844759274822908</v>
      </c>
      <c r="J353" s="1">
        <v>11402</v>
      </c>
      <c r="K353" s="1">
        <v>11382</v>
      </c>
      <c r="L353" s="1">
        <v>7189</v>
      </c>
      <c r="M353" s="1">
        <v>4193</v>
      </c>
      <c r="N353">
        <v>20</v>
      </c>
      <c r="O353">
        <v>0</v>
      </c>
      <c r="P353">
        <v>8</v>
      </c>
      <c r="Q353">
        <v>0</v>
      </c>
      <c r="R353">
        <v>12</v>
      </c>
      <c r="S353" s="5">
        <f>Table1[[#This Row],[ Remain ]]/Table1[[#This Row],[ Valid Votes ]]</f>
        <v>0.63161131611316113</v>
      </c>
      <c r="T353" s="5">
        <f>Table1[[#This Row],[ Leave ]]/Table1[[#This Row],[ Valid Votes ]]</f>
        <v>0.36838868388683887</v>
      </c>
      <c r="U353" s="5">
        <f>Table1[[#This Row],[ Rejected Ballots ]]/Table1[[#This Row],[ Votes Cast ]]</f>
        <v>1.7540782318891423E-3</v>
      </c>
      <c r="V353" t="str">
        <f>IF(Table1[[#This Row],[Percent Leave]]&gt;Table1[[#This Row],[Percent Remain]],"Leave", "Remain")</f>
        <v>Remain</v>
      </c>
      <c r="W353">
        <v>58.943339999999999</v>
      </c>
      <c r="X353">
        <v>-2.9002500000000002</v>
      </c>
      <c r="Y353" s="1">
        <f>_xlfn.XLOOKUP(Table1[[#This Row],[Area]],Table2[Area],Table2[All Residents])</f>
        <v>21400</v>
      </c>
    </row>
    <row r="354" spans="1:25" hidden="1" x14ac:dyDescent="0.45">
      <c r="A354">
        <v>353</v>
      </c>
      <c r="B354" t="s">
        <v>695</v>
      </c>
      <c r="C354" t="s">
        <v>696</v>
      </c>
      <c r="D354" t="s">
        <v>745</v>
      </c>
      <c r="E354" t="s">
        <v>746</v>
      </c>
      <c r="F354" s="1">
        <v>110224</v>
      </c>
      <c r="G354" s="1">
        <v>81294</v>
      </c>
      <c r="H354" s="1">
        <v>81294</v>
      </c>
      <c r="I354" s="5">
        <f>Table1[[#This Row],[ Verified Ballot Papers ]]/Table1[[#This Row],[ Electorate ]]</f>
        <v>0.73753447525039917</v>
      </c>
      <c r="J354" s="1">
        <v>81294</v>
      </c>
      <c r="K354" s="1">
        <v>81255</v>
      </c>
      <c r="L354" s="1">
        <v>49641</v>
      </c>
      <c r="M354" s="1">
        <v>31614</v>
      </c>
      <c r="N354">
        <v>39</v>
      </c>
      <c r="O354">
        <v>1</v>
      </c>
      <c r="P354">
        <v>14</v>
      </c>
      <c r="Q354">
        <v>0</v>
      </c>
      <c r="R354">
        <v>24</v>
      </c>
      <c r="S354" s="5">
        <f>Table1[[#This Row],[ Remain ]]/Table1[[#This Row],[ Valid Votes ]]</f>
        <v>0.61092855824256964</v>
      </c>
      <c r="T354" s="5">
        <f>Table1[[#This Row],[ Leave ]]/Table1[[#This Row],[ Valid Votes ]]</f>
        <v>0.3890714417574303</v>
      </c>
      <c r="U354" s="5">
        <f>Table1[[#This Row],[ Rejected Ballots ]]/Table1[[#This Row],[ Votes Cast ]]</f>
        <v>4.7974020222894679E-4</v>
      </c>
      <c r="V354" t="str">
        <f>IF(Table1[[#This Row],[Percent Leave]]&gt;Table1[[#This Row],[Percent Remain]],"Leave", "Remain")</f>
        <v>Remain</v>
      </c>
      <c r="W354">
        <v>56.575279000000002</v>
      </c>
      <c r="X354">
        <v>-3.8848400000000001</v>
      </c>
      <c r="Y354" s="1">
        <f>_xlfn.XLOOKUP(Table1[[#This Row],[Area]],Table2[Area],Table2[All Residents])</f>
        <v>146700</v>
      </c>
    </row>
    <row r="355" spans="1:25" hidden="1" x14ac:dyDescent="0.45">
      <c r="A355">
        <v>354</v>
      </c>
      <c r="B355" t="s">
        <v>695</v>
      </c>
      <c r="C355" t="s">
        <v>696</v>
      </c>
      <c r="D355" t="s">
        <v>747</v>
      </c>
      <c r="E355" t="s">
        <v>748</v>
      </c>
      <c r="F355" s="1">
        <v>127294</v>
      </c>
      <c r="G355" s="1">
        <v>88203</v>
      </c>
      <c r="H355" s="1">
        <v>88197</v>
      </c>
      <c r="I355" s="5">
        <f>Table1[[#This Row],[ Verified Ballot Papers ]]/Table1[[#This Row],[ Electorate ]]</f>
        <v>0.69286062186748787</v>
      </c>
      <c r="J355" s="1">
        <v>88197</v>
      </c>
      <c r="K355" s="1">
        <v>88129</v>
      </c>
      <c r="L355" s="1">
        <v>57119</v>
      </c>
      <c r="M355" s="1">
        <v>31010</v>
      </c>
      <c r="N355">
        <v>68</v>
      </c>
      <c r="O355">
        <v>0</v>
      </c>
      <c r="P355">
        <v>17</v>
      </c>
      <c r="Q355">
        <v>5</v>
      </c>
      <c r="R355">
        <v>46</v>
      </c>
      <c r="S355" s="5">
        <f>Table1[[#This Row],[ Remain ]]/Table1[[#This Row],[ Valid Votes ]]</f>
        <v>0.64812944660667882</v>
      </c>
      <c r="T355" s="5">
        <f>Table1[[#This Row],[ Leave ]]/Table1[[#This Row],[ Valid Votes ]]</f>
        <v>0.35187055339332113</v>
      </c>
      <c r="U355" s="5">
        <f>Table1[[#This Row],[ Rejected Ballots ]]/Table1[[#This Row],[ Votes Cast ]]</f>
        <v>7.7100128122271731E-4</v>
      </c>
      <c r="V355" t="str">
        <f>IF(Table1[[#This Row],[Percent Leave]]&gt;Table1[[#This Row],[Percent Remain]],"Leave", "Remain")</f>
        <v>Remain</v>
      </c>
      <c r="W355">
        <v>55.848621000000001</v>
      </c>
      <c r="X355">
        <v>-4.5683398000000004</v>
      </c>
      <c r="Y355" s="1">
        <f>_xlfn.XLOOKUP(Table1[[#This Row],[Area]],Table2[Area],Table2[All Residents])</f>
        <v>174900</v>
      </c>
    </row>
    <row r="356" spans="1:25" hidden="1" x14ac:dyDescent="0.45">
      <c r="A356">
        <v>355</v>
      </c>
      <c r="B356" t="s">
        <v>695</v>
      </c>
      <c r="C356" t="s">
        <v>696</v>
      </c>
      <c r="D356" t="s">
        <v>749</v>
      </c>
      <c r="E356" t="s">
        <v>750</v>
      </c>
      <c r="F356" s="1">
        <v>17375</v>
      </c>
      <c r="G356" s="1">
        <v>12231</v>
      </c>
      <c r="H356" s="1">
        <v>12231</v>
      </c>
      <c r="I356" s="5">
        <f>Table1[[#This Row],[ Verified Ballot Papers ]]/Table1[[#This Row],[ Electorate ]]</f>
        <v>0.70394244604316547</v>
      </c>
      <c r="J356" s="1">
        <v>12231</v>
      </c>
      <c r="K356" s="1">
        <v>12222</v>
      </c>
      <c r="L356" s="1">
        <v>6907</v>
      </c>
      <c r="M356" s="1">
        <v>5315</v>
      </c>
      <c r="N356">
        <v>9</v>
      </c>
      <c r="O356">
        <v>0</v>
      </c>
      <c r="P356">
        <v>2</v>
      </c>
      <c r="Q356">
        <v>0</v>
      </c>
      <c r="R356">
        <v>7</v>
      </c>
      <c r="S356" s="5">
        <f>Table1[[#This Row],[ Remain ]]/Table1[[#This Row],[ Valid Votes ]]</f>
        <v>0.56512845688103419</v>
      </c>
      <c r="T356" s="5">
        <f>Table1[[#This Row],[ Leave ]]/Table1[[#This Row],[ Valid Votes ]]</f>
        <v>0.43487154311896581</v>
      </c>
      <c r="U356" s="5">
        <f>Table1[[#This Row],[ Rejected Ballots ]]/Table1[[#This Row],[ Votes Cast ]]</f>
        <v>7.3583517292126564E-4</v>
      </c>
      <c r="V356" t="str">
        <f>IF(Table1[[#This Row],[Percent Leave]]&gt;Table1[[#This Row],[Percent Remain]],"Leave", "Remain")</f>
        <v>Remain</v>
      </c>
      <c r="W356">
        <v>60.504950999999998</v>
      </c>
      <c r="X356">
        <v>-1.37344</v>
      </c>
      <c r="Y356" s="1">
        <f>_xlfn.XLOOKUP(Table1[[#This Row],[Area]],Table2[Area],Table2[All Residents])</f>
        <v>23200</v>
      </c>
    </row>
    <row r="357" spans="1:25" hidden="1" x14ac:dyDescent="0.45">
      <c r="A357">
        <v>356</v>
      </c>
      <c r="B357" t="s">
        <v>695</v>
      </c>
      <c r="C357" t="s">
        <v>696</v>
      </c>
      <c r="D357" t="s">
        <v>751</v>
      </c>
      <c r="E357" t="s">
        <v>752</v>
      </c>
      <c r="F357" s="1">
        <v>88116</v>
      </c>
      <c r="G357" s="1">
        <v>61542</v>
      </c>
      <c r="H357" s="1">
        <v>61542</v>
      </c>
      <c r="I357" s="5">
        <f>Table1[[#This Row],[ Verified Ballot Papers ]]/Table1[[#This Row],[ Electorate ]]</f>
        <v>0.69842026419719461</v>
      </c>
      <c r="J357" s="1">
        <v>61542</v>
      </c>
      <c r="K357" s="1">
        <v>61506</v>
      </c>
      <c r="L357" s="1">
        <v>36265</v>
      </c>
      <c r="M357" s="1">
        <v>25241</v>
      </c>
      <c r="N357">
        <v>36</v>
      </c>
      <c r="O357">
        <v>0</v>
      </c>
      <c r="P357">
        <v>14</v>
      </c>
      <c r="Q357">
        <v>2</v>
      </c>
      <c r="R357">
        <v>20</v>
      </c>
      <c r="S357" s="5">
        <f>Table1[[#This Row],[ Remain ]]/Table1[[#This Row],[ Valid Votes ]]</f>
        <v>0.58961727311156631</v>
      </c>
      <c r="T357" s="5">
        <f>Table1[[#This Row],[ Leave ]]/Table1[[#This Row],[ Valid Votes ]]</f>
        <v>0.41038272688843364</v>
      </c>
      <c r="U357" s="5">
        <f>Table1[[#This Row],[ Rejected Ballots ]]/Table1[[#This Row],[ Votes Cast ]]</f>
        <v>5.8496636443404503E-4</v>
      </c>
      <c r="V357" t="str">
        <f>IF(Table1[[#This Row],[Percent Leave]]&gt;Table1[[#This Row],[Percent Remain]],"Leave", "Remain")</f>
        <v>Remain</v>
      </c>
      <c r="W357">
        <v>55.230080000000001</v>
      </c>
      <c r="X357">
        <v>-4.7289900999999999</v>
      </c>
      <c r="Y357" s="1">
        <f>_xlfn.XLOOKUP(Table1[[#This Row],[Area]],Table2[Area],Table2[All Residents])</f>
        <v>112800</v>
      </c>
    </row>
    <row r="358" spans="1:25" hidden="1" x14ac:dyDescent="0.45">
      <c r="A358">
        <v>357</v>
      </c>
      <c r="B358" t="s">
        <v>695</v>
      </c>
      <c r="C358" t="s">
        <v>696</v>
      </c>
      <c r="D358" t="s">
        <v>753</v>
      </c>
      <c r="E358" t="s">
        <v>754</v>
      </c>
      <c r="F358" s="1">
        <v>248949</v>
      </c>
      <c r="G358" s="1">
        <v>162691</v>
      </c>
      <c r="H358" s="1">
        <v>162683</v>
      </c>
      <c r="I358" s="5">
        <f>Table1[[#This Row],[ Verified Ballot Papers ]]/Table1[[#This Row],[ Electorate ]]</f>
        <v>0.65347922666891611</v>
      </c>
      <c r="J358" s="1">
        <v>162683</v>
      </c>
      <c r="K358" s="1">
        <v>162592</v>
      </c>
      <c r="L358" s="1">
        <v>102568</v>
      </c>
      <c r="M358" s="1">
        <v>60024</v>
      </c>
      <c r="N358">
        <v>91</v>
      </c>
      <c r="O358">
        <v>0</v>
      </c>
      <c r="P358">
        <v>30</v>
      </c>
      <c r="Q358">
        <v>1</v>
      </c>
      <c r="R358">
        <v>60</v>
      </c>
      <c r="S358" s="5">
        <f>Table1[[#This Row],[ Remain ]]/Table1[[#This Row],[ Valid Votes ]]</f>
        <v>0.63083054516827397</v>
      </c>
      <c r="T358" s="5">
        <f>Table1[[#This Row],[ Leave ]]/Table1[[#This Row],[ Valid Votes ]]</f>
        <v>0.36916945483172603</v>
      </c>
      <c r="U358" s="5">
        <f>Table1[[#This Row],[ Rejected Ballots ]]/Table1[[#This Row],[ Votes Cast ]]</f>
        <v>5.5937006325184561E-4</v>
      </c>
      <c r="V358" t="str">
        <f>IF(Table1[[#This Row],[Percent Leave]]&gt;Table1[[#This Row],[Percent Remain]],"Leave", "Remain")</f>
        <v>Remain</v>
      </c>
      <c r="W358">
        <v>55.604529999999997</v>
      </c>
      <c r="X358">
        <v>-3.8327200000000001</v>
      </c>
      <c r="Y358" s="1">
        <f>_xlfn.XLOOKUP(Table1[[#This Row],[Area]],Table2[Area],Table2[All Residents])</f>
        <v>313800</v>
      </c>
    </row>
    <row r="359" spans="1:25" hidden="1" x14ac:dyDescent="0.45">
      <c r="A359">
        <v>358</v>
      </c>
      <c r="B359" t="s">
        <v>695</v>
      </c>
      <c r="C359" t="s">
        <v>696</v>
      </c>
      <c r="D359" t="s">
        <v>755</v>
      </c>
      <c r="E359" t="s">
        <v>756</v>
      </c>
      <c r="F359" s="1">
        <v>66100</v>
      </c>
      <c r="G359" s="1">
        <v>48931</v>
      </c>
      <c r="H359" s="1">
        <v>48931</v>
      </c>
      <c r="I359" s="5">
        <f>Table1[[#This Row],[ Verified Ballot Papers ]]/Table1[[#This Row],[ Electorate ]]</f>
        <v>0.74025718608169444</v>
      </c>
      <c r="J359" s="1">
        <v>48931</v>
      </c>
      <c r="K359" s="1">
        <v>48899</v>
      </c>
      <c r="L359" s="1">
        <v>33112</v>
      </c>
      <c r="M359" s="1">
        <v>15787</v>
      </c>
      <c r="N359">
        <v>32</v>
      </c>
      <c r="O359">
        <v>0</v>
      </c>
      <c r="P359">
        <v>11</v>
      </c>
      <c r="Q359">
        <v>1</v>
      </c>
      <c r="R359">
        <v>20</v>
      </c>
      <c r="S359" s="5">
        <f>Table1[[#This Row],[ Remain ]]/Table1[[#This Row],[ Valid Votes ]]</f>
        <v>0.67715086198081764</v>
      </c>
      <c r="T359" s="5">
        <f>Table1[[#This Row],[ Leave ]]/Table1[[#This Row],[ Valid Votes ]]</f>
        <v>0.32284913801918241</v>
      </c>
      <c r="U359" s="5">
        <f>Table1[[#This Row],[ Rejected Ballots ]]/Table1[[#This Row],[ Votes Cast ]]</f>
        <v>6.5398213811285275E-4</v>
      </c>
      <c r="V359" t="str">
        <f>IF(Table1[[#This Row],[Percent Leave]]&gt;Table1[[#This Row],[Percent Remain]],"Leave", "Remain")</f>
        <v>Remain</v>
      </c>
      <c r="W359">
        <v>56.249530999999998</v>
      </c>
      <c r="X359">
        <v>-4.3259501</v>
      </c>
      <c r="Y359" s="1">
        <f>_xlfn.XLOOKUP(Table1[[#This Row],[Area]],Table2[Area],Table2[All Residents])</f>
        <v>90200</v>
      </c>
    </row>
    <row r="360" spans="1:25" hidden="1" x14ac:dyDescent="0.45">
      <c r="A360">
        <v>359</v>
      </c>
      <c r="B360" t="s">
        <v>695</v>
      </c>
      <c r="C360" t="s">
        <v>696</v>
      </c>
      <c r="D360" t="s">
        <v>757</v>
      </c>
      <c r="E360" t="s">
        <v>758</v>
      </c>
      <c r="F360" s="1">
        <v>130925</v>
      </c>
      <c r="G360" s="1">
        <v>88556</v>
      </c>
      <c r="H360" s="1">
        <v>88556</v>
      </c>
      <c r="I360" s="5">
        <f>Table1[[#This Row],[ Verified Ballot Papers ]]/Table1[[#This Row],[ Electorate ]]</f>
        <v>0.67638724460569033</v>
      </c>
      <c r="J360" s="1">
        <v>88556</v>
      </c>
      <c r="K360" s="1">
        <v>88508</v>
      </c>
      <c r="L360" s="1">
        <v>51560</v>
      </c>
      <c r="M360" s="1">
        <v>36948</v>
      </c>
      <c r="N360">
        <v>48</v>
      </c>
      <c r="O360">
        <v>0</v>
      </c>
      <c r="P360">
        <v>22</v>
      </c>
      <c r="Q360">
        <v>2</v>
      </c>
      <c r="R360">
        <v>24</v>
      </c>
      <c r="S360" s="5">
        <f>Table1[[#This Row],[ Remain ]]/Table1[[#This Row],[ Valid Votes ]]</f>
        <v>0.58254621051204414</v>
      </c>
      <c r="T360" s="5">
        <f>Table1[[#This Row],[ Leave ]]/Table1[[#This Row],[ Valid Votes ]]</f>
        <v>0.41745378948795592</v>
      </c>
      <c r="U360" s="5">
        <f>Table1[[#This Row],[ Rejected Ballots ]]/Table1[[#This Row],[ Votes Cast ]]</f>
        <v>5.4202990198292604E-4</v>
      </c>
      <c r="V360" t="str">
        <f>IF(Table1[[#This Row],[Percent Leave]]&gt;Table1[[#This Row],[Percent Remain]],"Leave", "Remain")</f>
        <v>Remain</v>
      </c>
      <c r="W360">
        <v>55.8992</v>
      </c>
      <c r="X360">
        <v>-3.6090901</v>
      </c>
      <c r="Y360" s="1">
        <f>_xlfn.XLOOKUP(Table1[[#This Row],[Area]],Table2[Area],Table2[All Residents])</f>
        <v>175100</v>
      </c>
    </row>
    <row r="361" spans="1:25" hidden="1" x14ac:dyDescent="0.45">
      <c r="A361">
        <v>360</v>
      </c>
      <c r="B361" t="s">
        <v>695</v>
      </c>
      <c r="C361" t="s">
        <v>696</v>
      </c>
      <c r="D361" t="s">
        <v>759</v>
      </c>
      <c r="E361" t="s">
        <v>760</v>
      </c>
      <c r="F361" s="1">
        <v>21259</v>
      </c>
      <c r="G361" s="1">
        <v>14919</v>
      </c>
      <c r="H361" s="1">
        <v>14919</v>
      </c>
      <c r="I361" s="5">
        <f>Table1[[#This Row],[ Verified Ballot Papers ]]/Table1[[#This Row],[ Electorate ]]</f>
        <v>0.70177336657415679</v>
      </c>
      <c r="J361" s="1">
        <v>14919</v>
      </c>
      <c r="K361" s="1">
        <v>14903</v>
      </c>
      <c r="L361" s="1">
        <v>8232</v>
      </c>
      <c r="M361" s="1">
        <v>6671</v>
      </c>
      <c r="N361">
        <v>16</v>
      </c>
      <c r="O361">
        <v>0</v>
      </c>
      <c r="P361">
        <v>3</v>
      </c>
      <c r="Q361">
        <v>0</v>
      </c>
      <c r="R361">
        <v>13</v>
      </c>
      <c r="S361" s="5">
        <f>Table1[[#This Row],[ Remain ]]/Table1[[#This Row],[ Valid Votes ]]</f>
        <v>0.55237200563644906</v>
      </c>
      <c r="T361" s="5">
        <f>Table1[[#This Row],[ Leave ]]/Table1[[#This Row],[ Valid Votes ]]</f>
        <v>0.44762799436355094</v>
      </c>
      <c r="U361" s="5">
        <f>Table1[[#This Row],[ Rejected Ballots ]]/Table1[[#This Row],[ Votes Cast ]]</f>
        <v>1.0724579395401837E-3</v>
      </c>
      <c r="V361" t="str">
        <f>IF(Table1[[#This Row],[Percent Leave]]&gt;Table1[[#This Row],[Percent Remain]],"Leave", "Remain")</f>
        <v>Remain</v>
      </c>
      <c r="W361">
        <v>58.199379</v>
      </c>
      <c r="X361">
        <v>-6.6572199000000003</v>
      </c>
      <c r="Y361" s="1">
        <f>_xlfn.XLOOKUP(Table1[[#This Row],[Area]],Table2[Area],Table2[All Residents])</f>
        <v>27700</v>
      </c>
    </row>
    <row r="362" spans="1:25" hidden="1" x14ac:dyDescent="0.45">
      <c r="A362">
        <v>361</v>
      </c>
      <c r="B362" t="s">
        <v>761</v>
      </c>
      <c r="C362" t="s">
        <v>762</v>
      </c>
      <c r="D362" t="s">
        <v>763</v>
      </c>
      <c r="E362" t="s">
        <v>764</v>
      </c>
      <c r="F362" s="1">
        <v>51445</v>
      </c>
      <c r="G362" s="1">
        <v>37980</v>
      </c>
      <c r="H362" s="1">
        <v>37981</v>
      </c>
      <c r="I362" s="5">
        <f>Table1[[#This Row],[ Verified Ballot Papers ]]/Table1[[#This Row],[ Electorate ]]</f>
        <v>0.73828360384877056</v>
      </c>
      <c r="J362" s="1">
        <v>37978</v>
      </c>
      <c r="K362" s="1">
        <v>37951</v>
      </c>
      <c r="L362" s="1">
        <v>18618</v>
      </c>
      <c r="M362" s="1">
        <v>19333</v>
      </c>
      <c r="N362">
        <v>27</v>
      </c>
      <c r="O362">
        <v>0</v>
      </c>
      <c r="P362">
        <v>11</v>
      </c>
      <c r="Q362">
        <v>0</v>
      </c>
      <c r="R362">
        <v>16</v>
      </c>
      <c r="S362" s="5">
        <f>Table1[[#This Row],[ Remain ]]/Table1[[#This Row],[ Valid Votes ]]</f>
        <v>0.49057995836736845</v>
      </c>
      <c r="T362" s="5">
        <f>Table1[[#This Row],[ Leave ]]/Table1[[#This Row],[ Valid Votes ]]</f>
        <v>0.50942004163263155</v>
      </c>
      <c r="U362" s="5">
        <f>Table1[[#This Row],[ Rejected Ballots ]]/Table1[[#This Row],[ Votes Cast ]]</f>
        <v>7.1093791142240242E-4</v>
      </c>
      <c r="V362" t="str">
        <f>IF(Table1[[#This Row],[Percent Leave]]&gt;Table1[[#This Row],[Percent Remain]],"Leave", "Remain")</f>
        <v>Leave</v>
      </c>
      <c r="W362">
        <v>53.279308</v>
      </c>
      <c r="X362">
        <v>-4.3229799</v>
      </c>
      <c r="Y362" s="1">
        <f>_xlfn.XLOOKUP(Table1[[#This Row],[Area]],Table2[Area],Table2[All Residents])</f>
        <v>69751</v>
      </c>
    </row>
    <row r="363" spans="1:25" hidden="1" x14ac:dyDescent="0.45">
      <c r="A363">
        <v>362</v>
      </c>
      <c r="B363" t="s">
        <v>761</v>
      </c>
      <c r="C363" t="s">
        <v>762</v>
      </c>
      <c r="D363" t="s">
        <v>765</v>
      </c>
      <c r="E363" t="s">
        <v>766</v>
      </c>
      <c r="F363" s="1">
        <v>84575</v>
      </c>
      <c r="G363" s="1">
        <v>61245</v>
      </c>
      <c r="H363" s="1">
        <v>61245</v>
      </c>
      <c r="I363" s="5">
        <f>Table1[[#This Row],[ Verified Ballot Papers ]]/Table1[[#This Row],[ Electorate ]]</f>
        <v>0.7241501625775939</v>
      </c>
      <c r="J363" s="1">
        <v>61245</v>
      </c>
      <c r="K363" s="1">
        <v>61182</v>
      </c>
      <c r="L363" s="1">
        <v>35517</v>
      </c>
      <c r="M363" s="1">
        <v>25665</v>
      </c>
      <c r="N363">
        <v>63</v>
      </c>
      <c r="O363">
        <v>14</v>
      </c>
      <c r="P363">
        <v>17</v>
      </c>
      <c r="Q363">
        <v>2</v>
      </c>
      <c r="R363">
        <v>30</v>
      </c>
      <c r="S363" s="5">
        <f>Table1[[#This Row],[ Remain ]]/Table1[[#This Row],[ Valid Votes ]]</f>
        <v>0.58051387663038145</v>
      </c>
      <c r="T363" s="5">
        <f>Table1[[#This Row],[ Leave ]]/Table1[[#This Row],[ Valid Votes ]]</f>
        <v>0.41948612336961849</v>
      </c>
      <c r="U363" s="5">
        <f>Table1[[#This Row],[ Rejected Ballots ]]/Table1[[#This Row],[ Votes Cast ]]</f>
        <v>1.0286554004408524E-3</v>
      </c>
      <c r="V363" t="str">
        <f>IF(Table1[[#This Row],[Percent Leave]]&gt;Table1[[#This Row],[Percent Remain]],"Leave", "Remain")</f>
        <v>Remain</v>
      </c>
      <c r="W363">
        <v>52.898829999999997</v>
      </c>
      <c r="X363">
        <v>-3.7771498999999999</v>
      </c>
      <c r="Y363" s="1">
        <f>_xlfn.XLOOKUP(Table1[[#This Row],[Area]],Table2[Area],Table2[All Residents])</f>
        <v>121874</v>
      </c>
    </row>
    <row r="364" spans="1:25" hidden="1" x14ac:dyDescent="0.45">
      <c r="A364">
        <v>363</v>
      </c>
      <c r="B364" t="s">
        <v>761</v>
      </c>
      <c r="C364" t="s">
        <v>762</v>
      </c>
      <c r="D364" t="s">
        <v>767</v>
      </c>
      <c r="E364" t="s">
        <v>768</v>
      </c>
      <c r="F364" s="1">
        <v>91368</v>
      </c>
      <c r="G364" s="1">
        <v>65558</v>
      </c>
      <c r="H364" s="1">
        <v>65558</v>
      </c>
      <c r="I364" s="5">
        <f>Table1[[#This Row],[ Verified Ballot Papers ]]/Table1[[#This Row],[ Electorate ]]</f>
        <v>0.71751597933631028</v>
      </c>
      <c r="J364" s="1">
        <v>65554</v>
      </c>
      <c r="K364" s="1">
        <v>65504</v>
      </c>
      <c r="L364" s="1">
        <v>30147</v>
      </c>
      <c r="M364" s="1">
        <v>35357</v>
      </c>
      <c r="N364">
        <v>50</v>
      </c>
      <c r="O364">
        <v>0</v>
      </c>
      <c r="P364">
        <v>19</v>
      </c>
      <c r="Q364">
        <v>0</v>
      </c>
      <c r="R364">
        <v>31</v>
      </c>
      <c r="S364" s="5">
        <f>Table1[[#This Row],[ Remain ]]/Table1[[#This Row],[ Valid Votes ]]</f>
        <v>0.46023143624816804</v>
      </c>
      <c r="T364" s="5">
        <f>Table1[[#This Row],[ Leave ]]/Table1[[#This Row],[ Valid Votes ]]</f>
        <v>0.53976856375183191</v>
      </c>
      <c r="U364" s="5">
        <f>Table1[[#This Row],[ Rejected Ballots ]]/Table1[[#This Row],[ Votes Cast ]]</f>
        <v>7.6272996308386978E-4</v>
      </c>
      <c r="V364" t="str">
        <f>IF(Table1[[#This Row],[Percent Leave]]&gt;Table1[[#This Row],[Percent Remain]],"Leave", "Remain")</f>
        <v>Leave</v>
      </c>
      <c r="W364">
        <v>53.147387999999999</v>
      </c>
      <c r="X364">
        <v>-3.7464599999999999</v>
      </c>
      <c r="Y364" s="1">
        <f>_xlfn.XLOOKUP(Table1[[#This Row],[Area]],Table2[Area],Table2[All Residents])</f>
        <v>115228</v>
      </c>
    </row>
    <row r="365" spans="1:25" hidden="1" x14ac:dyDescent="0.45">
      <c r="A365">
        <v>364</v>
      </c>
      <c r="B365" t="s">
        <v>761</v>
      </c>
      <c r="C365" t="s">
        <v>762</v>
      </c>
      <c r="D365" t="s">
        <v>769</v>
      </c>
      <c r="E365" t="s">
        <v>770</v>
      </c>
      <c r="F365" s="1">
        <v>75362</v>
      </c>
      <c r="G365" s="1">
        <v>52108</v>
      </c>
      <c r="H365" s="1">
        <v>52108</v>
      </c>
      <c r="I365" s="5">
        <f>Table1[[#This Row],[ Verified Ballot Papers ]]/Table1[[#This Row],[ Electorate ]]</f>
        <v>0.69143600222924018</v>
      </c>
      <c r="J365" s="1">
        <v>52108</v>
      </c>
      <c r="K365" s="1">
        <v>52072</v>
      </c>
      <c r="L365" s="1">
        <v>23955</v>
      </c>
      <c r="M365" s="1">
        <v>28117</v>
      </c>
      <c r="N365">
        <v>36</v>
      </c>
      <c r="O365">
        <v>1</v>
      </c>
      <c r="P365">
        <v>10</v>
      </c>
      <c r="Q365">
        <v>0</v>
      </c>
      <c r="R365">
        <v>25</v>
      </c>
      <c r="S365" s="5">
        <f>Table1[[#This Row],[ Remain ]]/Table1[[#This Row],[ Valid Votes ]]</f>
        <v>0.46003610385619909</v>
      </c>
      <c r="T365" s="5">
        <f>Table1[[#This Row],[ Leave ]]/Table1[[#This Row],[ Valid Votes ]]</f>
        <v>0.53996389614380091</v>
      </c>
      <c r="U365" s="5">
        <f>Table1[[#This Row],[ Rejected Ballots ]]/Table1[[#This Row],[ Votes Cast ]]</f>
        <v>6.9087280264066935E-4</v>
      </c>
      <c r="V365" t="str">
        <f>IF(Table1[[#This Row],[Percent Leave]]&gt;Table1[[#This Row],[Percent Remain]],"Leave", "Remain")</f>
        <v>Leave</v>
      </c>
      <c r="W365">
        <v>53.088329000000002</v>
      </c>
      <c r="X365">
        <v>-3.34761</v>
      </c>
      <c r="Y365" s="1">
        <f>_xlfn.XLOOKUP(Table1[[#This Row],[Area]],Table2[Area],Table2[All Residents])</f>
        <v>93734</v>
      </c>
    </row>
    <row r="366" spans="1:25" hidden="1" x14ac:dyDescent="0.45">
      <c r="A366">
        <v>365</v>
      </c>
      <c r="B366" t="s">
        <v>761</v>
      </c>
      <c r="C366" t="s">
        <v>762</v>
      </c>
      <c r="D366" t="s">
        <v>771</v>
      </c>
      <c r="E366" t="s">
        <v>772</v>
      </c>
      <c r="F366" s="1">
        <v>115964</v>
      </c>
      <c r="G366" s="1">
        <v>86857</v>
      </c>
      <c r="H366" s="1">
        <v>86854</v>
      </c>
      <c r="I366" s="5">
        <f>Table1[[#This Row],[ Verified Ballot Papers ]]/Table1[[#This Row],[ Electorate ]]</f>
        <v>0.74897381946121211</v>
      </c>
      <c r="J366" s="1">
        <v>86854</v>
      </c>
      <c r="K366" s="1">
        <v>86797</v>
      </c>
      <c r="L366" s="1">
        <v>37867</v>
      </c>
      <c r="M366" s="1">
        <v>48930</v>
      </c>
      <c r="N366">
        <v>57</v>
      </c>
      <c r="O366">
        <v>0</v>
      </c>
      <c r="P366">
        <v>22</v>
      </c>
      <c r="Q366">
        <v>2</v>
      </c>
      <c r="R366">
        <v>33</v>
      </c>
      <c r="S366" s="5">
        <f>Table1[[#This Row],[ Remain ]]/Table1[[#This Row],[ Valid Votes ]]</f>
        <v>0.43627083885387746</v>
      </c>
      <c r="T366" s="5">
        <f>Table1[[#This Row],[ Leave ]]/Table1[[#This Row],[ Valid Votes ]]</f>
        <v>0.56372916114612259</v>
      </c>
      <c r="U366" s="5">
        <f>Table1[[#This Row],[ Rejected Ballots ]]/Table1[[#This Row],[ Votes Cast ]]</f>
        <v>6.5627374674741517E-4</v>
      </c>
      <c r="V366" t="str">
        <f>IF(Table1[[#This Row],[Percent Leave]]&gt;Table1[[#This Row],[Percent Remain]],"Leave", "Remain")</f>
        <v>Leave</v>
      </c>
      <c r="W366">
        <v>53.214709999999997</v>
      </c>
      <c r="X366">
        <v>-3.1824800999999998</v>
      </c>
      <c r="Y366" s="1">
        <f>_xlfn.XLOOKUP(Table1[[#This Row],[Area]],Table2[Area],Table2[All Residents])</f>
        <v>152506</v>
      </c>
    </row>
    <row r="367" spans="1:25" hidden="1" x14ac:dyDescent="0.45">
      <c r="A367">
        <v>366</v>
      </c>
      <c r="B367" t="s">
        <v>761</v>
      </c>
      <c r="C367" t="s">
        <v>762</v>
      </c>
      <c r="D367" t="s">
        <v>773</v>
      </c>
      <c r="E367" t="s">
        <v>774</v>
      </c>
      <c r="F367" s="1">
        <v>98384</v>
      </c>
      <c r="G367" s="1">
        <v>70409</v>
      </c>
      <c r="H367" s="1">
        <v>70407</v>
      </c>
      <c r="I367" s="5">
        <f>Table1[[#This Row],[ Verified Ballot Papers ]]/Table1[[#This Row],[ Electorate ]]</f>
        <v>0.71563465604163279</v>
      </c>
      <c r="J367" s="1">
        <v>70407</v>
      </c>
      <c r="K367" s="1">
        <v>70366</v>
      </c>
      <c r="L367" s="1">
        <v>28822</v>
      </c>
      <c r="M367" s="1">
        <v>41544</v>
      </c>
      <c r="N367">
        <v>41</v>
      </c>
      <c r="O367">
        <v>0</v>
      </c>
      <c r="P367">
        <v>17</v>
      </c>
      <c r="Q367">
        <v>0</v>
      </c>
      <c r="R367">
        <v>24</v>
      </c>
      <c r="S367" s="5">
        <f>Table1[[#This Row],[ Remain ]]/Table1[[#This Row],[ Valid Votes ]]</f>
        <v>0.40960122786573061</v>
      </c>
      <c r="T367" s="5">
        <f>Table1[[#This Row],[ Leave ]]/Table1[[#This Row],[ Valid Votes ]]</f>
        <v>0.59039877213426939</v>
      </c>
      <c r="U367" s="5">
        <f>Table1[[#This Row],[ Rejected Ballots ]]/Table1[[#This Row],[ Votes Cast ]]</f>
        <v>5.8232846165864188E-4</v>
      </c>
      <c r="V367" t="str">
        <f>IF(Table1[[#This Row],[Percent Leave]]&gt;Table1[[#This Row],[Percent Remain]],"Leave", "Remain")</f>
        <v>Leave</v>
      </c>
      <c r="W367">
        <v>53.001671000000002</v>
      </c>
      <c r="X367">
        <v>-2.9920298999999999</v>
      </c>
      <c r="Y367" s="1">
        <f>_xlfn.XLOOKUP(Table1[[#This Row],[Area]],Table2[Area],Table2[All Residents])</f>
        <v>134844</v>
      </c>
    </row>
    <row r="368" spans="1:25" hidden="1" x14ac:dyDescent="0.45">
      <c r="A368">
        <v>367</v>
      </c>
      <c r="B368" t="s">
        <v>761</v>
      </c>
      <c r="C368" t="s">
        <v>762</v>
      </c>
      <c r="D368" t="s">
        <v>775</v>
      </c>
      <c r="E368" t="s">
        <v>776</v>
      </c>
      <c r="F368" s="1">
        <v>103270</v>
      </c>
      <c r="G368" s="1">
        <v>79519</v>
      </c>
      <c r="H368" s="1">
        <v>79517</v>
      </c>
      <c r="I368" s="5">
        <f>Table1[[#This Row],[ Verified Ballot Papers ]]/Table1[[#This Row],[ Electorate ]]</f>
        <v>0.76999128498111746</v>
      </c>
      <c r="J368" s="1">
        <v>79515</v>
      </c>
      <c r="K368" s="1">
        <v>79469</v>
      </c>
      <c r="L368" s="1">
        <v>36762</v>
      </c>
      <c r="M368" s="1">
        <v>42707</v>
      </c>
      <c r="N368">
        <v>46</v>
      </c>
      <c r="O368">
        <v>0</v>
      </c>
      <c r="P368">
        <v>17</v>
      </c>
      <c r="Q368">
        <v>7</v>
      </c>
      <c r="R368">
        <v>22</v>
      </c>
      <c r="S368" s="5">
        <f>Table1[[#This Row],[ Remain ]]/Table1[[#This Row],[ Valid Votes ]]</f>
        <v>0.46259547748178537</v>
      </c>
      <c r="T368" s="5">
        <f>Table1[[#This Row],[ Leave ]]/Table1[[#This Row],[ Valid Votes ]]</f>
        <v>0.53740452251821469</v>
      </c>
      <c r="U368" s="5">
        <f>Table1[[#This Row],[ Rejected Ballots ]]/Table1[[#This Row],[ Votes Cast ]]</f>
        <v>5.7850719989939003E-4</v>
      </c>
      <c r="V368" t="str">
        <f>IF(Table1[[#This Row],[Percent Leave]]&gt;Table1[[#This Row],[Percent Remain]],"Leave", "Remain")</f>
        <v>Leave</v>
      </c>
      <c r="W368">
        <v>52.348640000000003</v>
      </c>
      <c r="X368">
        <v>-3.4353099</v>
      </c>
      <c r="Y368" s="1">
        <f>_xlfn.XLOOKUP(Table1[[#This Row],[Area]],Table2[Area],Table2[All Residents])</f>
        <v>132976</v>
      </c>
    </row>
    <row r="369" spans="1:25" hidden="1" x14ac:dyDescent="0.45">
      <c r="A369">
        <v>368</v>
      </c>
      <c r="B369" t="s">
        <v>761</v>
      </c>
      <c r="C369" t="s">
        <v>762</v>
      </c>
      <c r="D369" t="s">
        <v>777</v>
      </c>
      <c r="E369" t="s">
        <v>778</v>
      </c>
      <c r="F369" s="1">
        <v>53400</v>
      </c>
      <c r="G369" s="1">
        <v>39775</v>
      </c>
      <c r="H369" s="1">
        <v>39772</v>
      </c>
      <c r="I369" s="5">
        <f>Table1[[#This Row],[ Verified Ballot Papers ]]/Table1[[#This Row],[ Electorate ]]</f>
        <v>0.74479400749063673</v>
      </c>
      <c r="J369" s="1">
        <v>39772</v>
      </c>
      <c r="K369" s="1">
        <v>39742</v>
      </c>
      <c r="L369" s="1">
        <v>21711</v>
      </c>
      <c r="M369" s="1">
        <v>18031</v>
      </c>
      <c r="N369">
        <v>30</v>
      </c>
      <c r="O369">
        <v>0</v>
      </c>
      <c r="P369">
        <v>8</v>
      </c>
      <c r="Q369">
        <v>1</v>
      </c>
      <c r="R369">
        <v>21</v>
      </c>
      <c r="S369" s="5">
        <f>Table1[[#This Row],[ Remain ]]/Table1[[#This Row],[ Valid Votes ]]</f>
        <v>0.54629862613859392</v>
      </c>
      <c r="T369" s="5">
        <f>Table1[[#This Row],[ Leave ]]/Table1[[#This Row],[ Valid Votes ]]</f>
        <v>0.45370137386140608</v>
      </c>
      <c r="U369" s="5">
        <f>Table1[[#This Row],[ Rejected Ballots ]]/Table1[[#This Row],[ Votes Cast ]]</f>
        <v>7.5429950719098859E-4</v>
      </c>
      <c r="V369" t="str">
        <f>IF(Table1[[#This Row],[Percent Leave]]&gt;Table1[[#This Row],[Percent Remain]],"Leave", "Remain")</f>
        <v>Remain</v>
      </c>
      <c r="W369">
        <v>52.297950999999998</v>
      </c>
      <c r="X369">
        <v>-3.9499300000000002</v>
      </c>
      <c r="Y369" s="1">
        <f>_xlfn.XLOOKUP(Table1[[#This Row],[Area]],Table2[Area],Table2[All Residents])</f>
        <v>75922</v>
      </c>
    </row>
    <row r="370" spans="1:25" hidden="1" x14ac:dyDescent="0.45">
      <c r="A370">
        <v>369</v>
      </c>
      <c r="B370" t="s">
        <v>761</v>
      </c>
      <c r="C370" t="s">
        <v>762</v>
      </c>
      <c r="D370" t="s">
        <v>779</v>
      </c>
      <c r="E370" t="s">
        <v>780</v>
      </c>
      <c r="F370" s="1">
        <v>92155</v>
      </c>
      <c r="G370" s="1">
        <v>68556</v>
      </c>
      <c r="H370" s="1">
        <v>68555</v>
      </c>
      <c r="I370" s="5">
        <f>Table1[[#This Row],[ Verified Ballot Papers ]]/Table1[[#This Row],[ Electorate ]]</f>
        <v>0.74390971732407363</v>
      </c>
      <c r="J370" s="1">
        <v>68555</v>
      </c>
      <c r="K370" s="1">
        <v>68522</v>
      </c>
      <c r="L370" s="1">
        <v>29367</v>
      </c>
      <c r="M370" s="1">
        <v>39155</v>
      </c>
      <c r="N370">
        <v>33</v>
      </c>
      <c r="O370">
        <v>0</v>
      </c>
      <c r="P370">
        <v>15</v>
      </c>
      <c r="Q370">
        <v>0</v>
      </c>
      <c r="R370">
        <v>18</v>
      </c>
      <c r="S370" s="5">
        <f>Table1[[#This Row],[ Remain ]]/Table1[[#This Row],[ Valid Votes ]]</f>
        <v>0.42857768307988675</v>
      </c>
      <c r="T370" s="5">
        <f>Table1[[#This Row],[ Leave ]]/Table1[[#This Row],[ Valid Votes ]]</f>
        <v>0.57142231692011325</v>
      </c>
      <c r="U370" s="5">
        <f>Table1[[#This Row],[ Rejected Ballots ]]/Table1[[#This Row],[ Votes Cast ]]</f>
        <v>4.8136532710962003E-4</v>
      </c>
      <c r="V370" t="str">
        <f>IF(Table1[[#This Row],[Percent Leave]]&gt;Table1[[#This Row],[Percent Remain]],"Leave", "Remain")</f>
        <v>Leave</v>
      </c>
      <c r="W370">
        <v>51.855128999999998</v>
      </c>
      <c r="X370">
        <v>-4.9081802000000003</v>
      </c>
      <c r="Y370" s="1">
        <f>_xlfn.XLOOKUP(Table1[[#This Row],[Area]],Table2[Area],Table2[All Residents])</f>
        <v>122439</v>
      </c>
    </row>
    <row r="371" spans="1:25" hidden="1" x14ac:dyDescent="0.45">
      <c r="A371">
        <v>370</v>
      </c>
      <c r="B371" t="s">
        <v>761</v>
      </c>
      <c r="C371" t="s">
        <v>762</v>
      </c>
      <c r="D371" t="s">
        <v>781</v>
      </c>
      <c r="E371" t="s">
        <v>782</v>
      </c>
      <c r="F371" s="1">
        <v>139227</v>
      </c>
      <c r="G371" s="1">
        <v>103129</v>
      </c>
      <c r="H371" s="1">
        <v>103126</v>
      </c>
      <c r="I371" s="5">
        <f>Table1[[#This Row],[ Verified Ballot Papers ]]/Table1[[#This Row],[ Electorate ]]</f>
        <v>0.74070403010910235</v>
      </c>
      <c r="J371" s="1">
        <v>103126</v>
      </c>
      <c r="K371" s="1">
        <v>103035</v>
      </c>
      <c r="L371" s="1">
        <v>47654</v>
      </c>
      <c r="M371" s="1">
        <v>55381</v>
      </c>
      <c r="N371">
        <v>91</v>
      </c>
      <c r="O371">
        <v>0</v>
      </c>
      <c r="P371">
        <v>30</v>
      </c>
      <c r="Q371">
        <v>0</v>
      </c>
      <c r="R371">
        <v>61</v>
      </c>
      <c r="S371" s="5">
        <f>Table1[[#This Row],[ Remain ]]/Table1[[#This Row],[ Valid Votes ]]</f>
        <v>0.46250303294996847</v>
      </c>
      <c r="T371" s="5">
        <f>Table1[[#This Row],[ Leave ]]/Table1[[#This Row],[ Valid Votes ]]</f>
        <v>0.53749696705003158</v>
      </c>
      <c r="U371" s="5">
        <f>Table1[[#This Row],[ Rejected Ballots ]]/Table1[[#This Row],[ Votes Cast ]]</f>
        <v>8.8241568566607839E-4</v>
      </c>
      <c r="V371" t="str">
        <f>IF(Table1[[#This Row],[Percent Leave]]&gt;Table1[[#This Row],[Percent Remain]],"Leave", "Remain")</f>
        <v>Leave</v>
      </c>
      <c r="W371">
        <v>51.894950999999999</v>
      </c>
      <c r="X371">
        <v>-4.2111001000000003</v>
      </c>
      <c r="Y371" s="1">
        <f>_xlfn.XLOOKUP(Table1[[#This Row],[Area]],Table2[Area],Table2[All Residents])</f>
        <v>183777</v>
      </c>
    </row>
    <row r="372" spans="1:25" hidden="1" x14ac:dyDescent="0.45">
      <c r="A372">
        <v>371</v>
      </c>
      <c r="B372" t="s">
        <v>761</v>
      </c>
      <c r="C372" t="s">
        <v>762</v>
      </c>
      <c r="D372" t="s">
        <v>783</v>
      </c>
      <c r="E372" t="s">
        <v>784</v>
      </c>
      <c r="F372" s="1">
        <v>172941</v>
      </c>
      <c r="G372" s="1">
        <v>120371</v>
      </c>
      <c r="H372" s="1">
        <v>120362</v>
      </c>
      <c r="I372" s="5">
        <f>Table1[[#This Row],[ Verified Ballot Papers ]]/Table1[[#This Row],[ Electorate ]]</f>
        <v>0.69597145847427733</v>
      </c>
      <c r="J372" s="1">
        <v>120362</v>
      </c>
      <c r="K372" s="1">
        <v>120243</v>
      </c>
      <c r="L372" s="1">
        <v>58307</v>
      </c>
      <c r="M372" s="1">
        <v>61936</v>
      </c>
      <c r="N372">
        <v>119</v>
      </c>
      <c r="O372">
        <v>0</v>
      </c>
      <c r="P372">
        <v>52</v>
      </c>
      <c r="Q372">
        <v>3</v>
      </c>
      <c r="R372">
        <v>64</v>
      </c>
      <c r="S372" s="5">
        <f>Table1[[#This Row],[ Remain ]]/Table1[[#This Row],[ Valid Votes ]]</f>
        <v>0.48490972447460556</v>
      </c>
      <c r="T372" s="5">
        <f>Table1[[#This Row],[ Leave ]]/Table1[[#This Row],[ Valid Votes ]]</f>
        <v>0.51509027552539444</v>
      </c>
      <c r="U372" s="5">
        <f>Table1[[#This Row],[ Rejected Ballots ]]/Table1[[#This Row],[ Votes Cast ]]</f>
        <v>9.8868413618916269E-4</v>
      </c>
      <c r="V372" t="str">
        <f>IF(Table1[[#This Row],[Percent Leave]]&gt;Table1[[#This Row],[Percent Remain]],"Leave", "Remain")</f>
        <v>Leave</v>
      </c>
      <c r="W372">
        <v>51.658057999999997</v>
      </c>
      <c r="X372">
        <v>-3.9672301000000001</v>
      </c>
      <c r="Y372" s="1">
        <f>_xlfn.XLOOKUP(Table1[[#This Row],[Area]],Table2[Area],Table2[All Residents])</f>
        <v>239023</v>
      </c>
    </row>
    <row r="373" spans="1:25" hidden="1" x14ac:dyDescent="0.45">
      <c r="A373">
        <v>372</v>
      </c>
      <c r="B373" t="s">
        <v>761</v>
      </c>
      <c r="C373" t="s">
        <v>762</v>
      </c>
      <c r="D373" t="s">
        <v>785</v>
      </c>
      <c r="E373" t="s">
        <v>786</v>
      </c>
      <c r="F373" s="1">
        <v>105766</v>
      </c>
      <c r="G373" s="1">
        <v>75695</v>
      </c>
      <c r="H373" s="1">
        <v>75694</v>
      </c>
      <c r="I373" s="5">
        <f>Table1[[#This Row],[ Verified Ballot Papers ]]/Table1[[#This Row],[ Electorate ]]</f>
        <v>0.71567422423084925</v>
      </c>
      <c r="J373" s="1">
        <v>75694</v>
      </c>
      <c r="K373" s="1">
        <v>75652</v>
      </c>
      <c r="L373" s="1">
        <v>32651</v>
      </c>
      <c r="M373" s="1">
        <v>43001</v>
      </c>
      <c r="N373">
        <v>42</v>
      </c>
      <c r="O373">
        <v>1</v>
      </c>
      <c r="P373">
        <v>17</v>
      </c>
      <c r="Q373">
        <v>0</v>
      </c>
      <c r="R373">
        <v>24</v>
      </c>
      <c r="S373" s="5">
        <f>Table1[[#This Row],[ Remain ]]/Table1[[#This Row],[ Valid Votes ]]</f>
        <v>0.43159467033257548</v>
      </c>
      <c r="T373" s="5">
        <f>Table1[[#This Row],[ Leave ]]/Table1[[#This Row],[ Valid Votes ]]</f>
        <v>0.56840532966742452</v>
      </c>
      <c r="U373" s="5">
        <f>Table1[[#This Row],[ Rejected Ballots ]]/Table1[[#This Row],[ Votes Cast ]]</f>
        <v>5.5486564324781361E-4</v>
      </c>
      <c r="V373" t="str">
        <f>IF(Table1[[#This Row],[Percent Leave]]&gt;Table1[[#This Row],[Percent Remain]],"Leave", "Remain")</f>
        <v>Leave</v>
      </c>
      <c r="W373">
        <v>51.644500999999998</v>
      </c>
      <c r="X373">
        <v>-3.7463801000000001</v>
      </c>
      <c r="Y373" s="1">
        <f>_xlfn.XLOOKUP(Table1[[#This Row],[Area]],Table2[Area],Table2[All Residents])</f>
        <v>139812</v>
      </c>
    </row>
    <row r="374" spans="1:25" hidden="1" x14ac:dyDescent="0.45">
      <c r="A374">
        <v>373</v>
      </c>
      <c r="B374" t="s">
        <v>761</v>
      </c>
      <c r="C374" t="s">
        <v>762</v>
      </c>
      <c r="D374" t="s">
        <v>787</v>
      </c>
      <c r="E374" t="s">
        <v>788</v>
      </c>
      <c r="F374" s="1">
        <v>104492</v>
      </c>
      <c r="G374" s="1">
        <v>74379</v>
      </c>
      <c r="H374" s="1">
        <v>74380</v>
      </c>
      <c r="I374" s="5">
        <f>Table1[[#This Row],[ Verified Ballot Papers ]]/Table1[[#This Row],[ Electorate ]]</f>
        <v>0.71182482869501973</v>
      </c>
      <c r="J374" s="1">
        <v>74378</v>
      </c>
      <c r="K374" s="1">
        <v>74345</v>
      </c>
      <c r="L374" s="1">
        <v>33723</v>
      </c>
      <c r="M374" s="1">
        <v>40622</v>
      </c>
      <c r="N374">
        <v>33</v>
      </c>
      <c r="O374">
        <v>0</v>
      </c>
      <c r="P374">
        <v>12</v>
      </c>
      <c r="Q374">
        <v>1</v>
      </c>
      <c r="R374">
        <v>20</v>
      </c>
      <c r="S374" s="5">
        <f>Table1[[#This Row],[ Remain ]]/Table1[[#This Row],[ Valid Votes ]]</f>
        <v>0.45360145268679802</v>
      </c>
      <c r="T374" s="5">
        <f>Table1[[#This Row],[ Leave ]]/Table1[[#This Row],[ Valid Votes ]]</f>
        <v>0.54639854731320192</v>
      </c>
      <c r="U374" s="5">
        <f>Table1[[#This Row],[ Rejected Ballots ]]/Table1[[#This Row],[ Votes Cast ]]</f>
        <v>4.4367958267229555E-4</v>
      </c>
      <c r="V374" t="str">
        <f>IF(Table1[[#This Row],[Percent Leave]]&gt;Table1[[#This Row],[Percent Remain]],"Leave", "Remain")</f>
        <v>Leave</v>
      </c>
      <c r="W374">
        <v>51.560600000000001</v>
      </c>
      <c r="X374">
        <v>-3.61375</v>
      </c>
      <c r="Y374" s="1">
        <f>_xlfn.XLOOKUP(Table1[[#This Row],[Area]],Table2[Area],Table2[All Residents])</f>
        <v>139178</v>
      </c>
    </row>
    <row r="375" spans="1:25" hidden="1" x14ac:dyDescent="0.45">
      <c r="A375">
        <v>374</v>
      </c>
      <c r="B375" t="s">
        <v>761</v>
      </c>
      <c r="C375" t="s">
        <v>762</v>
      </c>
      <c r="D375" t="s">
        <v>789</v>
      </c>
      <c r="E375" t="s">
        <v>790</v>
      </c>
      <c r="F375" s="1">
        <v>95011</v>
      </c>
      <c r="G375" s="1">
        <v>72348</v>
      </c>
      <c r="H375" s="1">
        <v>72347</v>
      </c>
      <c r="I375" s="5">
        <f>Table1[[#This Row],[ Verified Ballot Papers ]]/Table1[[#This Row],[ Electorate ]]</f>
        <v>0.76145919946111507</v>
      </c>
      <c r="J375" s="1">
        <v>72348</v>
      </c>
      <c r="K375" s="1">
        <v>72309</v>
      </c>
      <c r="L375" s="1">
        <v>36681</v>
      </c>
      <c r="M375" s="1">
        <v>35628</v>
      </c>
      <c r="N375">
        <v>39</v>
      </c>
      <c r="O375">
        <v>0</v>
      </c>
      <c r="P375">
        <v>12</v>
      </c>
      <c r="Q375">
        <v>0</v>
      </c>
      <c r="R375">
        <v>27</v>
      </c>
      <c r="S375" s="5">
        <f>Table1[[#This Row],[ Remain ]]/Table1[[#This Row],[ Valid Votes ]]</f>
        <v>0.50728125129651913</v>
      </c>
      <c r="T375" s="5">
        <f>Table1[[#This Row],[ Leave ]]/Table1[[#This Row],[ Valid Votes ]]</f>
        <v>0.49271874870348087</v>
      </c>
      <c r="U375" s="5">
        <f>Table1[[#This Row],[ Rejected Ballots ]]/Table1[[#This Row],[ Votes Cast ]]</f>
        <v>5.390612041797976E-4</v>
      </c>
      <c r="V375" t="str">
        <f>IF(Table1[[#This Row],[Percent Leave]]&gt;Table1[[#This Row],[Percent Remain]],"Leave", "Remain")</f>
        <v>Remain</v>
      </c>
      <c r="W375">
        <v>51.448360000000001</v>
      </c>
      <c r="X375">
        <v>-3.3980100000000002</v>
      </c>
      <c r="Y375" s="1">
        <f>_xlfn.XLOOKUP(Table1[[#This Row],[Area]],Table2[Area],Table2[All Residents])</f>
        <v>126336</v>
      </c>
    </row>
    <row r="376" spans="1:25" hidden="1" x14ac:dyDescent="0.45">
      <c r="A376">
        <v>375</v>
      </c>
      <c r="B376" t="s">
        <v>761</v>
      </c>
      <c r="C376" t="s">
        <v>762</v>
      </c>
      <c r="D376" t="s">
        <v>791</v>
      </c>
      <c r="E376" t="s">
        <v>792</v>
      </c>
      <c r="F376" s="1">
        <v>172890</v>
      </c>
      <c r="G376" s="1">
        <v>116645</v>
      </c>
      <c r="H376" s="1">
        <v>116645</v>
      </c>
      <c r="I376" s="5">
        <f>Table1[[#This Row],[ Verified Ballot Papers ]]/Table1[[#This Row],[ Electorate ]]</f>
        <v>0.6746775406327723</v>
      </c>
      <c r="J376" s="1">
        <v>116645</v>
      </c>
      <c r="K376" s="1">
        <v>116563</v>
      </c>
      <c r="L376" s="1">
        <v>53973</v>
      </c>
      <c r="M376" s="1">
        <v>62590</v>
      </c>
      <c r="N376">
        <v>82</v>
      </c>
      <c r="O376">
        <v>0</v>
      </c>
      <c r="P376">
        <v>34</v>
      </c>
      <c r="Q376">
        <v>0</v>
      </c>
      <c r="R376">
        <v>48</v>
      </c>
      <c r="S376" s="5">
        <f>Table1[[#This Row],[ Remain ]]/Table1[[#This Row],[ Valid Votes ]]</f>
        <v>0.46303715587278982</v>
      </c>
      <c r="T376" s="5">
        <f>Table1[[#This Row],[ Leave ]]/Table1[[#This Row],[ Valid Votes ]]</f>
        <v>0.53696284412721018</v>
      </c>
      <c r="U376" s="5">
        <f>Table1[[#This Row],[ Rejected Ballots ]]/Table1[[#This Row],[ Votes Cast ]]</f>
        <v>7.0298769771529003E-4</v>
      </c>
      <c r="V376" t="str">
        <f>IF(Table1[[#This Row],[Percent Leave]]&gt;Table1[[#This Row],[Percent Remain]],"Leave", "Remain")</f>
        <v>Leave</v>
      </c>
      <c r="W376">
        <v>51.621848999999997</v>
      </c>
      <c r="X376">
        <v>-3.4135900000000001</v>
      </c>
      <c r="Y376" s="1">
        <f>_xlfn.XLOOKUP(Table1[[#This Row],[Area]],Table2[Area],Table2[All Residents])</f>
        <v>234410</v>
      </c>
    </row>
    <row r="377" spans="1:25" hidden="1" x14ac:dyDescent="0.45">
      <c r="A377">
        <v>376</v>
      </c>
      <c r="B377" t="s">
        <v>761</v>
      </c>
      <c r="C377" t="s">
        <v>762</v>
      </c>
      <c r="D377" t="s">
        <v>793</v>
      </c>
      <c r="E377" t="s">
        <v>794</v>
      </c>
      <c r="F377" s="1">
        <v>42855</v>
      </c>
      <c r="G377" s="1">
        <v>28881</v>
      </c>
      <c r="H377" s="1">
        <v>28881</v>
      </c>
      <c r="I377" s="5">
        <f>Table1[[#This Row],[ Verified Ballot Papers ]]/Table1[[#This Row],[ Electorate ]]</f>
        <v>0.6739236961848093</v>
      </c>
      <c r="J377" s="1">
        <v>28881</v>
      </c>
      <c r="K377" s="1">
        <v>28865</v>
      </c>
      <c r="L377" s="1">
        <v>12574</v>
      </c>
      <c r="M377" s="1">
        <v>16291</v>
      </c>
      <c r="N377">
        <v>16</v>
      </c>
      <c r="O377">
        <v>0</v>
      </c>
      <c r="P377">
        <v>7</v>
      </c>
      <c r="Q377">
        <v>1</v>
      </c>
      <c r="R377">
        <v>8</v>
      </c>
      <c r="S377" s="5">
        <f>Table1[[#This Row],[ Remain ]]/Table1[[#This Row],[ Valid Votes ]]</f>
        <v>0.43561406547722153</v>
      </c>
      <c r="T377" s="5">
        <f>Table1[[#This Row],[ Leave ]]/Table1[[#This Row],[ Valid Votes ]]</f>
        <v>0.56438593452277841</v>
      </c>
      <c r="U377" s="5">
        <f>Table1[[#This Row],[ Rejected Ballots ]]/Table1[[#This Row],[ Votes Cast ]]</f>
        <v>5.539974377618504E-4</v>
      </c>
      <c r="V377" t="str">
        <f>IF(Table1[[#This Row],[Percent Leave]]&gt;Table1[[#This Row],[Percent Remain]],"Leave", "Remain")</f>
        <v>Leave</v>
      </c>
      <c r="W377">
        <v>51.748581000000001</v>
      </c>
      <c r="X377">
        <v>-3.3642498999999999</v>
      </c>
      <c r="Y377" s="1">
        <f>_xlfn.XLOOKUP(Table1[[#This Row],[Area]],Table2[Area],Table2[All Residents])</f>
        <v>58802</v>
      </c>
    </row>
    <row r="378" spans="1:25" hidden="1" x14ac:dyDescent="0.45">
      <c r="A378">
        <v>377</v>
      </c>
      <c r="B378" t="s">
        <v>761</v>
      </c>
      <c r="C378" t="s">
        <v>762</v>
      </c>
      <c r="D378" t="s">
        <v>795</v>
      </c>
      <c r="E378" t="s">
        <v>796</v>
      </c>
      <c r="F378" s="1">
        <v>130801</v>
      </c>
      <c r="G378" s="1">
        <v>92531</v>
      </c>
      <c r="H378" s="1">
        <v>92528</v>
      </c>
      <c r="I378" s="5">
        <f>Table1[[#This Row],[ Verified Ballot Papers ]]/Table1[[#This Row],[ Electorate ]]</f>
        <v>0.70739520340058559</v>
      </c>
      <c r="J378" s="1">
        <v>92525</v>
      </c>
      <c r="K378" s="1">
        <v>92473</v>
      </c>
      <c r="L378" s="1">
        <v>39178</v>
      </c>
      <c r="M378" s="1">
        <v>53295</v>
      </c>
      <c r="N378">
        <v>52</v>
      </c>
      <c r="O378">
        <v>1</v>
      </c>
      <c r="P378">
        <v>19</v>
      </c>
      <c r="Q378">
        <v>3</v>
      </c>
      <c r="R378">
        <v>29</v>
      </c>
      <c r="S378" s="5">
        <f>Table1[[#This Row],[ Remain ]]/Table1[[#This Row],[ Valid Votes ]]</f>
        <v>0.42366961167043354</v>
      </c>
      <c r="T378" s="5">
        <f>Table1[[#This Row],[ Leave ]]/Table1[[#This Row],[ Valid Votes ]]</f>
        <v>0.57633038832956651</v>
      </c>
      <c r="U378" s="5">
        <f>Table1[[#This Row],[ Rejected Ballots ]]/Table1[[#This Row],[ Votes Cast ]]</f>
        <v>5.6201026749527153E-4</v>
      </c>
      <c r="V378" t="str">
        <f>IF(Table1[[#This Row],[Percent Leave]]&gt;Table1[[#This Row],[Percent Remain]],"Leave", "Remain")</f>
        <v>Leave</v>
      </c>
      <c r="W378">
        <v>51.650008999999997</v>
      </c>
      <c r="X378">
        <v>-3.19753</v>
      </c>
      <c r="Y378" s="1">
        <f>_xlfn.XLOOKUP(Table1[[#This Row],[Area]],Table2[Area],Table2[All Residents])</f>
        <v>178806</v>
      </c>
    </row>
    <row r="379" spans="1:25" hidden="1" x14ac:dyDescent="0.45">
      <c r="A379">
        <v>378</v>
      </c>
      <c r="B379" t="s">
        <v>761</v>
      </c>
      <c r="C379" t="s">
        <v>762</v>
      </c>
      <c r="D379" t="s">
        <v>797</v>
      </c>
      <c r="E379" t="s">
        <v>798</v>
      </c>
      <c r="F379" s="1">
        <v>51136</v>
      </c>
      <c r="G379" s="1">
        <v>34812</v>
      </c>
      <c r="H379" s="1">
        <v>34812</v>
      </c>
      <c r="I379" s="5">
        <f>Table1[[#This Row],[ Verified Ballot Papers ]]/Table1[[#This Row],[ Electorate ]]</f>
        <v>0.68077284105131419</v>
      </c>
      <c r="J379" s="1">
        <v>34812</v>
      </c>
      <c r="K379" s="1">
        <v>34802</v>
      </c>
      <c r="L379" s="1">
        <v>13215</v>
      </c>
      <c r="M379" s="1">
        <v>21587</v>
      </c>
      <c r="N379">
        <v>10</v>
      </c>
      <c r="O379">
        <v>0</v>
      </c>
      <c r="P379">
        <v>3</v>
      </c>
      <c r="Q379">
        <v>0</v>
      </c>
      <c r="R379">
        <v>7</v>
      </c>
      <c r="S379" s="5">
        <f>Table1[[#This Row],[ Remain ]]/Table1[[#This Row],[ Valid Votes ]]</f>
        <v>0.37971955634733634</v>
      </c>
      <c r="T379" s="5">
        <f>Table1[[#This Row],[ Leave ]]/Table1[[#This Row],[ Valid Votes ]]</f>
        <v>0.62028044365266366</v>
      </c>
      <c r="U379" s="5">
        <f>Table1[[#This Row],[ Rejected Ballots ]]/Table1[[#This Row],[ Votes Cast ]]</f>
        <v>2.8725726760887052E-4</v>
      </c>
      <c r="V379" t="str">
        <f>IF(Table1[[#This Row],[Percent Leave]]&gt;Table1[[#This Row],[Percent Remain]],"Leave", "Remain")</f>
        <v>Leave</v>
      </c>
      <c r="W379">
        <v>51.753639</v>
      </c>
      <c r="X379">
        <v>-3.1859199999999999</v>
      </c>
      <c r="Y379" s="1">
        <f>_xlfn.XLOOKUP(Table1[[#This Row],[Area]],Table2[Area],Table2[All Residents])</f>
        <v>69814</v>
      </c>
    </row>
    <row r="380" spans="1:25" hidden="1" x14ac:dyDescent="0.45">
      <c r="A380">
        <v>379</v>
      </c>
      <c r="B380" t="s">
        <v>761</v>
      </c>
      <c r="C380" t="s">
        <v>762</v>
      </c>
      <c r="D380" t="s">
        <v>799</v>
      </c>
      <c r="E380" t="s">
        <v>800</v>
      </c>
      <c r="F380" s="1">
        <v>68957</v>
      </c>
      <c r="G380" s="1">
        <v>48177</v>
      </c>
      <c r="H380" s="1">
        <v>48172</v>
      </c>
      <c r="I380" s="5">
        <f>Table1[[#This Row],[ Verified Ballot Papers ]]/Table1[[#This Row],[ Electorate ]]</f>
        <v>0.69858027466392103</v>
      </c>
      <c r="J380" s="1">
        <v>48172</v>
      </c>
      <c r="K380" s="1">
        <v>48144</v>
      </c>
      <c r="L380" s="1">
        <v>19363</v>
      </c>
      <c r="M380" s="1">
        <v>28781</v>
      </c>
      <c r="N380">
        <v>28</v>
      </c>
      <c r="O380">
        <v>0</v>
      </c>
      <c r="P380">
        <v>11</v>
      </c>
      <c r="Q380">
        <v>2</v>
      </c>
      <c r="R380">
        <v>15</v>
      </c>
      <c r="S380" s="5">
        <f>Table1[[#This Row],[ Remain ]]/Table1[[#This Row],[ Valid Votes ]]</f>
        <v>0.40218926553672318</v>
      </c>
      <c r="T380" s="5">
        <f>Table1[[#This Row],[ Leave ]]/Table1[[#This Row],[ Valid Votes ]]</f>
        <v>0.59781073446327682</v>
      </c>
      <c r="U380" s="5">
        <f>Table1[[#This Row],[ Rejected Ballots ]]/Table1[[#This Row],[ Votes Cast ]]</f>
        <v>5.8125051897367768E-4</v>
      </c>
      <c r="V380" t="str">
        <f>IF(Table1[[#This Row],[Percent Leave]]&gt;Table1[[#This Row],[Percent Remain]],"Leave", "Remain")</f>
        <v>Leave</v>
      </c>
      <c r="W380">
        <v>51.698360000000001</v>
      </c>
      <c r="X380">
        <v>-3.0510098999999999</v>
      </c>
      <c r="Y380" s="1">
        <f>_xlfn.XLOOKUP(Table1[[#This Row],[Area]],Table2[Area],Table2[All Residents])</f>
        <v>91075</v>
      </c>
    </row>
    <row r="381" spans="1:25" hidden="1" x14ac:dyDescent="0.45">
      <c r="A381">
        <v>380</v>
      </c>
      <c r="B381" t="s">
        <v>761</v>
      </c>
      <c r="C381" t="s">
        <v>762</v>
      </c>
      <c r="D381" t="s">
        <v>801</v>
      </c>
      <c r="E381" t="s">
        <v>802</v>
      </c>
      <c r="F381" s="1">
        <v>71607</v>
      </c>
      <c r="G381" s="1">
        <v>55670</v>
      </c>
      <c r="H381" s="1">
        <v>55670</v>
      </c>
      <c r="I381" s="5">
        <f>Table1[[#This Row],[ Verified Ballot Papers ]]/Table1[[#This Row],[ Electorate ]]</f>
        <v>0.77743795997597998</v>
      </c>
      <c r="J381" s="1">
        <v>55670</v>
      </c>
      <c r="K381" s="1">
        <v>55630</v>
      </c>
      <c r="L381" s="1">
        <v>28061</v>
      </c>
      <c r="M381" s="1">
        <v>27569</v>
      </c>
      <c r="N381">
        <v>40</v>
      </c>
      <c r="O381">
        <v>19</v>
      </c>
      <c r="P381">
        <v>0</v>
      </c>
      <c r="Q381">
        <v>0</v>
      </c>
      <c r="R381">
        <v>21</v>
      </c>
      <c r="S381" s="5">
        <f>Table1[[#This Row],[ Remain ]]/Table1[[#This Row],[ Valid Votes ]]</f>
        <v>0.50442207442027687</v>
      </c>
      <c r="T381" s="5">
        <f>Table1[[#This Row],[ Leave ]]/Table1[[#This Row],[ Valid Votes ]]</f>
        <v>0.49557792557972319</v>
      </c>
      <c r="U381" s="5">
        <f>Table1[[#This Row],[ Rejected Ballots ]]/Table1[[#This Row],[ Votes Cast ]]</f>
        <v>7.1851984911083171E-4</v>
      </c>
      <c r="V381" t="str">
        <f>IF(Table1[[#This Row],[Percent Leave]]&gt;Table1[[#This Row],[Percent Remain]],"Leave", "Remain")</f>
        <v>Remain</v>
      </c>
      <c r="W381">
        <v>51.778270999999997</v>
      </c>
      <c r="X381">
        <v>-2.9028000999999999</v>
      </c>
      <c r="Y381" s="1">
        <f>_xlfn.XLOOKUP(Table1[[#This Row],[Area]],Table2[Area],Table2[All Residents])</f>
        <v>91323</v>
      </c>
    </row>
    <row r="382" spans="1:25" hidden="1" x14ac:dyDescent="0.45">
      <c r="A382">
        <v>381</v>
      </c>
      <c r="B382" t="s">
        <v>761</v>
      </c>
      <c r="C382" t="s">
        <v>762</v>
      </c>
      <c r="D382" t="s">
        <v>803</v>
      </c>
      <c r="E382" t="s">
        <v>804</v>
      </c>
      <c r="F382" s="1">
        <v>104977</v>
      </c>
      <c r="G382" s="1">
        <v>73708</v>
      </c>
      <c r="H382" s="1">
        <v>73708</v>
      </c>
      <c r="I382" s="5">
        <f>Table1[[#This Row],[ Verified Ballot Papers ]]/Table1[[#This Row],[ Electorate ]]</f>
        <v>0.70213475332691921</v>
      </c>
      <c r="J382" s="1">
        <v>73708</v>
      </c>
      <c r="K382" s="1">
        <v>73649</v>
      </c>
      <c r="L382" s="1">
        <v>32413</v>
      </c>
      <c r="M382" s="1">
        <v>41236</v>
      </c>
      <c r="N382">
        <v>59</v>
      </c>
      <c r="O382">
        <v>3</v>
      </c>
      <c r="P382">
        <v>29</v>
      </c>
      <c r="Q382">
        <v>2</v>
      </c>
      <c r="R382">
        <v>25</v>
      </c>
      <c r="S382" s="5">
        <f>Table1[[#This Row],[ Remain ]]/Table1[[#This Row],[ Valid Votes ]]</f>
        <v>0.44010101970155741</v>
      </c>
      <c r="T382" s="5">
        <f>Table1[[#This Row],[ Leave ]]/Table1[[#This Row],[ Valid Votes ]]</f>
        <v>0.55989898029844265</v>
      </c>
      <c r="U382" s="5">
        <f>Table1[[#This Row],[ Rejected Ballots ]]/Table1[[#This Row],[ Votes Cast ]]</f>
        <v>8.0045585282465946E-4</v>
      </c>
      <c r="V382" t="str">
        <f>IF(Table1[[#This Row],[Percent Leave]]&gt;Table1[[#This Row],[Percent Remain]],"Leave", "Remain")</f>
        <v>Leave</v>
      </c>
      <c r="W382">
        <v>51.58231</v>
      </c>
      <c r="X382">
        <v>-2.8976901000000002</v>
      </c>
      <c r="Y382" s="1">
        <f>_xlfn.XLOOKUP(Table1[[#This Row],[Area]],Table2[Area],Table2[All Residents])</f>
        <v>145736</v>
      </c>
    </row>
    <row r="383" spans="1:25" hidden="1" x14ac:dyDescent="0.45">
      <c r="A383">
        <v>382</v>
      </c>
      <c r="B383" t="s">
        <v>761</v>
      </c>
      <c r="C383" t="s">
        <v>762</v>
      </c>
      <c r="D383" t="s">
        <v>805</v>
      </c>
      <c r="E383" t="s">
        <v>806</v>
      </c>
      <c r="F383" s="1">
        <v>243689</v>
      </c>
      <c r="G383" s="1">
        <v>169762</v>
      </c>
      <c r="H383" s="1">
        <v>169753</v>
      </c>
      <c r="I383" s="5">
        <f>Table1[[#This Row],[ Verified Ballot Papers ]]/Table1[[#This Row],[ Electorate ]]</f>
        <v>0.69659689194013685</v>
      </c>
      <c r="J383" s="1">
        <v>169745</v>
      </c>
      <c r="K383" s="1">
        <v>169604</v>
      </c>
      <c r="L383" s="1">
        <v>101788</v>
      </c>
      <c r="M383" s="1">
        <v>67816</v>
      </c>
      <c r="N383">
        <v>141</v>
      </c>
      <c r="O383">
        <v>0</v>
      </c>
      <c r="P383">
        <v>56</v>
      </c>
      <c r="Q383">
        <v>3</v>
      </c>
      <c r="R383">
        <v>82</v>
      </c>
      <c r="S383" s="5">
        <f>Table1[[#This Row],[ Remain ]]/Table1[[#This Row],[ Valid Votes ]]</f>
        <v>0.60015093983632462</v>
      </c>
      <c r="T383" s="5">
        <f>Table1[[#This Row],[ Leave ]]/Table1[[#This Row],[ Valid Votes ]]</f>
        <v>0.39984906016367538</v>
      </c>
      <c r="U383" s="5">
        <f>Table1[[#This Row],[ Rejected Ballots ]]/Table1[[#This Row],[ Votes Cast ]]</f>
        <v>8.3065775133288171E-4</v>
      </c>
      <c r="V383" t="str">
        <f>IF(Table1[[#This Row],[Percent Leave]]&gt;Table1[[#This Row],[Percent Remain]],"Leave", "Remain")</f>
        <v>Remain</v>
      </c>
      <c r="W383">
        <v>51.502541000000001</v>
      </c>
      <c r="X383">
        <v>-3.2220900000000001</v>
      </c>
      <c r="Y383" s="1">
        <f>_xlfn.XLOOKUP(Table1[[#This Row],[Area]],Table2[Area],Table2[All Residents])</f>
        <v>346090</v>
      </c>
    </row>
    <row r="384" spans="1:25" x14ac:dyDescent="0.45">
      <c r="C384" t="s">
        <v>840</v>
      </c>
      <c r="F384" s="1">
        <f>SUM(Table1[[ Electorate ]])</f>
        <v>46500001</v>
      </c>
      <c r="G384" s="1">
        <f>SUM(Table1[[ Expected Ballots ]])</f>
        <v>33579492</v>
      </c>
      <c r="H384" s="1">
        <f>SUBTOTAL(109,Table1[[ Verified Ballot Papers ]])</f>
        <v>3331459</v>
      </c>
      <c r="I384" s="6">
        <f>SUBTOTAL(101,Table1[Percent Turnout])</f>
        <v>0.75744348729010325</v>
      </c>
      <c r="J384" s="1">
        <f>SUM(J1:J383)</f>
        <v>33577342</v>
      </c>
      <c r="K384" s="1">
        <f>SUM(K1:K383)</f>
        <v>33551983</v>
      </c>
      <c r="L384" s="1">
        <f>SUM(L1:L383)</f>
        <v>16141241</v>
      </c>
      <c r="M384" s="1">
        <f>SUM(M1:M383)</f>
        <v>17410742</v>
      </c>
      <c r="N384" s="1">
        <f>SUM(N1:N383)</f>
        <v>25359</v>
      </c>
      <c r="O384" s="1">
        <f t="shared" ref="O384:R384" si="0">SUM(O1:O383)</f>
        <v>232</v>
      </c>
      <c r="P384" s="1">
        <f t="shared" si="0"/>
        <v>9084</v>
      </c>
      <c r="Q384" s="1">
        <f t="shared" si="0"/>
        <v>836</v>
      </c>
      <c r="R384" s="1">
        <f t="shared" si="0"/>
        <v>15207</v>
      </c>
      <c r="S384" s="6">
        <f>AVERAGE(S1:S383)</f>
        <v>0.47011039509862523</v>
      </c>
      <c r="T384" s="6">
        <f>AVERAGE(T1:T383)</f>
        <v>0.52988960490137482</v>
      </c>
      <c r="U384" s="6">
        <f>SUBTOTAL(101,Table1[Percent Rejected])</f>
        <v>6.9941264629270008E-4</v>
      </c>
      <c r="V384" s="3"/>
      <c r="W384" s="3"/>
      <c r="X384" s="3"/>
      <c r="Y384" s="3"/>
    </row>
    <row r="385" spans="6:22" x14ac:dyDescent="0.45">
      <c r="F385" t="s">
        <v>838</v>
      </c>
      <c r="G385" t="s">
        <v>838</v>
      </c>
      <c r="I385" t="s">
        <v>839</v>
      </c>
      <c r="S385" t="s">
        <v>839</v>
      </c>
      <c r="T385" t="s">
        <v>839</v>
      </c>
    </row>
    <row r="388" spans="6:22" x14ac:dyDescent="0.45">
      <c r="S388" t="s">
        <v>843</v>
      </c>
      <c r="T388" t="s">
        <v>844</v>
      </c>
      <c r="V388" s="7">
        <f>COUNTIF(V2:V383,"Leave")</f>
        <v>263</v>
      </c>
    </row>
    <row r="389" spans="6:22" x14ac:dyDescent="0.45">
      <c r="S389" t="s">
        <v>843</v>
      </c>
      <c r="T389" t="s">
        <v>845</v>
      </c>
      <c r="V389" s="7">
        <f>COUNTIF(V2:V383,"&lt;&gt;Leave")</f>
        <v>119</v>
      </c>
    </row>
    <row r="391" spans="6:22" x14ac:dyDescent="0.45">
      <c r="S391" s="11">
        <f>MIN(Table1[Percent Remain])</f>
        <v>0.24437574003420603</v>
      </c>
      <c r="T391" s="11">
        <f>MIN(Table1[Percent Leave])</f>
        <v>4.0853809878381733E-2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2B904-F8DC-4F3A-8C94-742C5DE3ABED}">
  <dimension ref="A1:AC382"/>
  <sheetViews>
    <sheetView topLeftCell="K1" workbookViewId="0">
      <selection activeCell="L17" sqref="L17"/>
    </sheetView>
  </sheetViews>
  <sheetFormatPr defaultRowHeight="14.25" x14ac:dyDescent="0.45"/>
  <cols>
    <col min="1" max="1" width="22" bestFit="1" customWidth="1"/>
    <col min="2" max="2" width="10.46484375" bestFit="1" customWidth="1"/>
    <col min="3" max="3" width="24.59765625" bestFit="1" customWidth="1"/>
    <col min="4" max="4" width="12.6640625" customWidth="1"/>
    <col min="5" max="6" width="10.6640625" customWidth="1"/>
    <col min="7" max="22" width="12.6640625" customWidth="1"/>
    <col min="23" max="23" width="15.6640625" customWidth="1"/>
    <col min="24" max="24" width="18.86328125" bestFit="1" customWidth="1"/>
    <col min="25" max="25" width="16.33203125" customWidth="1"/>
    <col min="26" max="27" width="12.33203125" customWidth="1"/>
    <col min="28" max="28" width="11.796875" customWidth="1"/>
  </cols>
  <sheetData>
    <row r="1" spans="1:29" x14ac:dyDescent="0.45">
      <c r="A1" t="s">
        <v>807</v>
      </c>
      <c r="B1" t="s">
        <v>808</v>
      </c>
      <c r="C1" t="s">
        <v>4</v>
      </c>
      <c r="D1" t="s">
        <v>809</v>
      </c>
      <c r="E1" t="s">
        <v>810</v>
      </c>
      <c r="F1" t="s">
        <v>811</v>
      </c>
      <c r="G1" t="s">
        <v>812</v>
      </c>
      <c r="H1" t="s">
        <v>813</v>
      </c>
      <c r="I1" t="s">
        <v>814</v>
      </c>
      <c r="J1" t="s">
        <v>815</v>
      </c>
      <c r="K1" t="s">
        <v>816</v>
      </c>
      <c r="L1" t="s">
        <v>817</v>
      </c>
      <c r="M1" t="s">
        <v>818</v>
      </c>
      <c r="N1" t="s">
        <v>819</v>
      </c>
      <c r="O1" t="s">
        <v>820</v>
      </c>
      <c r="P1" t="s">
        <v>821</v>
      </c>
      <c r="Q1" t="s">
        <v>822</v>
      </c>
      <c r="R1" t="s">
        <v>823</v>
      </c>
      <c r="S1" t="s">
        <v>824</v>
      </c>
      <c r="T1" t="s">
        <v>825</v>
      </c>
      <c r="U1" t="s">
        <v>826</v>
      </c>
      <c r="V1" t="s">
        <v>827</v>
      </c>
      <c r="W1" t="s">
        <v>828</v>
      </c>
      <c r="X1" t="s">
        <v>856</v>
      </c>
      <c r="Y1" t="s">
        <v>854</v>
      </c>
      <c r="Z1" t="s">
        <v>855</v>
      </c>
      <c r="AA1" t="s">
        <v>859</v>
      </c>
      <c r="AB1" t="s">
        <v>857</v>
      </c>
      <c r="AC1" t="s">
        <v>858</v>
      </c>
    </row>
    <row r="2" spans="1:29" x14ac:dyDescent="0.45">
      <c r="A2" t="s">
        <v>837</v>
      </c>
      <c r="B2" t="s">
        <v>697</v>
      </c>
      <c r="C2" t="s">
        <v>698</v>
      </c>
      <c r="D2" s="1">
        <v>222800</v>
      </c>
      <c r="E2" s="1">
        <v>11500</v>
      </c>
      <c r="F2" s="1">
        <v>9200</v>
      </c>
      <c r="G2" s="1">
        <v>9400</v>
      </c>
      <c r="H2" s="1">
        <v>14700</v>
      </c>
      <c r="I2" s="1">
        <v>23200</v>
      </c>
      <c r="J2" s="1">
        <v>21200</v>
      </c>
      <c r="K2" s="1">
        <v>17000</v>
      </c>
      <c r="L2" s="1">
        <v>14700</v>
      </c>
      <c r="M2" s="1">
        <v>14800</v>
      </c>
      <c r="N2" s="1">
        <v>15400</v>
      </c>
      <c r="O2" s="1">
        <v>14300</v>
      </c>
      <c r="P2" s="1">
        <v>12800</v>
      </c>
      <c r="Q2" s="1">
        <v>12500</v>
      </c>
      <c r="R2" s="1">
        <v>8500</v>
      </c>
      <c r="S2" s="1">
        <v>7700</v>
      </c>
      <c r="T2" s="1">
        <v>6700</v>
      </c>
      <c r="U2" s="1">
        <v>9100</v>
      </c>
      <c r="X2" s="9">
        <f>SUM(Table2[[#This Row],[Age 20 to 24]:[Age 90 and Over]])</f>
        <v>177900</v>
      </c>
      <c r="Y2" s="9">
        <f>_xlfn.XLOOKUP(Table2[[#This Row],[Area]],Referendum!E:E,Referendum!L:L,"")</f>
        <v>63985</v>
      </c>
      <c r="Z2" s="9">
        <f>_xlfn.XLOOKUP(Table2[[#This Row],[Area]],Referendum!E:E,Referendum!M:M,"")</f>
        <v>40729</v>
      </c>
      <c r="AA2" s="10">
        <f>(Table2[[#This Row],[Leave Votes]]+Table2[[#This Row],[Remain Votes]])/Table2[[#This Row],[Residents Age &gt;=20]]</f>
        <v>0.58861157953906684</v>
      </c>
      <c r="AB2" s="10">
        <f>Table2[[#This Row],[Remain Votes]]/Table2[[#This Row],[Residents Age &gt;=20]]</f>
        <v>0.35966835300730748</v>
      </c>
      <c r="AC2" s="10">
        <f>Table2[[#This Row],[Leave Votes]]/Table2[[#This Row],[Residents Age &gt;=20]]</f>
        <v>0.22894322653175941</v>
      </c>
    </row>
    <row r="3" spans="1:29" x14ac:dyDescent="0.45">
      <c r="A3" t="s">
        <v>837</v>
      </c>
      <c r="B3" t="s">
        <v>699</v>
      </c>
      <c r="C3" t="s">
        <v>700</v>
      </c>
      <c r="D3" s="1">
        <v>253000</v>
      </c>
      <c r="E3" s="1">
        <v>15100</v>
      </c>
      <c r="F3" s="1">
        <v>14000</v>
      </c>
      <c r="G3" s="1">
        <v>15100</v>
      </c>
      <c r="H3" s="1">
        <v>15300</v>
      </c>
      <c r="I3" s="1">
        <v>13100</v>
      </c>
      <c r="J3" s="1">
        <v>13200</v>
      </c>
      <c r="K3" s="1">
        <v>14600</v>
      </c>
      <c r="L3" s="1">
        <v>17400</v>
      </c>
      <c r="M3" s="1">
        <v>20100</v>
      </c>
      <c r="N3" s="1">
        <v>20600</v>
      </c>
      <c r="O3" s="1">
        <v>18800</v>
      </c>
      <c r="P3" s="1">
        <v>17400</v>
      </c>
      <c r="Q3" s="1">
        <v>17500</v>
      </c>
      <c r="R3" s="1">
        <v>12600</v>
      </c>
      <c r="S3" s="1">
        <v>10000</v>
      </c>
      <c r="T3" s="1">
        <v>7800</v>
      </c>
      <c r="U3" s="1">
        <v>10300</v>
      </c>
      <c r="X3" s="9">
        <f>SUM(Table2[[#This Row],[Age 20 to 24]:[Age 90 and Over]])</f>
        <v>193400</v>
      </c>
      <c r="Y3" s="9">
        <f>_xlfn.XLOOKUP(Table2[[#This Row],[Area]],Referendum!E:E,Referendum!L:L,"")</f>
        <v>76445</v>
      </c>
      <c r="Z3" s="9">
        <f>_xlfn.XLOOKUP(Table2[[#This Row],[Area]],Referendum!E:E,Referendum!M:M,"")</f>
        <v>62516</v>
      </c>
      <c r="AA3" s="10">
        <f>(Table2[[#This Row],[Leave Votes]]+Table2[[#This Row],[Remain Votes]])/Table2[[#This Row],[Residents Age &gt;=20]]</f>
        <v>0.71851602895553257</v>
      </c>
      <c r="AB3" s="10">
        <f>Table2[[#This Row],[Remain Votes]]/Table2[[#This Row],[Residents Age &gt;=20]]</f>
        <v>0.39526887280248191</v>
      </c>
      <c r="AC3" s="10">
        <f>Table2[[#This Row],[Leave Votes]]/Table2[[#This Row],[Residents Age &gt;=20]]</f>
        <v>0.32324715615305066</v>
      </c>
    </row>
    <row r="4" spans="1:29" x14ac:dyDescent="0.45">
      <c r="A4" t="s">
        <v>830</v>
      </c>
      <c r="B4" t="s">
        <v>601</v>
      </c>
      <c r="C4" t="s">
        <v>602</v>
      </c>
      <c r="D4" s="1">
        <v>61182</v>
      </c>
      <c r="E4" s="1">
        <v>3537</v>
      </c>
      <c r="F4" s="1">
        <v>3110</v>
      </c>
      <c r="G4" s="1">
        <v>3173</v>
      </c>
      <c r="H4" s="1">
        <v>3540</v>
      </c>
      <c r="I4" s="1">
        <v>2982</v>
      </c>
      <c r="J4" s="1">
        <v>3131</v>
      </c>
      <c r="K4" s="1">
        <v>3363</v>
      </c>
      <c r="L4" s="1">
        <v>3947</v>
      </c>
      <c r="M4" s="1">
        <v>4532</v>
      </c>
      <c r="N4" s="1">
        <v>4450</v>
      </c>
      <c r="O4" s="1">
        <v>4003</v>
      </c>
      <c r="P4" s="1">
        <v>3679</v>
      </c>
      <c r="Q4" s="1">
        <v>4301</v>
      </c>
      <c r="R4" s="1">
        <v>3658</v>
      </c>
      <c r="S4" s="1">
        <v>3057</v>
      </c>
      <c r="T4" s="1">
        <v>2602</v>
      </c>
      <c r="U4" s="1">
        <v>2082</v>
      </c>
      <c r="V4" s="1">
        <v>1348</v>
      </c>
      <c r="W4">
        <v>687</v>
      </c>
      <c r="X4" s="9">
        <f>SUM(Table2[[#This Row],[Age 20 to 24]:[Age 90 and Over]])</f>
        <v>47822</v>
      </c>
      <c r="Y4" s="9">
        <f>_xlfn.XLOOKUP(Table2[[#This Row],[Area]],Referendum!E:E,Referendum!L:L,"")</f>
        <v>16914</v>
      </c>
      <c r="Z4" s="9">
        <f>_xlfn.XLOOKUP(Table2[[#This Row],[Area]],Referendum!E:E,Referendum!M:M,"")</f>
        <v>20315</v>
      </c>
      <c r="AA4" s="10">
        <f>(Table2[[#This Row],[Leave Votes]]+Table2[[#This Row],[Remain Votes]])/Table2[[#This Row],[Residents Age &gt;=20]]</f>
        <v>0.77849107105516291</v>
      </c>
      <c r="AB4" s="10">
        <f>Table2[[#This Row],[Remain Votes]]/Table2[[#This Row],[Residents Age &gt;=20]]</f>
        <v>0.35368658776295431</v>
      </c>
      <c r="AC4" s="10">
        <f>Table2[[#This Row],[Leave Votes]]/Table2[[#This Row],[Residents Age &gt;=20]]</f>
        <v>0.4248044832922086</v>
      </c>
    </row>
    <row r="5" spans="1:29" x14ac:dyDescent="0.45">
      <c r="A5" t="s">
        <v>830</v>
      </c>
      <c r="B5" t="s">
        <v>91</v>
      </c>
      <c r="C5" t="s">
        <v>92</v>
      </c>
      <c r="D5" s="1">
        <v>96422</v>
      </c>
      <c r="E5" s="1">
        <v>4921</v>
      </c>
      <c r="F5" s="1">
        <v>4706</v>
      </c>
      <c r="G5" s="1">
        <v>5470</v>
      </c>
      <c r="H5" s="1">
        <v>5790</v>
      </c>
      <c r="I5" s="1">
        <v>4610</v>
      </c>
      <c r="J5" s="1">
        <v>4808</v>
      </c>
      <c r="K5" s="1">
        <v>4766</v>
      </c>
      <c r="L5" s="1">
        <v>5449</v>
      </c>
      <c r="M5" s="1">
        <v>7345</v>
      </c>
      <c r="N5" s="1">
        <v>7409</v>
      </c>
      <c r="O5" s="1">
        <v>6982</v>
      </c>
      <c r="P5" s="1">
        <v>6529</v>
      </c>
      <c r="Q5" s="1">
        <v>7604</v>
      </c>
      <c r="R5" s="1">
        <v>5912</v>
      </c>
      <c r="S5" s="1">
        <v>4944</v>
      </c>
      <c r="T5" s="1">
        <v>3847</v>
      </c>
      <c r="U5" s="1">
        <v>2775</v>
      </c>
      <c r="V5" s="1">
        <v>1687</v>
      </c>
      <c r="W5">
        <v>868</v>
      </c>
      <c r="X5" s="9">
        <f>SUM(Table2[[#This Row],[Age 20 to 24]:[Age 90 and Over]])</f>
        <v>75535</v>
      </c>
      <c r="Y5" s="9">
        <f>_xlfn.XLOOKUP(Table2[[#This Row],[Area]],Referendum!E:E,Referendum!L:L,"")</f>
        <v>22429</v>
      </c>
      <c r="Z5" s="9">
        <f>_xlfn.XLOOKUP(Table2[[#This Row],[Area]],Referendum!E:E,Referendum!M:M,"")</f>
        <v>31809</v>
      </c>
      <c r="AA5" s="10">
        <f>(Table2[[#This Row],[Leave Votes]]+Table2[[#This Row],[Remain Votes]])/Table2[[#This Row],[Residents Age &gt;=20]]</f>
        <v>0.71805123452704045</v>
      </c>
      <c r="AB5" s="10">
        <f>Table2[[#This Row],[Remain Votes]]/Table2[[#This Row],[Residents Age &gt;=20]]</f>
        <v>0.29693519560468656</v>
      </c>
      <c r="AC5" s="10">
        <f>Table2[[#This Row],[Leave Votes]]/Table2[[#This Row],[Residents Age &gt;=20]]</f>
        <v>0.42111603892235389</v>
      </c>
    </row>
    <row r="6" spans="1:29" x14ac:dyDescent="0.45">
      <c r="A6" t="s">
        <v>830</v>
      </c>
      <c r="B6" t="s">
        <v>181</v>
      </c>
      <c r="C6" t="s">
        <v>182</v>
      </c>
      <c r="D6" s="1">
        <v>122309</v>
      </c>
      <c r="E6" s="1">
        <v>6404</v>
      </c>
      <c r="F6" s="1">
        <v>6387</v>
      </c>
      <c r="G6" s="1">
        <v>7202</v>
      </c>
      <c r="H6" s="1">
        <v>7305</v>
      </c>
      <c r="I6" s="1">
        <v>6233</v>
      </c>
      <c r="J6" s="1">
        <v>6439</v>
      </c>
      <c r="K6" s="1">
        <v>6549</v>
      </c>
      <c r="L6" s="1">
        <v>8080</v>
      </c>
      <c r="M6" s="1">
        <v>9660</v>
      </c>
      <c r="N6" s="1">
        <v>9622</v>
      </c>
      <c r="O6" s="1">
        <v>8512</v>
      </c>
      <c r="P6" s="1">
        <v>7958</v>
      </c>
      <c r="Q6" s="1">
        <v>9179</v>
      </c>
      <c r="R6" s="1">
        <v>7219</v>
      </c>
      <c r="S6" s="1">
        <v>5277</v>
      </c>
      <c r="T6" s="1">
        <v>4158</v>
      </c>
      <c r="U6" s="1">
        <v>3074</v>
      </c>
      <c r="V6" s="1">
        <v>1981</v>
      </c>
      <c r="W6" s="1">
        <v>1070</v>
      </c>
      <c r="X6" s="9">
        <f>SUM(Table2[[#This Row],[Age 20 to 24]:[Age 90 and Over]])</f>
        <v>95011</v>
      </c>
      <c r="Y6" s="9">
        <f>_xlfn.XLOOKUP(Table2[[#This Row],[Area]],Referendum!E:E,Referendum!L:L,"")</f>
        <v>29319</v>
      </c>
      <c r="Z6" s="9">
        <f>_xlfn.XLOOKUP(Table2[[#This Row],[Area]],Referendum!E:E,Referendum!M:M,"")</f>
        <v>44501</v>
      </c>
      <c r="AA6" s="10">
        <f>(Table2[[#This Row],[Leave Votes]]+Table2[[#This Row],[Remain Votes]])/Table2[[#This Row],[Residents Age &gt;=20]]</f>
        <v>0.77696266748060749</v>
      </c>
      <c r="AB6" s="10">
        <f>Table2[[#This Row],[Remain Votes]]/Table2[[#This Row],[Residents Age &gt;=20]]</f>
        <v>0.30858532169959269</v>
      </c>
      <c r="AC6" s="10">
        <f>Table2[[#This Row],[Leave Votes]]/Table2[[#This Row],[Residents Age &gt;=20]]</f>
        <v>0.46837734578101481</v>
      </c>
    </row>
    <row r="7" spans="1:29" x14ac:dyDescent="0.45">
      <c r="A7" t="s">
        <v>837</v>
      </c>
      <c r="B7" t="s">
        <v>701</v>
      </c>
      <c r="C7" t="s">
        <v>702</v>
      </c>
      <c r="D7" s="1">
        <v>116000</v>
      </c>
      <c r="E7" s="1">
        <v>6000</v>
      </c>
      <c r="F7" s="1">
        <v>6100</v>
      </c>
      <c r="G7" s="1">
        <v>6800</v>
      </c>
      <c r="H7" s="1">
        <v>6900</v>
      </c>
      <c r="I7" s="1">
        <v>6000</v>
      </c>
      <c r="J7" s="1">
        <v>6000</v>
      </c>
      <c r="K7" s="1">
        <v>6000</v>
      </c>
      <c r="L7" s="1">
        <v>6900</v>
      </c>
      <c r="M7" s="1">
        <v>8300</v>
      </c>
      <c r="N7" s="1">
        <v>9100</v>
      </c>
      <c r="O7" s="1">
        <v>8300</v>
      </c>
      <c r="P7" s="1">
        <v>7800</v>
      </c>
      <c r="Q7" s="1">
        <v>8700</v>
      </c>
      <c r="R7" s="1">
        <v>6700</v>
      </c>
      <c r="S7" s="1">
        <v>5600</v>
      </c>
      <c r="T7" s="1">
        <v>4600</v>
      </c>
      <c r="U7" s="1">
        <v>6200</v>
      </c>
      <c r="X7" s="9">
        <f>SUM(Table2[[#This Row],[Age 20 to 24]:[Age 90 and Over]])</f>
        <v>90200</v>
      </c>
      <c r="Y7" s="9">
        <f>_xlfn.XLOOKUP(Table2[[#This Row],[Area]],Referendum!E:E,Referendum!L:L,"")</f>
        <v>32747</v>
      </c>
      <c r="Z7" s="9">
        <f>_xlfn.XLOOKUP(Table2[[#This Row],[Area]],Referendum!E:E,Referendum!M:M,"")</f>
        <v>26511</v>
      </c>
      <c r="AA7" s="10">
        <f>(Table2[[#This Row],[Leave Votes]]+Table2[[#This Row],[Remain Votes]])/Table2[[#This Row],[Residents Age &gt;=20]]</f>
        <v>0.65696230598669625</v>
      </c>
      <c r="AB7" s="10">
        <f>Table2[[#This Row],[Remain Votes]]/Table2[[#This Row],[Residents Age &gt;=20]]</f>
        <v>0.36304878048780487</v>
      </c>
      <c r="AC7" s="10">
        <f>Table2[[#This Row],[Leave Votes]]/Table2[[#This Row],[Residents Age &gt;=20]]</f>
        <v>0.29391352549889133</v>
      </c>
    </row>
    <row r="8" spans="1:29" x14ac:dyDescent="0.45">
      <c r="A8" t="s">
        <v>837</v>
      </c>
      <c r="B8" t="s">
        <v>703</v>
      </c>
      <c r="C8" t="s">
        <v>704</v>
      </c>
      <c r="D8" s="1">
        <v>88200</v>
      </c>
      <c r="E8" s="1">
        <v>4100</v>
      </c>
      <c r="F8" s="1">
        <v>4300</v>
      </c>
      <c r="G8" s="1">
        <v>4900</v>
      </c>
      <c r="H8" s="1">
        <v>5100</v>
      </c>
      <c r="I8" s="1">
        <v>4400</v>
      </c>
      <c r="J8" s="1">
        <v>4200</v>
      </c>
      <c r="K8" s="1">
        <v>3900</v>
      </c>
      <c r="L8" s="1">
        <v>4800</v>
      </c>
      <c r="M8" s="1">
        <v>6200</v>
      </c>
      <c r="N8" s="1">
        <v>6900</v>
      </c>
      <c r="O8" s="1">
        <v>6500</v>
      </c>
      <c r="P8" s="1">
        <v>6300</v>
      </c>
      <c r="Q8" s="1">
        <v>7200</v>
      </c>
      <c r="R8" s="1">
        <v>5900</v>
      </c>
      <c r="S8" s="1">
        <v>4900</v>
      </c>
      <c r="T8" s="1">
        <v>3700</v>
      </c>
      <c r="U8" s="1">
        <v>4900</v>
      </c>
      <c r="X8" s="9">
        <f>SUM(Table2[[#This Row],[Age 20 to 24]:[Age 90 and Over]])</f>
        <v>69800</v>
      </c>
      <c r="Y8" s="9">
        <f>_xlfn.XLOOKUP(Table2[[#This Row],[Area]],Referendum!E:E,Referendum!L:L,"")</f>
        <v>29494</v>
      </c>
      <c r="Z8" s="9">
        <f>_xlfn.XLOOKUP(Table2[[#This Row],[Area]],Referendum!E:E,Referendum!M:M,"")</f>
        <v>19202</v>
      </c>
      <c r="AA8" s="10">
        <f>(Table2[[#This Row],[Leave Votes]]+Table2[[#This Row],[Remain Votes]])/Table2[[#This Row],[Residents Age &gt;=20]]</f>
        <v>0.69765042979942693</v>
      </c>
      <c r="AB8" s="10">
        <f>Table2[[#This Row],[Remain Votes]]/Table2[[#This Row],[Residents Age &gt;=20]]</f>
        <v>0.42255014326647566</v>
      </c>
      <c r="AC8" s="10">
        <f>Table2[[#This Row],[Leave Votes]]/Table2[[#This Row],[Residents Age &gt;=20]]</f>
        <v>0.27510028653295127</v>
      </c>
    </row>
    <row r="9" spans="1:29" x14ac:dyDescent="0.45">
      <c r="A9" t="s">
        <v>830</v>
      </c>
      <c r="B9" t="s">
        <v>603</v>
      </c>
      <c r="C9" t="s">
        <v>604</v>
      </c>
      <c r="D9" s="1">
        <v>149518</v>
      </c>
      <c r="E9" s="1">
        <v>7386</v>
      </c>
      <c r="F9" s="1">
        <v>6968</v>
      </c>
      <c r="G9" s="1">
        <v>7416</v>
      </c>
      <c r="H9" s="1">
        <v>7931</v>
      </c>
      <c r="I9" s="1">
        <v>7443</v>
      </c>
      <c r="J9" s="1">
        <v>7314</v>
      </c>
      <c r="K9" s="1">
        <v>7190</v>
      </c>
      <c r="L9" s="1">
        <v>8113</v>
      </c>
      <c r="M9" s="1">
        <v>10123</v>
      </c>
      <c r="N9" s="1">
        <v>10463</v>
      </c>
      <c r="O9" s="1">
        <v>9404</v>
      </c>
      <c r="P9" s="1">
        <v>9080</v>
      </c>
      <c r="Q9" s="1">
        <v>11359</v>
      </c>
      <c r="R9" s="1">
        <v>10264</v>
      </c>
      <c r="S9" s="1">
        <v>8971</v>
      </c>
      <c r="T9" s="1">
        <v>7558</v>
      </c>
      <c r="U9" s="1">
        <v>6037</v>
      </c>
      <c r="V9" s="1">
        <v>4116</v>
      </c>
      <c r="W9" s="1">
        <v>2382</v>
      </c>
      <c r="X9" s="9">
        <f>SUM(Table2[[#This Row],[Age 20 to 24]:[Age 90 and Over]])</f>
        <v>119817</v>
      </c>
      <c r="Y9" s="9">
        <f>_xlfn.XLOOKUP(Table2[[#This Row],[Area]],Referendum!E:E,Referendum!L:L,"")</f>
        <v>34193</v>
      </c>
      <c r="Z9" s="9">
        <f>_xlfn.XLOOKUP(Table2[[#This Row],[Area]],Referendum!E:E,Referendum!M:M,"")</f>
        <v>56936</v>
      </c>
      <c r="AA9" s="10">
        <f>(Table2[[#This Row],[Leave Votes]]+Table2[[#This Row],[Remain Votes]])/Table2[[#This Row],[Residents Age &gt;=20]]</f>
        <v>0.76056819983808643</v>
      </c>
      <c r="AB9" s="10">
        <f>Table2[[#This Row],[Remain Votes]]/Table2[[#This Row],[Residents Age &gt;=20]]</f>
        <v>0.28537686638790821</v>
      </c>
      <c r="AC9" s="10">
        <f>Table2[[#This Row],[Leave Votes]]/Table2[[#This Row],[Residents Age &gt;=20]]</f>
        <v>0.47519133345017817</v>
      </c>
    </row>
    <row r="10" spans="1:29" x14ac:dyDescent="0.45">
      <c r="A10" t="s">
        <v>830</v>
      </c>
      <c r="B10" t="s">
        <v>239</v>
      </c>
      <c r="C10" t="s">
        <v>240</v>
      </c>
      <c r="D10" s="1">
        <v>119497</v>
      </c>
      <c r="E10" s="1">
        <v>7413</v>
      </c>
      <c r="F10" s="1">
        <v>6663</v>
      </c>
      <c r="G10" s="1">
        <v>7181</v>
      </c>
      <c r="H10" s="1">
        <v>7345</v>
      </c>
      <c r="I10" s="1">
        <v>7064</v>
      </c>
      <c r="J10" s="1">
        <v>7104</v>
      </c>
      <c r="K10" s="1">
        <v>7110</v>
      </c>
      <c r="L10" s="1">
        <v>7876</v>
      </c>
      <c r="M10" s="1">
        <v>9367</v>
      </c>
      <c r="N10" s="1">
        <v>9375</v>
      </c>
      <c r="O10" s="1">
        <v>8009</v>
      </c>
      <c r="P10" s="1">
        <v>7172</v>
      </c>
      <c r="Q10" s="1">
        <v>7580</v>
      </c>
      <c r="R10" s="1">
        <v>6547</v>
      </c>
      <c r="S10" s="1">
        <v>5030</v>
      </c>
      <c r="T10" s="1">
        <v>3698</v>
      </c>
      <c r="U10" s="1">
        <v>2542</v>
      </c>
      <c r="V10" s="1">
        <v>1623</v>
      </c>
      <c r="W10">
        <v>798</v>
      </c>
      <c r="X10" s="9">
        <f>SUM(Table2[[#This Row],[Age 20 to 24]:[Age 90 and Over]])</f>
        <v>90895</v>
      </c>
      <c r="Y10" s="9">
        <f>_xlfn.XLOOKUP(Table2[[#This Row],[Area]],Referendum!E:E,Referendum!L:L,"")</f>
        <v>20179</v>
      </c>
      <c r="Z10" s="9">
        <f>_xlfn.XLOOKUP(Table2[[#This Row],[Area]],Referendum!E:E,Referendum!M:M,"")</f>
        <v>46720</v>
      </c>
      <c r="AA10" s="10">
        <f>(Table2[[#This Row],[Leave Votes]]+Table2[[#This Row],[Remain Votes]])/Table2[[#This Row],[Residents Age &gt;=20]]</f>
        <v>0.73600308047747398</v>
      </c>
      <c r="AB10" s="10">
        <f>Table2[[#This Row],[Remain Votes]]/Table2[[#This Row],[Residents Age &gt;=20]]</f>
        <v>0.22200341052863193</v>
      </c>
      <c r="AC10" s="10">
        <f>Table2[[#This Row],[Leave Votes]]/Table2[[#This Row],[Residents Age &gt;=20]]</f>
        <v>0.51399966994884205</v>
      </c>
    </row>
    <row r="11" spans="1:29" x14ac:dyDescent="0.45">
      <c r="A11" t="s">
        <v>830</v>
      </c>
      <c r="B11" t="s">
        <v>545</v>
      </c>
      <c r="C11" t="s">
        <v>546</v>
      </c>
      <c r="D11" s="1">
        <v>117956</v>
      </c>
      <c r="E11" s="1">
        <v>7771</v>
      </c>
      <c r="F11" s="1">
        <v>7358</v>
      </c>
      <c r="G11" s="1">
        <v>7838</v>
      </c>
      <c r="H11" s="1">
        <v>7621</v>
      </c>
      <c r="I11" s="1">
        <v>6245</v>
      </c>
      <c r="J11" s="1">
        <v>6470</v>
      </c>
      <c r="K11" s="1">
        <v>6548</v>
      </c>
      <c r="L11" s="1">
        <v>7559</v>
      </c>
      <c r="M11" s="1">
        <v>9483</v>
      </c>
      <c r="N11" s="1">
        <v>9196</v>
      </c>
      <c r="O11" s="1">
        <v>7471</v>
      </c>
      <c r="P11" s="1">
        <v>6749</v>
      </c>
      <c r="Q11" s="1">
        <v>7679</v>
      </c>
      <c r="R11" s="1">
        <v>6195</v>
      </c>
      <c r="S11" s="1">
        <v>4614</v>
      </c>
      <c r="T11" s="1">
        <v>3697</v>
      </c>
      <c r="U11" s="1">
        <v>2729</v>
      </c>
      <c r="V11" s="1">
        <v>1792</v>
      </c>
      <c r="W11">
        <v>941</v>
      </c>
      <c r="X11" s="9">
        <f>SUM(Table2[[#This Row],[Age 20 to 24]:[Age 90 and Over]])</f>
        <v>87368</v>
      </c>
      <c r="Y11" s="9">
        <f>_xlfn.XLOOKUP(Table2[[#This Row],[Area]],Referendum!E:E,Referendum!L:L,"")</f>
        <v>28314</v>
      </c>
      <c r="Z11" s="9">
        <f>_xlfn.XLOOKUP(Table2[[#This Row],[Area]],Referendum!E:E,Referendum!M:M,"")</f>
        <v>41472</v>
      </c>
      <c r="AA11" s="10">
        <f>(Table2[[#This Row],[Leave Votes]]+Table2[[#This Row],[Remain Votes]])/Table2[[#This Row],[Residents Age &gt;=20]]</f>
        <v>0.79875927112901746</v>
      </c>
      <c r="AB11" s="10">
        <f>Table2[[#This Row],[Remain Votes]]/Table2[[#This Row],[Residents Age &gt;=20]]</f>
        <v>0.32407746543356836</v>
      </c>
      <c r="AC11" s="10">
        <f>Table2[[#This Row],[Leave Votes]]/Table2[[#This Row],[Residents Age &gt;=20]]</f>
        <v>0.47468180569544915</v>
      </c>
    </row>
    <row r="12" spans="1:29" x14ac:dyDescent="0.45">
      <c r="A12" t="s">
        <v>830</v>
      </c>
      <c r="B12" t="s">
        <v>505</v>
      </c>
      <c r="C12" t="s">
        <v>506</v>
      </c>
      <c r="D12" s="1">
        <v>174137</v>
      </c>
      <c r="E12" s="1">
        <v>11345</v>
      </c>
      <c r="F12" s="1">
        <v>10544</v>
      </c>
      <c r="G12" s="1">
        <v>11267</v>
      </c>
      <c r="H12" s="1">
        <v>10884</v>
      </c>
      <c r="I12" s="1">
        <v>8763</v>
      </c>
      <c r="J12" s="1">
        <v>9872</v>
      </c>
      <c r="K12" s="1">
        <v>10928</v>
      </c>
      <c r="L12" s="1">
        <v>12149</v>
      </c>
      <c r="M12" s="1">
        <v>14083</v>
      </c>
      <c r="N12" s="1">
        <v>14497</v>
      </c>
      <c r="O12" s="1">
        <v>12564</v>
      </c>
      <c r="P12" s="1">
        <v>10464</v>
      </c>
      <c r="Q12" s="1">
        <v>10741</v>
      </c>
      <c r="R12" s="1">
        <v>7930</v>
      </c>
      <c r="S12" s="1">
        <v>6279</v>
      </c>
      <c r="T12" s="1">
        <v>4901</v>
      </c>
      <c r="U12" s="1">
        <v>3575</v>
      </c>
      <c r="V12" s="1">
        <v>2173</v>
      </c>
      <c r="W12" s="1">
        <v>1178</v>
      </c>
      <c r="X12" s="9">
        <f>SUM(Table2[[#This Row],[Age 20 to 24]:[Age 90 and Over]])</f>
        <v>130097</v>
      </c>
      <c r="Y12" s="9">
        <f>_xlfn.XLOOKUP(Table2[[#This Row],[Area]],Referendum!E:E,Referendum!L:L,"")</f>
        <v>52877</v>
      </c>
      <c r="Z12" s="9">
        <f>_xlfn.XLOOKUP(Table2[[#This Row],[Area]],Referendum!E:E,Referendum!M:M,"")</f>
        <v>53956</v>
      </c>
      <c r="AA12" s="10">
        <f>(Table2[[#This Row],[Leave Votes]]+Table2[[#This Row],[Remain Votes]])/Table2[[#This Row],[Residents Age &gt;=20]]</f>
        <v>0.82117958138927105</v>
      </c>
      <c r="AB12" s="10">
        <f>Table2[[#This Row],[Remain Votes]]/Table2[[#This Row],[Residents Age &gt;=20]]</f>
        <v>0.40644288492432568</v>
      </c>
      <c r="AC12" s="10">
        <f>Table2[[#This Row],[Leave Votes]]/Table2[[#This Row],[Residents Age &gt;=20]]</f>
        <v>0.41473669646494538</v>
      </c>
    </row>
    <row r="13" spans="1:29" x14ac:dyDescent="0.45">
      <c r="A13" t="s">
        <v>830</v>
      </c>
      <c r="B13" t="s">
        <v>397</v>
      </c>
      <c r="C13" t="s">
        <v>398</v>
      </c>
      <c r="D13" s="1">
        <v>87740</v>
      </c>
      <c r="E13" s="1">
        <v>4451</v>
      </c>
      <c r="F13" s="1">
        <v>4868</v>
      </c>
      <c r="G13" s="1">
        <v>5476</v>
      </c>
      <c r="H13" s="1">
        <v>5121</v>
      </c>
      <c r="I13" s="1">
        <v>3958</v>
      </c>
      <c r="J13" s="1">
        <v>3795</v>
      </c>
      <c r="K13" s="1">
        <v>4118</v>
      </c>
      <c r="L13" s="1">
        <v>5228</v>
      </c>
      <c r="M13" s="1">
        <v>6498</v>
      </c>
      <c r="N13" s="1">
        <v>6742</v>
      </c>
      <c r="O13" s="1">
        <v>5900</v>
      </c>
      <c r="P13" s="1">
        <v>5843</v>
      </c>
      <c r="Q13" s="1">
        <v>6986</v>
      </c>
      <c r="R13" s="1">
        <v>5695</v>
      </c>
      <c r="S13" s="1">
        <v>4315</v>
      </c>
      <c r="T13" s="1">
        <v>3491</v>
      </c>
      <c r="U13" s="1">
        <v>2705</v>
      </c>
      <c r="V13" s="1">
        <v>1660</v>
      </c>
      <c r="W13">
        <v>890</v>
      </c>
      <c r="X13" s="9">
        <f>SUM(Table2[[#This Row],[Age 20 to 24]:[Age 90 and Over]])</f>
        <v>67824</v>
      </c>
      <c r="Y13" s="9">
        <f>_xlfn.XLOOKUP(Table2[[#This Row],[Area]],Referendum!E:E,Referendum!L:L,"")</f>
        <v>25309</v>
      </c>
      <c r="Z13" s="9">
        <f>_xlfn.XLOOKUP(Table2[[#This Row],[Area]],Referendum!E:E,Referendum!M:M,"")</f>
        <v>29933</v>
      </c>
      <c r="AA13" s="10">
        <f>(Table2[[#This Row],[Leave Votes]]+Table2[[#This Row],[Remain Votes]])/Table2[[#This Row],[Residents Age &gt;=20]]</f>
        <v>0.81449044585987262</v>
      </c>
      <c r="AB13" s="10">
        <f>Table2[[#This Row],[Remain Votes]]/Table2[[#This Row],[Residents Age &gt;=20]]</f>
        <v>0.37315699457419205</v>
      </c>
      <c r="AC13" s="10">
        <f>Table2[[#This Row],[Leave Votes]]/Table2[[#This Row],[Residents Age &gt;=20]]</f>
        <v>0.44133345128568058</v>
      </c>
    </row>
    <row r="14" spans="1:29" x14ac:dyDescent="0.45">
      <c r="A14" t="s">
        <v>830</v>
      </c>
      <c r="B14" t="s">
        <v>415</v>
      </c>
      <c r="C14" t="s">
        <v>416</v>
      </c>
      <c r="D14" s="1">
        <v>185911</v>
      </c>
      <c r="E14" s="1">
        <v>18676</v>
      </c>
      <c r="F14" s="1">
        <v>14331</v>
      </c>
      <c r="G14" s="1">
        <v>12757</v>
      </c>
      <c r="H14" s="1">
        <v>12585</v>
      </c>
      <c r="I14" s="1">
        <v>13053</v>
      </c>
      <c r="J14" s="1">
        <v>14971</v>
      </c>
      <c r="K14" s="1">
        <v>15241</v>
      </c>
      <c r="L14" s="1">
        <v>14506</v>
      </c>
      <c r="M14" s="1">
        <v>13716</v>
      </c>
      <c r="N14" s="1">
        <v>12216</v>
      </c>
      <c r="O14" s="1">
        <v>10012</v>
      </c>
      <c r="P14" s="1">
        <v>7727</v>
      </c>
      <c r="Q14" s="1">
        <v>6799</v>
      </c>
      <c r="R14" s="1">
        <v>4950</v>
      </c>
      <c r="S14" s="1">
        <v>4326</v>
      </c>
      <c r="T14" s="1">
        <v>3779</v>
      </c>
      <c r="U14" s="1">
        <v>3203</v>
      </c>
      <c r="V14" s="1">
        <v>2102</v>
      </c>
      <c r="W14">
        <v>961</v>
      </c>
      <c r="X14" s="9">
        <f>SUM(Table2[[#This Row],[Age 20 to 24]:[Age 90 and Over]])</f>
        <v>127562</v>
      </c>
      <c r="Y14" s="9">
        <f>_xlfn.XLOOKUP(Table2[[#This Row],[Area]],Referendum!E:E,Referendum!L:L,"")</f>
        <v>27750</v>
      </c>
      <c r="Z14" s="9">
        <f>_xlfn.XLOOKUP(Table2[[#This Row],[Area]],Referendum!E:E,Referendum!M:M,"")</f>
        <v>46130</v>
      </c>
      <c r="AA14" s="10">
        <f>(Table2[[#This Row],[Leave Votes]]+Table2[[#This Row],[Remain Votes]])/Table2[[#This Row],[Residents Age &gt;=20]]</f>
        <v>0.57916934510277351</v>
      </c>
      <c r="AB14" s="10">
        <f>Table2[[#This Row],[Remain Votes]]/Table2[[#This Row],[Residents Age &gt;=20]]</f>
        <v>0.21754127404713003</v>
      </c>
      <c r="AC14" s="10">
        <f>Table2[[#This Row],[Leave Votes]]/Table2[[#This Row],[Residents Age &gt;=20]]</f>
        <v>0.36162807105564354</v>
      </c>
    </row>
    <row r="15" spans="1:29" x14ac:dyDescent="0.45">
      <c r="A15" t="s">
        <v>830</v>
      </c>
      <c r="B15" t="s">
        <v>417</v>
      </c>
      <c r="C15" t="s">
        <v>418</v>
      </c>
      <c r="D15" s="1">
        <v>356386</v>
      </c>
      <c r="E15" s="1">
        <v>26239</v>
      </c>
      <c r="F15" s="1">
        <v>22352</v>
      </c>
      <c r="G15" s="1">
        <v>21293</v>
      </c>
      <c r="H15" s="1">
        <v>20580</v>
      </c>
      <c r="I15" s="1">
        <v>23913</v>
      </c>
      <c r="J15" s="1">
        <v>31425</v>
      </c>
      <c r="K15" s="1">
        <v>30171</v>
      </c>
      <c r="L15" s="1">
        <v>27104</v>
      </c>
      <c r="M15" s="1">
        <v>26589</v>
      </c>
      <c r="N15" s="1">
        <v>23979</v>
      </c>
      <c r="O15" s="1">
        <v>20848</v>
      </c>
      <c r="P15" s="1">
        <v>17549</v>
      </c>
      <c r="Q15" s="1">
        <v>16912</v>
      </c>
      <c r="R15" s="1">
        <v>13326</v>
      </c>
      <c r="S15" s="1">
        <v>10397</v>
      </c>
      <c r="T15" s="1">
        <v>9034</v>
      </c>
      <c r="U15" s="1">
        <v>7000</v>
      </c>
      <c r="V15" s="1">
        <v>4785</v>
      </c>
      <c r="W15" s="1">
        <v>2890</v>
      </c>
      <c r="X15" s="9">
        <f>SUM(Table2[[#This Row],[Age 20 to 24]:[Age 90 and Over]])</f>
        <v>265922</v>
      </c>
      <c r="Y15" s="9">
        <f>_xlfn.XLOOKUP(Table2[[#This Row],[Area]],Referendum!E:E,Referendum!L:L,"")</f>
        <v>100210</v>
      </c>
      <c r="Z15" s="9">
        <f>_xlfn.XLOOKUP(Table2[[#This Row],[Area]],Referendum!E:E,Referendum!M:M,"")</f>
        <v>60823</v>
      </c>
      <c r="AA15" s="10">
        <f>(Table2[[#This Row],[Leave Votes]]+Table2[[#This Row],[Remain Votes]])/Table2[[#This Row],[Residents Age &gt;=20]]</f>
        <v>0.60556478967516791</v>
      </c>
      <c r="AB15" s="10">
        <f>Table2[[#This Row],[Remain Votes]]/Table2[[#This Row],[Residents Age &gt;=20]]</f>
        <v>0.37683982521190423</v>
      </c>
      <c r="AC15" s="10">
        <f>Table2[[#This Row],[Leave Votes]]/Table2[[#This Row],[Residents Age &gt;=20]]</f>
        <v>0.22872496446326365</v>
      </c>
    </row>
    <row r="16" spans="1:29" x14ac:dyDescent="0.45">
      <c r="A16" t="s">
        <v>830</v>
      </c>
      <c r="B16" t="s">
        <v>129</v>
      </c>
      <c r="C16" t="s">
        <v>130</v>
      </c>
      <c r="D16" s="1">
        <v>231221</v>
      </c>
      <c r="E16" s="1">
        <v>13957</v>
      </c>
      <c r="F16" s="1">
        <v>12562</v>
      </c>
      <c r="G16" s="1">
        <v>13378</v>
      </c>
      <c r="H16" s="1">
        <v>14390</v>
      </c>
      <c r="I16" s="1">
        <v>13533</v>
      </c>
      <c r="J16" s="1">
        <v>14446</v>
      </c>
      <c r="K16" s="1">
        <v>12793</v>
      </c>
      <c r="L16" s="1">
        <v>14720</v>
      </c>
      <c r="M16" s="1">
        <v>18212</v>
      </c>
      <c r="N16" s="1">
        <v>17843</v>
      </c>
      <c r="O16" s="1">
        <v>16204</v>
      </c>
      <c r="P16" s="1">
        <v>14330</v>
      </c>
      <c r="Q16" s="1">
        <v>14843</v>
      </c>
      <c r="R16" s="1">
        <v>12346</v>
      </c>
      <c r="S16" s="1">
        <v>9734</v>
      </c>
      <c r="T16" s="1">
        <v>7708</v>
      </c>
      <c r="U16" s="1">
        <v>5542</v>
      </c>
      <c r="V16" s="1">
        <v>3279</v>
      </c>
      <c r="W16" s="1">
        <v>1401</v>
      </c>
      <c r="X16" s="9">
        <f>SUM(Table2[[#This Row],[Age 20 to 24]:[Age 90 and Over]])</f>
        <v>176934</v>
      </c>
      <c r="Y16" s="9">
        <f>_xlfn.XLOOKUP(Table2[[#This Row],[Area]],Referendum!E:E,Referendum!L:L,"")</f>
        <v>38951</v>
      </c>
      <c r="Z16" s="9">
        <f>_xlfn.XLOOKUP(Table2[[#This Row],[Area]],Referendum!E:E,Referendum!M:M,"")</f>
        <v>83958</v>
      </c>
      <c r="AA16" s="10">
        <f>(Table2[[#This Row],[Leave Votes]]+Table2[[#This Row],[Remain Votes]])/Table2[[#This Row],[Residents Age &gt;=20]]</f>
        <v>0.69466015576429629</v>
      </c>
      <c r="AB16" s="10">
        <f>Table2[[#This Row],[Remain Votes]]/Table2[[#This Row],[Residents Age &gt;=20]]</f>
        <v>0.22014423457334373</v>
      </c>
      <c r="AC16" s="10">
        <f>Table2[[#This Row],[Leave Votes]]/Table2[[#This Row],[Residents Age &gt;=20]]</f>
        <v>0.47451592119095254</v>
      </c>
    </row>
    <row r="17" spans="1:29" x14ac:dyDescent="0.45">
      <c r="A17" t="s">
        <v>830</v>
      </c>
      <c r="B17" t="s">
        <v>93</v>
      </c>
      <c r="C17" t="s">
        <v>94</v>
      </c>
      <c r="D17" s="1">
        <v>69087</v>
      </c>
      <c r="E17" s="1">
        <v>3719</v>
      </c>
      <c r="F17" s="1">
        <v>3641</v>
      </c>
      <c r="G17" s="1">
        <v>4022</v>
      </c>
      <c r="H17" s="1">
        <v>4491</v>
      </c>
      <c r="I17" s="1">
        <v>3988</v>
      </c>
      <c r="J17" s="1">
        <v>3924</v>
      </c>
      <c r="K17" s="1">
        <v>3601</v>
      </c>
      <c r="L17" s="1">
        <v>4195</v>
      </c>
      <c r="M17" s="1">
        <v>5328</v>
      </c>
      <c r="N17" s="1">
        <v>5354</v>
      </c>
      <c r="O17" s="1">
        <v>4748</v>
      </c>
      <c r="P17" s="1">
        <v>4310</v>
      </c>
      <c r="Q17" s="1">
        <v>4811</v>
      </c>
      <c r="R17" s="1">
        <v>3978</v>
      </c>
      <c r="S17" s="1">
        <v>3284</v>
      </c>
      <c r="T17" s="1">
        <v>2382</v>
      </c>
      <c r="U17" s="1">
        <v>1736</v>
      </c>
      <c r="V17">
        <v>984</v>
      </c>
      <c r="W17">
        <v>591</v>
      </c>
      <c r="X17" s="9">
        <f>SUM(Table2[[#This Row],[Age 20 to 24]:[Age 90 and Over]])</f>
        <v>53214</v>
      </c>
      <c r="Y17" s="9">
        <f>_xlfn.XLOOKUP(Table2[[#This Row],[Area]],Referendum!E:E,Referendum!L:L,"")</f>
        <v>14207</v>
      </c>
      <c r="Z17" s="9">
        <f>_xlfn.XLOOKUP(Table2[[#This Row],[Area]],Referendum!E:E,Referendum!M:M,"")</f>
        <v>21867</v>
      </c>
      <c r="AA17" s="10">
        <f>(Table2[[#This Row],[Leave Votes]]+Table2[[#This Row],[Remain Votes]])/Table2[[#This Row],[Residents Age &gt;=20]]</f>
        <v>0.67790431089562897</v>
      </c>
      <c r="AB17" s="10">
        <f>Table2[[#This Row],[Remain Votes]]/Table2[[#This Row],[Residents Age &gt;=20]]</f>
        <v>0.26697861465028</v>
      </c>
      <c r="AC17" s="10">
        <f>Table2[[#This Row],[Leave Votes]]/Table2[[#This Row],[Residents Age &gt;=20]]</f>
        <v>0.41092569624534897</v>
      </c>
    </row>
    <row r="18" spans="1:29" x14ac:dyDescent="0.45">
      <c r="A18" t="s">
        <v>830</v>
      </c>
      <c r="B18" t="s">
        <v>339</v>
      </c>
      <c r="C18" t="s">
        <v>340</v>
      </c>
      <c r="D18" s="1">
        <v>174497</v>
      </c>
      <c r="E18" s="1">
        <v>11405</v>
      </c>
      <c r="F18" s="1">
        <v>10665</v>
      </c>
      <c r="G18" s="1">
        <v>10891</v>
      </c>
      <c r="H18" s="1">
        <v>11038</v>
      </c>
      <c r="I18" s="1">
        <v>10089</v>
      </c>
      <c r="J18" s="1">
        <v>10936</v>
      </c>
      <c r="K18" s="1">
        <v>11562</v>
      </c>
      <c r="L18" s="1">
        <v>11923</v>
      </c>
      <c r="M18" s="1">
        <v>13215</v>
      </c>
      <c r="N18" s="1">
        <v>13085</v>
      </c>
      <c r="O18" s="1">
        <v>11571</v>
      </c>
      <c r="P18" s="1">
        <v>9732</v>
      </c>
      <c r="Q18" s="1">
        <v>10497</v>
      </c>
      <c r="R18" s="1">
        <v>7892</v>
      </c>
      <c r="S18" s="1">
        <v>6593</v>
      </c>
      <c r="T18" s="1">
        <v>5713</v>
      </c>
      <c r="U18" s="1">
        <v>4155</v>
      </c>
      <c r="V18" s="1">
        <v>2375</v>
      </c>
      <c r="W18" s="1">
        <v>1160</v>
      </c>
      <c r="X18" s="9">
        <f>SUM(Table2[[#This Row],[Age 20 to 24]:[Age 90 and Over]])</f>
        <v>130498</v>
      </c>
      <c r="Y18" s="9">
        <f>_xlfn.XLOOKUP(Table2[[#This Row],[Area]],Referendum!E:E,Referendum!L:L,"")</f>
        <v>30748</v>
      </c>
      <c r="Z18" s="9">
        <f>_xlfn.XLOOKUP(Table2[[#This Row],[Area]],Referendum!E:E,Referendum!M:M,"")</f>
        <v>67251</v>
      </c>
      <c r="AA18" s="10">
        <f>(Table2[[#This Row],[Leave Votes]]+Table2[[#This Row],[Remain Votes]])/Table2[[#This Row],[Residents Age &gt;=20]]</f>
        <v>0.7509617005624607</v>
      </c>
      <c r="AB18" s="10">
        <f>Table2[[#This Row],[Remain Votes]]/Table2[[#This Row],[Residents Age &gt;=20]]</f>
        <v>0.23562046927922267</v>
      </c>
      <c r="AC18" s="10">
        <f>Table2[[#This Row],[Leave Votes]]/Table2[[#This Row],[Residents Age &gt;=20]]</f>
        <v>0.51534123128323805</v>
      </c>
    </row>
    <row r="19" spans="1:29" x14ac:dyDescent="0.45">
      <c r="A19" t="s">
        <v>830</v>
      </c>
      <c r="B19" t="s">
        <v>523</v>
      </c>
      <c r="C19" t="s">
        <v>524</v>
      </c>
      <c r="D19" s="1">
        <v>167799</v>
      </c>
      <c r="E19" s="1">
        <v>11355</v>
      </c>
      <c r="F19" s="1">
        <v>9947</v>
      </c>
      <c r="G19" s="1">
        <v>10369</v>
      </c>
      <c r="H19" s="1">
        <v>9610</v>
      </c>
      <c r="I19" s="1">
        <v>8910</v>
      </c>
      <c r="J19" s="1">
        <v>11034</v>
      </c>
      <c r="K19" s="1">
        <v>11448</v>
      </c>
      <c r="L19" s="1">
        <v>12379</v>
      </c>
      <c r="M19" s="1">
        <v>13687</v>
      </c>
      <c r="N19" s="1">
        <v>13738</v>
      </c>
      <c r="O19" s="1">
        <v>11439</v>
      </c>
      <c r="P19" s="1">
        <v>9543</v>
      </c>
      <c r="Q19" s="1">
        <v>10189</v>
      </c>
      <c r="R19" s="1">
        <v>7700</v>
      </c>
      <c r="S19" s="1">
        <v>5747</v>
      </c>
      <c r="T19" s="1">
        <v>4583</v>
      </c>
      <c r="U19" s="1">
        <v>3223</v>
      </c>
      <c r="V19" s="1">
        <v>1945</v>
      </c>
      <c r="W19">
        <v>953</v>
      </c>
      <c r="X19" s="9">
        <f>SUM(Table2[[#This Row],[Age 20 to 24]:[Age 90 and Over]])</f>
        <v>126518</v>
      </c>
      <c r="Y19" s="9">
        <f>_xlfn.XLOOKUP(Table2[[#This Row],[Area]],Referendum!E:E,Referendum!L:L,"")</f>
        <v>48257</v>
      </c>
      <c r="Z19" s="9">
        <f>_xlfn.XLOOKUP(Table2[[#This Row],[Area]],Referendum!E:E,Referendum!M:M,"")</f>
        <v>52071</v>
      </c>
      <c r="AA19" s="10">
        <f>(Table2[[#This Row],[Leave Votes]]+Table2[[#This Row],[Remain Votes]])/Table2[[#This Row],[Residents Age &gt;=20]]</f>
        <v>0.7929938822934286</v>
      </c>
      <c r="AB19" s="10">
        <f>Table2[[#This Row],[Remain Votes]]/Table2[[#This Row],[Residents Age &gt;=20]]</f>
        <v>0.38142398710064973</v>
      </c>
      <c r="AC19" s="10">
        <f>Table2[[#This Row],[Leave Votes]]/Table2[[#This Row],[Residents Age &gt;=20]]</f>
        <v>0.41156989519277887</v>
      </c>
    </row>
    <row r="20" spans="1:29" x14ac:dyDescent="0.45">
      <c r="A20" t="s">
        <v>830</v>
      </c>
      <c r="B20" t="s">
        <v>241</v>
      </c>
      <c r="C20" t="s">
        <v>242</v>
      </c>
      <c r="D20" s="1">
        <v>112863</v>
      </c>
      <c r="E20" s="1">
        <v>6105</v>
      </c>
      <c r="F20" s="1">
        <v>5826</v>
      </c>
      <c r="G20" s="1">
        <v>6816</v>
      </c>
      <c r="H20" s="1">
        <v>7099</v>
      </c>
      <c r="I20" s="1">
        <v>6021</v>
      </c>
      <c r="J20" s="1">
        <v>6027</v>
      </c>
      <c r="K20" s="1">
        <v>5918</v>
      </c>
      <c r="L20" s="1">
        <v>7051</v>
      </c>
      <c r="M20" s="1">
        <v>8568</v>
      </c>
      <c r="N20" s="1">
        <v>9053</v>
      </c>
      <c r="O20" s="1">
        <v>7994</v>
      </c>
      <c r="P20" s="1">
        <v>7356</v>
      </c>
      <c r="Q20" s="1">
        <v>8088</v>
      </c>
      <c r="R20" s="1">
        <v>6508</v>
      </c>
      <c r="S20" s="1">
        <v>5036</v>
      </c>
      <c r="T20" s="1">
        <v>3962</v>
      </c>
      <c r="U20" s="1">
        <v>2880</v>
      </c>
      <c r="V20" s="1">
        <v>1721</v>
      </c>
      <c r="W20">
        <v>834</v>
      </c>
      <c r="X20" s="9">
        <f>SUM(Table2[[#This Row],[Age 20 to 24]:[Age 90 and Over]])</f>
        <v>87017</v>
      </c>
      <c r="Y20" s="9">
        <f>_xlfn.XLOOKUP(Table2[[#This Row],[Area]],Referendum!E:E,Referendum!L:L,"")</f>
        <v>20575</v>
      </c>
      <c r="Z20" s="9">
        <f>_xlfn.XLOOKUP(Table2[[#This Row],[Area]],Referendum!E:E,Referendum!M:M,"")</f>
        <v>43392</v>
      </c>
      <c r="AA20" s="10">
        <f>(Table2[[#This Row],[Leave Votes]]+Table2[[#This Row],[Remain Votes]])/Table2[[#This Row],[Residents Age &gt;=20]]</f>
        <v>0.73510923152947127</v>
      </c>
      <c r="AB20" s="10">
        <f>Table2[[#This Row],[Remain Votes]]/Table2[[#This Row],[Residents Age &gt;=20]]</f>
        <v>0.23644805038096003</v>
      </c>
      <c r="AC20" s="10">
        <f>Table2[[#This Row],[Leave Votes]]/Table2[[#This Row],[Residents Age &gt;=20]]</f>
        <v>0.49866118114851121</v>
      </c>
    </row>
    <row r="21" spans="1:29" x14ac:dyDescent="0.45">
      <c r="A21" t="s">
        <v>830</v>
      </c>
      <c r="B21" t="s">
        <v>617</v>
      </c>
      <c r="C21" t="s">
        <v>618</v>
      </c>
      <c r="D21" s="1">
        <v>176016</v>
      </c>
      <c r="E21" s="1">
        <v>9238</v>
      </c>
      <c r="F21" s="1">
        <v>8700</v>
      </c>
      <c r="G21" s="1">
        <v>9568</v>
      </c>
      <c r="H21" s="1">
        <v>13282</v>
      </c>
      <c r="I21" s="1">
        <v>15995</v>
      </c>
      <c r="J21" s="1">
        <v>10141</v>
      </c>
      <c r="K21" s="1">
        <v>9478</v>
      </c>
      <c r="L21" s="1">
        <v>10726</v>
      </c>
      <c r="M21" s="1">
        <v>12196</v>
      </c>
      <c r="N21" s="1">
        <v>12824</v>
      </c>
      <c r="O21" s="1">
        <v>11115</v>
      </c>
      <c r="P21" s="1">
        <v>10134</v>
      </c>
      <c r="Q21" s="1">
        <v>10802</v>
      </c>
      <c r="R21" s="1">
        <v>8803</v>
      </c>
      <c r="S21" s="1">
        <v>7125</v>
      </c>
      <c r="T21" s="1">
        <v>6041</v>
      </c>
      <c r="U21" s="1">
        <v>4940</v>
      </c>
      <c r="V21" s="1">
        <v>3249</v>
      </c>
      <c r="W21" s="1">
        <v>1659</v>
      </c>
      <c r="X21" s="9">
        <f>SUM(Table2[[#This Row],[Age 20 to 24]:[Age 90 and Over]])</f>
        <v>135228</v>
      </c>
      <c r="Y21" s="9">
        <f>_xlfn.XLOOKUP(Table2[[#This Row],[Area]],Referendum!E:E,Referendum!L:L,"")</f>
        <v>60878</v>
      </c>
      <c r="Z21" s="9">
        <f>_xlfn.XLOOKUP(Table2[[#This Row],[Area]],Referendum!E:E,Referendum!M:M,"")</f>
        <v>44352</v>
      </c>
      <c r="AA21" s="10">
        <f>(Table2[[#This Row],[Leave Votes]]+Table2[[#This Row],[Remain Votes]])/Table2[[#This Row],[Residents Age &gt;=20]]</f>
        <v>0.77816724347028721</v>
      </c>
      <c r="AB21" s="10">
        <f>Table2[[#This Row],[Remain Votes]]/Table2[[#This Row],[Residents Age &gt;=20]]</f>
        <v>0.45018783092259002</v>
      </c>
      <c r="AC21" s="10">
        <f>Table2[[#This Row],[Leave Votes]]/Table2[[#This Row],[Residents Age &gt;=20]]</f>
        <v>0.32797941254769725</v>
      </c>
    </row>
    <row r="22" spans="1:29" x14ac:dyDescent="0.45">
      <c r="A22" t="s">
        <v>830</v>
      </c>
      <c r="B22" t="s">
        <v>321</v>
      </c>
      <c r="C22" t="s">
        <v>322</v>
      </c>
      <c r="D22" s="1">
        <v>157479</v>
      </c>
      <c r="E22" s="1">
        <v>10099</v>
      </c>
      <c r="F22" s="1">
        <v>9376</v>
      </c>
      <c r="G22" s="1">
        <v>9955</v>
      </c>
      <c r="H22" s="1">
        <v>10450</v>
      </c>
      <c r="I22" s="1">
        <v>9640</v>
      </c>
      <c r="J22" s="1">
        <v>10134</v>
      </c>
      <c r="K22" s="1">
        <v>10394</v>
      </c>
      <c r="L22" s="1">
        <v>10601</v>
      </c>
      <c r="M22" s="1">
        <v>11843</v>
      </c>
      <c r="N22" s="1">
        <v>11693</v>
      </c>
      <c r="O22" s="1">
        <v>10206</v>
      </c>
      <c r="P22" s="1">
        <v>8917</v>
      </c>
      <c r="Q22" s="1">
        <v>9303</v>
      </c>
      <c r="R22" s="1">
        <v>7045</v>
      </c>
      <c r="S22" s="1">
        <v>5716</v>
      </c>
      <c r="T22" s="1">
        <v>4900</v>
      </c>
      <c r="U22" s="1">
        <v>3780</v>
      </c>
      <c r="V22" s="1">
        <v>2297</v>
      </c>
      <c r="W22" s="1">
        <v>1130</v>
      </c>
      <c r="X22" s="9">
        <f>SUM(Table2[[#This Row],[Age 20 to 24]:[Age 90 and Over]])</f>
        <v>117599</v>
      </c>
      <c r="Y22" s="9">
        <f>_xlfn.XLOOKUP(Table2[[#This Row],[Area]],Referendum!E:E,Referendum!L:L,"")</f>
        <v>41497</v>
      </c>
      <c r="Z22" s="9">
        <f>_xlfn.XLOOKUP(Table2[[#This Row],[Area]],Referendum!E:E,Referendum!M:M,"")</f>
        <v>44569</v>
      </c>
      <c r="AA22" s="10">
        <f>(Table2[[#This Row],[Leave Votes]]+Table2[[#This Row],[Remain Votes]])/Table2[[#This Row],[Residents Age &gt;=20]]</f>
        <v>0.73185996479561899</v>
      </c>
      <c r="AB22" s="10">
        <f>Table2[[#This Row],[Remain Votes]]/Table2[[#This Row],[Residents Age &gt;=20]]</f>
        <v>0.35286864684223507</v>
      </c>
      <c r="AC22" s="10">
        <f>Table2[[#This Row],[Leave Votes]]/Table2[[#This Row],[Residents Age &gt;=20]]</f>
        <v>0.37899131795338398</v>
      </c>
    </row>
    <row r="23" spans="1:29" x14ac:dyDescent="0.45">
      <c r="A23" t="s">
        <v>830</v>
      </c>
      <c r="B23" t="s">
        <v>419</v>
      </c>
      <c r="C23" t="s">
        <v>420</v>
      </c>
      <c r="D23" s="1">
        <v>231997</v>
      </c>
      <c r="E23" s="1">
        <v>15182</v>
      </c>
      <c r="F23" s="1">
        <v>14015</v>
      </c>
      <c r="G23" s="1">
        <v>15018</v>
      </c>
      <c r="H23" s="1">
        <v>15828</v>
      </c>
      <c r="I23" s="1">
        <v>14832</v>
      </c>
      <c r="J23" s="1">
        <v>14041</v>
      </c>
      <c r="K23" s="1">
        <v>14473</v>
      </c>
      <c r="L23" s="1">
        <v>14992</v>
      </c>
      <c r="M23" s="1">
        <v>17681</v>
      </c>
      <c r="N23" s="1">
        <v>17994</v>
      </c>
      <c r="O23" s="1">
        <v>15495</v>
      </c>
      <c r="P23" s="1">
        <v>12439</v>
      </c>
      <c r="Q23" s="1">
        <v>12795</v>
      </c>
      <c r="R23" s="1">
        <v>9916</v>
      </c>
      <c r="S23" s="1">
        <v>8779</v>
      </c>
      <c r="T23" s="1">
        <v>7481</v>
      </c>
      <c r="U23" s="1">
        <v>5927</v>
      </c>
      <c r="V23" s="1">
        <v>3403</v>
      </c>
      <c r="W23" s="1">
        <v>1706</v>
      </c>
      <c r="X23" s="9">
        <f>SUM(Table2[[#This Row],[Age 20 to 24]:[Age 90 and Over]])</f>
        <v>171954</v>
      </c>
      <c r="Y23" s="9">
        <f>_xlfn.XLOOKUP(Table2[[#This Row],[Area]],Referendum!E:E,Referendum!L:L,"")</f>
        <v>47603</v>
      </c>
      <c r="Z23" s="9">
        <f>_xlfn.XLOOKUP(Table2[[#This Row],[Area]],Referendum!E:E,Referendum!M:M,"")</f>
        <v>80886</v>
      </c>
      <c r="AA23" s="10">
        <f>(Table2[[#This Row],[Leave Votes]]+Table2[[#This Row],[Remain Votes]])/Table2[[#This Row],[Residents Age &gt;=20]]</f>
        <v>0.74722891005734093</v>
      </c>
      <c r="AB23" s="10">
        <f>Table2[[#This Row],[Remain Votes]]/Table2[[#This Row],[Residents Age &gt;=20]]</f>
        <v>0.2768356653523617</v>
      </c>
      <c r="AC23" s="10">
        <f>Table2[[#This Row],[Leave Votes]]/Table2[[#This Row],[Residents Age &gt;=20]]</f>
        <v>0.47039324470497923</v>
      </c>
    </row>
    <row r="24" spans="1:29" x14ac:dyDescent="0.45">
      <c r="A24" t="s">
        <v>830</v>
      </c>
      <c r="B24" t="s">
        <v>255</v>
      </c>
      <c r="C24" t="s">
        <v>256</v>
      </c>
      <c r="D24" s="1">
        <v>1073045</v>
      </c>
      <c r="E24" s="1">
        <v>81901</v>
      </c>
      <c r="F24" s="1">
        <v>74360</v>
      </c>
      <c r="G24" s="1">
        <v>73659</v>
      </c>
      <c r="H24" s="1">
        <v>80278</v>
      </c>
      <c r="I24" s="1">
        <v>93914</v>
      </c>
      <c r="J24" s="1">
        <v>85601</v>
      </c>
      <c r="K24" s="1">
        <v>79169</v>
      </c>
      <c r="L24" s="1">
        <v>71405</v>
      </c>
      <c r="M24" s="1">
        <v>72084</v>
      </c>
      <c r="N24" s="1">
        <v>68109</v>
      </c>
      <c r="O24" s="1">
        <v>57698</v>
      </c>
      <c r="P24" s="1">
        <v>50219</v>
      </c>
      <c r="Q24" s="1">
        <v>46435</v>
      </c>
      <c r="R24" s="1">
        <v>37543</v>
      </c>
      <c r="S24" s="1">
        <v>32559</v>
      </c>
      <c r="T24" s="1">
        <v>27902</v>
      </c>
      <c r="U24" s="1">
        <v>21141</v>
      </c>
      <c r="V24" s="1">
        <v>12656</v>
      </c>
      <c r="W24" s="1">
        <v>6412</v>
      </c>
      <c r="X24" s="9">
        <f>SUM(Table2[[#This Row],[Age 20 to 24]:[Age 90 and Over]])</f>
        <v>762847</v>
      </c>
      <c r="Y24" s="9">
        <f>_xlfn.XLOOKUP(Table2[[#This Row],[Area]],Referendum!E:E,Referendum!L:L,"")</f>
        <v>223451</v>
      </c>
      <c r="Z24" s="9">
        <f>_xlfn.XLOOKUP(Table2[[#This Row],[Area]],Referendum!E:E,Referendum!M:M,"")</f>
        <v>227251</v>
      </c>
      <c r="AA24" s="10">
        <f>(Table2[[#This Row],[Leave Votes]]+Table2[[#This Row],[Remain Votes]])/Table2[[#This Row],[Residents Age &gt;=20]]</f>
        <v>0.59081572058355081</v>
      </c>
      <c r="AB24" s="10">
        <f>Table2[[#This Row],[Remain Votes]]/Table2[[#This Row],[Residents Age &gt;=20]]</f>
        <v>0.29291719047200815</v>
      </c>
      <c r="AC24" s="10">
        <f>Table2[[#This Row],[Leave Votes]]/Table2[[#This Row],[Residents Age &gt;=20]]</f>
        <v>0.29789853011154266</v>
      </c>
    </row>
    <row r="25" spans="1:29" x14ac:dyDescent="0.45">
      <c r="A25" t="s">
        <v>830</v>
      </c>
      <c r="B25" t="s">
        <v>197</v>
      </c>
      <c r="C25" t="s">
        <v>198</v>
      </c>
      <c r="D25" s="1">
        <v>93915</v>
      </c>
      <c r="E25" s="1">
        <v>5446</v>
      </c>
      <c r="F25" s="1">
        <v>5324</v>
      </c>
      <c r="G25" s="1">
        <v>5590</v>
      </c>
      <c r="H25" s="1">
        <v>5872</v>
      </c>
      <c r="I25" s="1">
        <v>4990</v>
      </c>
      <c r="J25" s="1">
        <v>5005</v>
      </c>
      <c r="K25" s="1">
        <v>5134</v>
      </c>
      <c r="L25" s="1">
        <v>6368</v>
      </c>
      <c r="M25" s="1">
        <v>7451</v>
      </c>
      <c r="N25" s="1">
        <v>7365</v>
      </c>
      <c r="O25" s="1">
        <v>6492</v>
      </c>
      <c r="P25" s="1">
        <v>5646</v>
      </c>
      <c r="Q25" s="1">
        <v>6357</v>
      </c>
      <c r="R25" s="1">
        <v>5026</v>
      </c>
      <c r="S25" s="1">
        <v>4073</v>
      </c>
      <c r="T25" s="1">
        <v>3260</v>
      </c>
      <c r="U25" s="1">
        <v>2397</v>
      </c>
      <c r="V25" s="1">
        <v>1447</v>
      </c>
      <c r="W25">
        <v>672</v>
      </c>
      <c r="X25" s="9">
        <f>SUM(Table2[[#This Row],[Age 20 to 24]:[Age 90 and Over]])</f>
        <v>71683</v>
      </c>
      <c r="Y25" s="9">
        <f>_xlfn.XLOOKUP(Table2[[#This Row],[Area]],Referendum!E:E,Referendum!L:L,"")</f>
        <v>22888</v>
      </c>
      <c r="Z25" s="9">
        <f>_xlfn.XLOOKUP(Table2[[#This Row],[Area]],Referendum!E:E,Referendum!M:M,"")</f>
        <v>33583</v>
      </c>
      <c r="AA25" s="10">
        <f>(Table2[[#This Row],[Leave Votes]]+Table2[[#This Row],[Remain Votes]])/Table2[[#This Row],[Residents Age &gt;=20]]</f>
        <v>0.78778789950197392</v>
      </c>
      <c r="AB25" s="10">
        <f>Table2[[#This Row],[Remain Votes]]/Table2[[#This Row],[Residents Age &gt;=20]]</f>
        <v>0.31929467237699316</v>
      </c>
      <c r="AC25" s="10">
        <f>Table2[[#This Row],[Leave Votes]]/Table2[[#This Row],[Residents Age &gt;=20]]</f>
        <v>0.46849322712498082</v>
      </c>
    </row>
    <row r="26" spans="1:29" x14ac:dyDescent="0.45">
      <c r="A26" t="s">
        <v>830</v>
      </c>
      <c r="B26" t="s">
        <v>87</v>
      </c>
      <c r="C26" t="s">
        <v>88</v>
      </c>
      <c r="D26" s="1">
        <v>147489</v>
      </c>
      <c r="E26" s="1">
        <v>11278</v>
      </c>
      <c r="F26" s="1">
        <v>10478</v>
      </c>
      <c r="G26" s="1">
        <v>10322</v>
      </c>
      <c r="H26" s="1">
        <v>10218</v>
      </c>
      <c r="I26" s="1">
        <v>9718</v>
      </c>
      <c r="J26" s="1">
        <v>10951</v>
      </c>
      <c r="K26" s="1">
        <v>9907</v>
      </c>
      <c r="L26" s="1">
        <v>10137</v>
      </c>
      <c r="M26" s="1">
        <v>10818</v>
      </c>
      <c r="N26" s="1">
        <v>9901</v>
      </c>
      <c r="O26" s="1">
        <v>8934</v>
      </c>
      <c r="P26" s="1">
        <v>7882</v>
      </c>
      <c r="Q26" s="1">
        <v>7884</v>
      </c>
      <c r="R26" s="1">
        <v>5689</v>
      </c>
      <c r="S26" s="1">
        <v>4667</v>
      </c>
      <c r="T26" s="1">
        <v>3659</v>
      </c>
      <c r="U26" s="1">
        <v>2701</v>
      </c>
      <c r="V26" s="1">
        <v>1547</v>
      </c>
      <c r="W26">
        <v>798</v>
      </c>
      <c r="X26" s="9">
        <f>SUM(Table2[[#This Row],[Age 20 to 24]:[Age 90 and Over]])</f>
        <v>105193</v>
      </c>
      <c r="Y26" s="9">
        <f>_xlfn.XLOOKUP(Table2[[#This Row],[Area]],Referendum!E:E,Referendum!L:L,"")</f>
        <v>28522</v>
      </c>
      <c r="Z26" s="9">
        <f>_xlfn.XLOOKUP(Table2[[#This Row],[Area]],Referendum!E:E,Referendum!M:M,"")</f>
        <v>36799</v>
      </c>
      <c r="AA26" s="10">
        <f>(Table2[[#This Row],[Leave Votes]]+Table2[[#This Row],[Remain Votes]])/Table2[[#This Row],[Residents Age &gt;=20]]</f>
        <v>0.6209633720874963</v>
      </c>
      <c r="AB26" s="10">
        <f>Table2[[#This Row],[Remain Votes]]/Table2[[#This Row],[Residents Age &gt;=20]]</f>
        <v>0.27113971461979408</v>
      </c>
      <c r="AC26" s="10">
        <f>Table2[[#This Row],[Leave Votes]]/Table2[[#This Row],[Residents Age &gt;=20]]</f>
        <v>0.34982365746770222</v>
      </c>
    </row>
    <row r="27" spans="1:29" x14ac:dyDescent="0.45">
      <c r="A27" t="s">
        <v>830</v>
      </c>
      <c r="B27" t="s">
        <v>89</v>
      </c>
      <c r="C27" t="s">
        <v>90</v>
      </c>
      <c r="D27" s="1">
        <v>142065</v>
      </c>
      <c r="E27" s="1">
        <v>8218</v>
      </c>
      <c r="F27" s="1">
        <v>7436</v>
      </c>
      <c r="G27" s="1">
        <v>8052</v>
      </c>
      <c r="H27" s="1">
        <v>8648</v>
      </c>
      <c r="I27" s="1">
        <v>8529</v>
      </c>
      <c r="J27" s="1">
        <v>8580</v>
      </c>
      <c r="K27" s="1">
        <v>7756</v>
      </c>
      <c r="L27" s="1">
        <v>8609</v>
      </c>
      <c r="M27" s="1">
        <v>10489</v>
      </c>
      <c r="N27" s="1">
        <v>11025</v>
      </c>
      <c r="O27" s="1">
        <v>9654</v>
      </c>
      <c r="P27" s="1">
        <v>8415</v>
      </c>
      <c r="Q27" s="1">
        <v>9415</v>
      </c>
      <c r="R27" s="1">
        <v>7729</v>
      </c>
      <c r="S27" s="1">
        <v>6624</v>
      </c>
      <c r="T27" s="1">
        <v>5238</v>
      </c>
      <c r="U27" s="1">
        <v>3910</v>
      </c>
      <c r="V27" s="1">
        <v>2431</v>
      </c>
      <c r="W27" s="1">
        <v>1307</v>
      </c>
      <c r="X27" s="9">
        <f>SUM(Table2[[#This Row],[Age 20 to 24]:[Age 90 and Over]])</f>
        <v>109711</v>
      </c>
      <c r="Y27" s="9">
        <f>_xlfn.XLOOKUP(Table2[[#This Row],[Area]],Referendum!E:E,Referendum!L:L,"")</f>
        <v>21781</v>
      </c>
      <c r="Z27" s="9">
        <f>_xlfn.XLOOKUP(Table2[[#This Row],[Area]],Referendum!E:E,Referendum!M:M,"")</f>
        <v>45146</v>
      </c>
      <c r="AA27" s="10">
        <f>(Table2[[#This Row],[Leave Votes]]+Table2[[#This Row],[Remain Votes]])/Table2[[#This Row],[Residents Age &gt;=20]]</f>
        <v>0.61002998787724116</v>
      </c>
      <c r="AB27" s="10">
        <f>Table2[[#This Row],[Remain Votes]]/Table2[[#This Row],[Residents Age &gt;=20]]</f>
        <v>0.19853068516374839</v>
      </c>
      <c r="AC27" s="10">
        <f>Table2[[#This Row],[Leave Votes]]/Table2[[#This Row],[Residents Age &gt;=20]]</f>
        <v>0.41149930271349272</v>
      </c>
    </row>
    <row r="28" spans="1:29" x14ac:dyDescent="0.45">
      <c r="A28" t="s">
        <v>830</v>
      </c>
      <c r="B28" t="s">
        <v>797</v>
      </c>
      <c r="C28" t="s">
        <v>798</v>
      </c>
      <c r="D28" s="1">
        <v>69814</v>
      </c>
      <c r="E28" s="1">
        <v>4016</v>
      </c>
      <c r="F28" s="1">
        <v>3557</v>
      </c>
      <c r="G28" s="1">
        <v>4053</v>
      </c>
      <c r="H28" s="1">
        <v>4645</v>
      </c>
      <c r="I28" s="1">
        <v>4636</v>
      </c>
      <c r="J28" s="1">
        <v>4284</v>
      </c>
      <c r="K28" s="1">
        <v>3996</v>
      </c>
      <c r="L28" s="1">
        <v>4195</v>
      </c>
      <c r="M28" s="1">
        <v>5378</v>
      </c>
      <c r="N28" s="1">
        <v>5228</v>
      </c>
      <c r="O28" s="1">
        <v>4636</v>
      </c>
      <c r="P28" s="1">
        <v>4094</v>
      </c>
      <c r="Q28" s="1">
        <v>4619</v>
      </c>
      <c r="R28" s="1">
        <v>3913</v>
      </c>
      <c r="S28" s="1">
        <v>3052</v>
      </c>
      <c r="T28" s="1">
        <v>2422</v>
      </c>
      <c r="U28" s="1">
        <v>1593</v>
      </c>
      <c r="V28">
        <v>993</v>
      </c>
      <c r="W28">
        <v>504</v>
      </c>
      <c r="X28" s="9">
        <f>SUM(Table2[[#This Row],[Age 20 to 24]:[Age 90 and Over]])</f>
        <v>53543</v>
      </c>
      <c r="Y28" s="9">
        <f>_xlfn.XLOOKUP(Table2[[#This Row],[Area]],Referendum!E:E,Referendum!L:L,"")</f>
        <v>13215</v>
      </c>
      <c r="Z28" s="9">
        <f>_xlfn.XLOOKUP(Table2[[#This Row],[Area]],Referendum!E:E,Referendum!M:M,"")</f>
        <v>21587</v>
      </c>
      <c r="AA28" s="10">
        <f>(Table2[[#This Row],[Leave Votes]]+Table2[[#This Row],[Remain Votes]])/Table2[[#This Row],[Residents Age &gt;=20]]</f>
        <v>0.64998225725118131</v>
      </c>
      <c r="AB28" s="10">
        <f>Table2[[#This Row],[Remain Votes]]/Table2[[#This Row],[Residents Age &gt;=20]]</f>
        <v>0.24681097435705882</v>
      </c>
      <c r="AC28" s="10">
        <f>Table2[[#This Row],[Leave Votes]]/Table2[[#This Row],[Residents Age &gt;=20]]</f>
        <v>0.40317128289412246</v>
      </c>
    </row>
    <row r="29" spans="1:29" x14ac:dyDescent="0.45">
      <c r="A29" t="s">
        <v>830</v>
      </c>
      <c r="B29" t="s">
        <v>183</v>
      </c>
      <c r="C29" t="s">
        <v>184</v>
      </c>
      <c r="D29" s="1">
        <v>75866</v>
      </c>
      <c r="E29" s="1">
        <v>4275</v>
      </c>
      <c r="F29" s="1">
        <v>4003</v>
      </c>
      <c r="G29" s="1">
        <v>4379</v>
      </c>
      <c r="H29" s="1">
        <v>4738</v>
      </c>
      <c r="I29" s="1">
        <v>4267</v>
      </c>
      <c r="J29" s="1">
        <v>4564</v>
      </c>
      <c r="K29" s="1">
        <v>4129</v>
      </c>
      <c r="L29" s="1">
        <v>4909</v>
      </c>
      <c r="M29" s="1">
        <v>6126</v>
      </c>
      <c r="N29" s="1">
        <v>5876</v>
      </c>
      <c r="O29" s="1">
        <v>5173</v>
      </c>
      <c r="P29" s="1">
        <v>4611</v>
      </c>
      <c r="Q29" s="1">
        <v>5032</v>
      </c>
      <c r="R29" s="1">
        <v>4354</v>
      </c>
      <c r="S29" s="1">
        <v>3183</v>
      </c>
      <c r="T29" s="1">
        <v>2601</v>
      </c>
      <c r="U29" s="1">
        <v>1904</v>
      </c>
      <c r="V29" s="1">
        <v>1136</v>
      </c>
      <c r="W29">
        <v>606</v>
      </c>
      <c r="X29" s="9">
        <f>SUM(Table2[[#This Row],[Age 20 to 24]:[Age 90 and Over]])</f>
        <v>58471</v>
      </c>
      <c r="Y29" s="9">
        <f>_xlfn.XLOOKUP(Table2[[#This Row],[Area]],Referendum!E:E,Referendum!L:L,"")</f>
        <v>12242</v>
      </c>
      <c r="Z29" s="9">
        <f>_xlfn.XLOOKUP(Table2[[#This Row],[Area]],Referendum!E:E,Referendum!M:M,"")</f>
        <v>29730</v>
      </c>
      <c r="AA29" s="10">
        <f>(Table2[[#This Row],[Leave Votes]]+Table2[[#This Row],[Remain Votes]])/Table2[[#This Row],[Residents Age &gt;=20]]</f>
        <v>0.71782593080330426</v>
      </c>
      <c r="AB29" s="10">
        <f>Table2[[#This Row],[Remain Votes]]/Table2[[#This Row],[Residents Age &gt;=20]]</f>
        <v>0.20936874690017274</v>
      </c>
      <c r="AC29" s="10">
        <f>Table2[[#This Row],[Leave Votes]]/Table2[[#This Row],[Residents Age &gt;=20]]</f>
        <v>0.50845718390313144</v>
      </c>
    </row>
    <row r="30" spans="1:29" x14ac:dyDescent="0.45">
      <c r="A30" t="s">
        <v>830</v>
      </c>
      <c r="B30" t="s">
        <v>49</v>
      </c>
      <c r="C30" t="s">
        <v>50</v>
      </c>
      <c r="D30" s="1">
        <v>276786</v>
      </c>
      <c r="E30" s="1">
        <v>18765</v>
      </c>
      <c r="F30" s="1">
        <v>16878</v>
      </c>
      <c r="G30" s="1">
        <v>17793</v>
      </c>
      <c r="H30" s="1">
        <v>17922</v>
      </c>
      <c r="I30" s="1">
        <v>18071</v>
      </c>
      <c r="J30" s="1">
        <v>18285</v>
      </c>
      <c r="K30" s="1">
        <v>17195</v>
      </c>
      <c r="L30" s="1">
        <v>18544</v>
      </c>
      <c r="M30" s="1">
        <v>20981</v>
      </c>
      <c r="N30" s="1">
        <v>20058</v>
      </c>
      <c r="O30" s="1">
        <v>17565</v>
      </c>
      <c r="P30" s="1">
        <v>15344</v>
      </c>
      <c r="Q30" s="1">
        <v>16845</v>
      </c>
      <c r="R30" s="1">
        <v>13034</v>
      </c>
      <c r="S30" s="1">
        <v>10519</v>
      </c>
      <c r="T30" s="1">
        <v>7931</v>
      </c>
      <c r="U30" s="1">
        <v>5728</v>
      </c>
      <c r="V30" s="1">
        <v>3652</v>
      </c>
      <c r="W30" s="1">
        <v>1676</v>
      </c>
      <c r="X30" s="9">
        <f>SUM(Table2[[#This Row],[Age 20 to 24]:[Age 90 and Over]])</f>
        <v>205428</v>
      </c>
      <c r="Y30" s="9">
        <f>_xlfn.XLOOKUP(Table2[[#This Row],[Area]],Referendum!E:E,Referendum!L:L,"")</f>
        <v>57589</v>
      </c>
      <c r="Z30" s="9">
        <f>_xlfn.XLOOKUP(Table2[[#This Row],[Area]],Referendum!E:E,Referendum!M:M,"")</f>
        <v>80491</v>
      </c>
      <c r="AA30" s="10">
        <f>(Table2[[#This Row],[Leave Votes]]+Table2[[#This Row],[Remain Votes]])/Table2[[#This Row],[Residents Age &gt;=20]]</f>
        <v>0.6721576416067917</v>
      </c>
      <c r="AB30" s="10">
        <f>Table2[[#This Row],[Remain Votes]]/Table2[[#This Row],[Residents Age &gt;=20]]</f>
        <v>0.2803366629670736</v>
      </c>
      <c r="AC30" s="10">
        <f>Table2[[#This Row],[Leave Votes]]/Table2[[#This Row],[Residents Age &gt;=20]]</f>
        <v>0.39182097863971804</v>
      </c>
    </row>
    <row r="31" spans="1:29" x14ac:dyDescent="0.45">
      <c r="A31" t="s">
        <v>830</v>
      </c>
      <c r="B31" t="s">
        <v>211</v>
      </c>
      <c r="C31" t="s">
        <v>212</v>
      </c>
      <c r="D31" s="1">
        <v>64637</v>
      </c>
      <c r="E31" s="1">
        <v>3841</v>
      </c>
      <c r="F31" s="1">
        <v>3223</v>
      </c>
      <c r="G31" s="1">
        <v>3527</v>
      </c>
      <c r="H31" s="1">
        <v>3685</v>
      </c>
      <c r="I31" s="1">
        <v>3942</v>
      </c>
      <c r="J31" s="1">
        <v>4372</v>
      </c>
      <c r="K31" s="1">
        <v>3850</v>
      </c>
      <c r="L31" s="1">
        <v>3892</v>
      </c>
      <c r="M31" s="1">
        <v>4347</v>
      </c>
      <c r="N31" s="1">
        <v>4539</v>
      </c>
      <c r="O31" s="1">
        <v>4208</v>
      </c>
      <c r="P31" s="1">
        <v>4074</v>
      </c>
      <c r="Q31" s="1">
        <v>4395</v>
      </c>
      <c r="R31" s="1">
        <v>3735</v>
      </c>
      <c r="S31" s="1">
        <v>3038</v>
      </c>
      <c r="T31" s="1">
        <v>2422</v>
      </c>
      <c r="U31" s="1">
        <v>1922</v>
      </c>
      <c r="V31" s="1">
        <v>1096</v>
      </c>
      <c r="W31">
        <v>529</v>
      </c>
      <c r="X31" s="9">
        <f>SUM(Table2[[#This Row],[Age 20 to 24]:[Age 90 and Over]])</f>
        <v>50361</v>
      </c>
      <c r="Y31" s="9">
        <f>_xlfn.XLOOKUP(Table2[[#This Row],[Area]],Referendum!E:E,Referendum!L:L,"")</f>
        <v>7430</v>
      </c>
      <c r="Z31" s="9">
        <f>_xlfn.XLOOKUP(Table2[[#This Row],[Area]],Referendum!E:E,Referendum!M:M,"")</f>
        <v>22974</v>
      </c>
      <c r="AA31" s="10">
        <f>(Table2[[#This Row],[Leave Votes]]+Table2[[#This Row],[Remain Votes]])/Table2[[#This Row],[Residents Age &gt;=20]]</f>
        <v>0.60372113341673117</v>
      </c>
      <c r="AB31" s="10">
        <f>Table2[[#This Row],[Remain Votes]]/Table2[[#This Row],[Residents Age &gt;=20]]</f>
        <v>0.14753479875300332</v>
      </c>
      <c r="AC31" s="10">
        <f>Table2[[#This Row],[Leave Votes]]/Table2[[#This Row],[Residents Age &gt;=20]]</f>
        <v>0.45618633466372788</v>
      </c>
    </row>
    <row r="32" spans="1:29" x14ac:dyDescent="0.45">
      <c r="A32" t="s">
        <v>830</v>
      </c>
      <c r="B32" t="s">
        <v>633</v>
      </c>
      <c r="C32" t="s">
        <v>634</v>
      </c>
      <c r="D32" s="1">
        <v>183491</v>
      </c>
      <c r="E32" s="1">
        <v>10275</v>
      </c>
      <c r="F32" s="1">
        <v>7861</v>
      </c>
      <c r="G32" s="1">
        <v>8399</v>
      </c>
      <c r="H32" s="1">
        <v>11390</v>
      </c>
      <c r="I32" s="1">
        <v>17130</v>
      </c>
      <c r="J32" s="1">
        <v>14935</v>
      </c>
      <c r="K32" s="1">
        <v>14309</v>
      </c>
      <c r="L32" s="1">
        <v>12392</v>
      </c>
      <c r="M32" s="1">
        <v>12369</v>
      </c>
      <c r="N32" s="1">
        <v>12284</v>
      </c>
      <c r="O32" s="1">
        <v>10361</v>
      </c>
      <c r="P32" s="1">
        <v>9285</v>
      </c>
      <c r="Q32" s="1">
        <v>10190</v>
      </c>
      <c r="R32" s="1">
        <v>8048</v>
      </c>
      <c r="S32" s="1">
        <v>6613</v>
      </c>
      <c r="T32" s="1">
        <v>6149</v>
      </c>
      <c r="U32" s="1">
        <v>5355</v>
      </c>
      <c r="V32" s="1">
        <v>3834</v>
      </c>
      <c r="W32" s="1">
        <v>2312</v>
      </c>
      <c r="X32" s="9">
        <f>SUM(Table2[[#This Row],[Age 20 to 24]:[Age 90 and Over]])</f>
        <v>145566</v>
      </c>
      <c r="Y32" s="9">
        <f>_xlfn.XLOOKUP(Table2[[#This Row],[Area]],Referendum!E:E,Referendum!L:L,"")</f>
        <v>41473</v>
      </c>
      <c r="Z32" s="9">
        <f>_xlfn.XLOOKUP(Table2[[#This Row],[Area]],Referendum!E:E,Referendum!M:M,"")</f>
        <v>50453</v>
      </c>
      <c r="AA32" s="10">
        <f>(Table2[[#This Row],[Leave Votes]]+Table2[[#This Row],[Remain Votes]])/Table2[[#This Row],[Residents Age &gt;=20]]</f>
        <v>0.63150735748732534</v>
      </c>
      <c r="AB32" s="10">
        <f>Table2[[#This Row],[Remain Votes]]/Table2[[#This Row],[Residents Age &gt;=20]]</f>
        <v>0.2849085638129783</v>
      </c>
      <c r="AC32" s="10">
        <f>Table2[[#This Row],[Leave Votes]]/Table2[[#This Row],[Residents Age &gt;=20]]</f>
        <v>0.34659879367434704</v>
      </c>
    </row>
    <row r="33" spans="1:29" x14ac:dyDescent="0.45">
      <c r="A33" t="s">
        <v>830</v>
      </c>
      <c r="B33" t="s">
        <v>483</v>
      </c>
      <c r="C33" t="s">
        <v>484</v>
      </c>
      <c r="D33" s="1">
        <v>113205</v>
      </c>
      <c r="E33" s="1">
        <v>8027</v>
      </c>
      <c r="F33" s="1">
        <v>6745</v>
      </c>
      <c r="G33" s="1">
        <v>7082</v>
      </c>
      <c r="H33" s="1">
        <v>7231</v>
      </c>
      <c r="I33" s="1">
        <v>6349</v>
      </c>
      <c r="J33" s="1">
        <v>7721</v>
      </c>
      <c r="K33" s="1">
        <v>8414</v>
      </c>
      <c r="L33" s="1">
        <v>8792</v>
      </c>
      <c r="M33" s="1">
        <v>9425</v>
      </c>
      <c r="N33" s="1">
        <v>9181</v>
      </c>
      <c r="O33" s="1">
        <v>7911</v>
      </c>
      <c r="P33" s="1">
        <v>6347</v>
      </c>
      <c r="Q33" s="1">
        <v>5833</v>
      </c>
      <c r="R33" s="1">
        <v>4213</v>
      </c>
      <c r="S33" s="1">
        <v>3307</v>
      </c>
      <c r="T33" s="1">
        <v>2789</v>
      </c>
      <c r="U33" s="1">
        <v>1953</v>
      </c>
      <c r="V33" s="1">
        <v>1247</v>
      </c>
      <c r="W33">
        <v>638</v>
      </c>
      <c r="X33" s="9">
        <f>SUM(Table2[[#This Row],[Age 20 to 24]:[Age 90 and Over]])</f>
        <v>84120</v>
      </c>
      <c r="Y33" s="9">
        <f>_xlfn.XLOOKUP(Table2[[#This Row],[Area]],Referendum!E:E,Referendum!L:L,"")</f>
        <v>29888</v>
      </c>
      <c r="Z33" s="9">
        <f>_xlfn.XLOOKUP(Table2[[#This Row],[Area]],Referendum!E:E,Referendum!M:M,"")</f>
        <v>35002</v>
      </c>
      <c r="AA33" s="10">
        <f>(Table2[[#This Row],[Leave Votes]]+Table2[[#This Row],[Remain Votes]])/Table2[[#This Row],[Residents Age &gt;=20]]</f>
        <v>0.77139800285306703</v>
      </c>
      <c r="AB33" s="10">
        <f>Table2[[#This Row],[Remain Votes]]/Table2[[#This Row],[Residents Age &gt;=20]]</f>
        <v>0.35530194959581551</v>
      </c>
      <c r="AC33" s="10">
        <f>Table2[[#This Row],[Leave Votes]]/Table2[[#This Row],[Residents Age &gt;=20]]</f>
        <v>0.41609605325725152</v>
      </c>
    </row>
    <row r="34" spans="1:29" x14ac:dyDescent="0.45">
      <c r="A34" t="s">
        <v>830</v>
      </c>
      <c r="B34" t="s">
        <v>137</v>
      </c>
      <c r="C34" t="s">
        <v>138</v>
      </c>
      <c r="D34" s="1">
        <v>522452</v>
      </c>
      <c r="E34" s="1">
        <v>41167</v>
      </c>
      <c r="F34" s="1">
        <v>37482</v>
      </c>
      <c r="G34" s="1">
        <v>36268</v>
      </c>
      <c r="H34" s="1">
        <v>35368</v>
      </c>
      <c r="I34" s="1">
        <v>35679</v>
      </c>
      <c r="J34" s="1">
        <v>38810</v>
      </c>
      <c r="K34" s="1">
        <v>36821</v>
      </c>
      <c r="L34" s="1">
        <v>35704</v>
      </c>
      <c r="M34" s="1">
        <v>35914</v>
      </c>
      <c r="N34" s="1">
        <v>34006</v>
      </c>
      <c r="O34" s="1">
        <v>31493</v>
      </c>
      <c r="P34" s="1">
        <v>27588</v>
      </c>
      <c r="Q34" s="1">
        <v>26760</v>
      </c>
      <c r="R34" s="1">
        <v>18570</v>
      </c>
      <c r="S34" s="1">
        <v>16918</v>
      </c>
      <c r="T34" s="1">
        <v>13917</v>
      </c>
      <c r="U34" s="1">
        <v>10383</v>
      </c>
      <c r="V34" s="1">
        <v>6493</v>
      </c>
      <c r="W34" s="1">
        <v>3111</v>
      </c>
      <c r="X34" s="9">
        <f>SUM(Table2[[#This Row],[Age 20 to 24]:[Age 90 and Over]])</f>
        <v>372167</v>
      </c>
      <c r="Y34" s="9">
        <f>_xlfn.XLOOKUP(Table2[[#This Row],[Area]],Referendum!E:E,Referendum!L:L,"")</f>
        <v>104575</v>
      </c>
      <c r="Z34" s="9">
        <f>_xlfn.XLOOKUP(Table2[[#This Row],[Area]],Referendum!E:E,Referendum!M:M,"")</f>
        <v>123913</v>
      </c>
      <c r="AA34" s="10">
        <f>(Table2[[#This Row],[Leave Votes]]+Table2[[#This Row],[Remain Votes]])/Table2[[#This Row],[Residents Age &gt;=20]]</f>
        <v>0.61393944116485344</v>
      </c>
      <c r="AB34" s="10">
        <f>Table2[[#This Row],[Remain Votes]]/Table2[[#This Row],[Residents Age &gt;=20]]</f>
        <v>0.2809894482853128</v>
      </c>
      <c r="AC34" s="10">
        <f>Table2[[#This Row],[Leave Votes]]/Table2[[#This Row],[Residents Age &gt;=20]]</f>
        <v>0.33294999287954063</v>
      </c>
    </row>
    <row r="35" spans="1:29" x14ac:dyDescent="0.45">
      <c r="A35" t="s">
        <v>830</v>
      </c>
      <c r="B35" t="s">
        <v>341</v>
      </c>
      <c r="C35" t="s">
        <v>342</v>
      </c>
      <c r="D35" s="1">
        <v>147084</v>
      </c>
      <c r="E35" s="1">
        <v>9467</v>
      </c>
      <c r="F35" s="1">
        <v>8729</v>
      </c>
      <c r="G35" s="1">
        <v>8943</v>
      </c>
      <c r="H35" s="1">
        <v>8669</v>
      </c>
      <c r="I35" s="1">
        <v>7957</v>
      </c>
      <c r="J35" s="1">
        <v>8373</v>
      </c>
      <c r="K35" s="1">
        <v>8725</v>
      </c>
      <c r="L35" s="1">
        <v>10042</v>
      </c>
      <c r="M35" s="1">
        <v>11720</v>
      </c>
      <c r="N35" s="1">
        <v>11358</v>
      </c>
      <c r="O35" s="1">
        <v>9673</v>
      </c>
      <c r="P35" s="1">
        <v>9048</v>
      </c>
      <c r="Q35" s="1">
        <v>9967</v>
      </c>
      <c r="R35" s="1">
        <v>7418</v>
      </c>
      <c r="S35" s="1">
        <v>5615</v>
      </c>
      <c r="T35" s="1">
        <v>4376</v>
      </c>
      <c r="U35" s="1">
        <v>3496</v>
      </c>
      <c r="V35" s="1">
        <v>2258</v>
      </c>
      <c r="W35" s="1">
        <v>1250</v>
      </c>
      <c r="X35" s="9">
        <f>SUM(Table2[[#This Row],[Age 20 to 24]:[Age 90 and Over]])</f>
        <v>111276</v>
      </c>
      <c r="Y35" s="9">
        <f>_xlfn.XLOOKUP(Table2[[#This Row],[Area]],Referendum!E:E,Referendum!L:L,"")</f>
        <v>33523</v>
      </c>
      <c r="Z35" s="9">
        <f>_xlfn.XLOOKUP(Table2[[#This Row],[Area]],Referendum!E:E,Referendum!M:M,"")</f>
        <v>52713</v>
      </c>
      <c r="AA35" s="10">
        <f>(Table2[[#This Row],[Leave Votes]]+Table2[[#This Row],[Remain Votes]])/Table2[[#This Row],[Residents Age &gt;=20]]</f>
        <v>0.7749739386750063</v>
      </c>
      <c r="AB35" s="10">
        <f>Table2[[#This Row],[Remain Votes]]/Table2[[#This Row],[Residents Age &gt;=20]]</f>
        <v>0.30125993026348896</v>
      </c>
      <c r="AC35" s="10">
        <f>Table2[[#This Row],[Leave Votes]]/Table2[[#This Row],[Residents Age &gt;=20]]</f>
        <v>0.47371400841151728</v>
      </c>
    </row>
    <row r="36" spans="1:29" x14ac:dyDescent="0.45">
      <c r="A36" t="s">
        <v>830</v>
      </c>
      <c r="B36" t="s">
        <v>383</v>
      </c>
      <c r="C36" t="s">
        <v>384</v>
      </c>
      <c r="D36" s="1">
        <v>130491</v>
      </c>
      <c r="E36" s="1">
        <v>7412</v>
      </c>
      <c r="F36" s="1">
        <v>6433</v>
      </c>
      <c r="G36" s="1">
        <v>7411</v>
      </c>
      <c r="H36" s="1">
        <v>7632</v>
      </c>
      <c r="I36" s="1">
        <v>7303</v>
      </c>
      <c r="J36" s="1">
        <v>7334</v>
      </c>
      <c r="K36" s="1">
        <v>6751</v>
      </c>
      <c r="L36" s="1">
        <v>7576</v>
      </c>
      <c r="M36" s="1">
        <v>9026</v>
      </c>
      <c r="N36" s="1">
        <v>9536</v>
      </c>
      <c r="O36" s="1">
        <v>8255</v>
      </c>
      <c r="P36" s="1">
        <v>7913</v>
      </c>
      <c r="Q36" s="1">
        <v>9771</v>
      </c>
      <c r="R36" s="1">
        <v>8088</v>
      </c>
      <c r="S36" s="1">
        <v>6719</v>
      </c>
      <c r="T36" s="1">
        <v>5426</v>
      </c>
      <c r="U36" s="1">
        <v>4043</v>
      </c>
      <c r="V36" s="1">
        <v>2544</v>
      </c>
      <c r="W36" s="1">
        <v>1318</v>
      </c>
      <c r="X36" s="9">
        <f>SUM(Table2[[#This Row],[Age 20 to 24]:[Age 90 and Over]])</f>
        <v>101603</v>
      </c>
      <c r="Y36" s="9">
        <f>_xlfn.XLOOKUP(Table2[[#This Row],[Area]],Referendum!E:E,Referendum!L:L,"")</f>
        <v>26313</v>
      </c>
      <c r="Z36" s="9">
        <f>_xlfn.XLOOKUP(Table2[[#This Row],[Area]],Referendum!E:E,Referendum!M:M,"")</f>
        <v>47235</v>
      </c>
      <c r="AA36" s="10">
        <f>(Table2[[#This Row],[Leave Votes]]+Table2[[#This Row],[Remain Votes]])/Table2[[#This Row],[Residents Age &gt;=20]]</f>
        <v>0.72387626349615664</v>
      </c>
      <c r="AB36" s="10">
        <f>Table2[[#This Row],[Remain Votes]]/Table2[[#This Row],[Residents Age &gt;=20]]</f>
        <v>0.2589785734673189</v>
      </c>
      <c r="AC36" s="10">
        <f>Table2[[#This Row],[Leave Votes]]/Table2[[#This Row],[Residents Age &gt;=20]]</f>
        <v>0.46489769002883774</v>
      </c>
    </row>
    <row r="37" spans="1:29" x14ac:dyDescent="0.45">
      <c r="A37" t="s">
        <v>830</v>
      </c>
      <c r="B37" t="s">
        <v>421</v>
      </c>
      <c r="C37" t="s">
        <v>422</v>
      </c>
      <c r="D37" s="1">
        <v>311215</v>
      </c>
      <c r="E37" s="1">
        <v>22446</v>
      </c>
      <c r="F37" s="1">
        <v>18648</v>
      </c>
      <c r="G37" s="1">
        <v>17942</v>
      </c>
      <c r="H37" s="1">
        <v>18589</v>
      </c>
      <c r="I37" s="1">
        <v>24198</v>
      </c>
      <c r="J37" s="1">
        <v>34698</v>
      </c>
      <c r="K37" s="1">
        <v>30190</v>
      </c>
      <c r="L37" s="1">
        <v>24324</v>
      </c>
      <c r="M37" s="1">
        <v>21774</v>
      </c>
      <c r="N37" s="1">
        <v>20546</v>
      </c>
      <c r="O37" s="1">
        <v>18473</v>
      </c>
      <c r="P37" s="1">
        <v>14443</v>
      </c>
      <c r="Q37" s="1">
        <v>12268</v>
      </c>
      <c r="R37" s="1">
        <v>9580</v>
      </c>
      <c r="S37" s="1">
        <v>8364</v>
      </c>
      <c r="T37" s="1">
        <v>6684</v>
      </c>
      <c r="U37" s="1">
        <v>4453</v>
      </c>
      <c r="V37" s="1">
        <v>2408</v>
      </c>
      <c r="W37" s="1">
        <v>1187</v>
      </c>
      <c r="X37" s="9">
        <f>SUM(Table2[[#This Row],[Age 20 to 24]:[Age 90 and Over]])</f>
        <v>233590</v>
      </c>
      <c r="Y37" s="9">
        <f>_xlfn.XLOOKUP(Table2[[#This Row],[Area]],Referendum!E:E,Referendum!L:L,"")</f>
        <v>72523</v>
      </c>
      <c r="Z37" s="9">
        <f>_xlfn.XLOOKUP(Table2[[#This Row],[Area]],Referendum!E:E,Referendum!M:M,"")</f>
        <v>48881</v>
      </c>
      <c r="AA37" s="10">
        <f>(Table2[[#This Row],[Leave Votes]]+Table2[[#This Row],[Remain Votes]])/Table2[[#This Row],[Residents Age &gt;=20]]</f>
        <v>0.51973115287469496</v>
      </c>
      <c r="AB37" s="10">
        <f>Table2[[#This Row],[Remain Votes]]/Table2[[#This Row],[Residents Age &gt;=20]]</f>
        <v>0.31047133867031979</v>
      </c>
      <c r="AC37" s="10">
        <f>Table2[[#This Row],[Leave Votes]]/Table2[[#This Row],[Residents Age &gt;=20]]</f>
        <v>0.2092598142043752</v>
      </c>
    </row>
    <row r="38" spans="1:29" x14ac:dyDescent="0.45">
      <c r="A38" t="s">
        <v>830</v>
      </c>
      <c r="B38" t="s">
        <v>343</v>
      </c>
      <c r="C38" t="s">
        <v>344</v>
      </c>
      <c r="D38" s="1">
        <v>73601</v>
      </c>
      <c r="E38" s="1">
        <v>3926</v>
      </c>
      <c r="F38" s="1">
        <v>4057</v>
      </c>
      <c r="G38" s="1">
        <v>4585</v>
      </c>
      <c r="H38" s="1">
        <v>4495</v>
      </c>
      <c r="I38" s="1">
        <v>3648</v>
      </c>
      <c r="J38" s="1">
        <v>3819</v>
      </c>
      <c r="K38" s="1">
        <v>4229</v>
      </c>
      <c r="L38" s="1">
        <v>4784</v>
      </c>
      <c r="M38" s="1">
        <v>5602</v>
      </c>
      <c r="N38" s="1">
        <v>6147</v>
      </c>
      <c r="O38" s="1">
        <v>5147</v>
      </c>
      <c r="P38" s="1">
        <v>4354</v>
      </c>
      <c r="Q38" s="1">
        <v>4759</v>
      </c>
      <c r="R38" s="1">
        <v>3701</v>
      </c>
      <c r="S38" s="1">
        <v>3192</v>
      </c>
      <c r="T38" s="1">
        <v>2786</v>
      </c>
      <c r="U38" s="1">
        <v>2180</v>
      </c>
      <c r="V38" s="1">
        <v>1453</v>
      </c>
      <c r="W38">
        <v>737</v>
      </c>
      <c r="X38" s="9">
        <f>SUM(Table2[[#This Row],[Age 20 to 24]:[Age 90 and Over]])</f>
        <v>56538</v>
      </c>
      <c r="Y38" s="9">
        <f>_xlfn.XLOOKUP(Table2[[#This Row],[Area]],Referendum!E:E,Referendum!L:L,"")</f>
        <v>19077</v>
      </c>
      <c r="Z38" s="9">
        <f>_xlfn.XLOOKUP(Table2[[#This Row],[Area]],Referendum!E:E,Referendum!M:M,"")</f>
        <v>27627</v>
      </c>
      <c r="AA38" s="10">
        <f>(Table2[[#This Row],[Leave Votes]]+Table2[[#This Row],[Remain Votes]])/Table2[[#This Row],[Residents Age &gt;=20]]</f>
        <v>0.82606388623580596</v>
      </c>
      <c r="AB38" s="10">
        <f>Table2[[#This Row],[Remain Votes]]/Table2[[#This Row],[Residents Age &gt;=20]]</f>
        <v>0.33741908097208956</v>
      </c>
      <c r="AC38" s="10">
        <f>Table2[[#This Row],[Leave Votes]]/Table2[[#This Row],[Residents Age &gt;=20]]</f>
        <v>0.48864480526371645</v>
      </c>
    </row>
    <row r="39" spans="1:29" x14ac:dyDescent="0.45">
      <c r="A39" t="s">
        <v>830</v>
      </c>
      <c r="B39" t="s">
        <v>787</v>
      </c>
      <c r="C39" t="s">
        <v>788</v>
      </c>
      <c r="D39" s="1">
        <v>139178</v>
      </c>
      <c r="E39" s="1">
        <v>7727</v>
      </c>
      <c r="F39" s="1">
        <v>7579</v>
      </c>
      <c r="G39" s="1">
        <v>8369</v>
      </c>
      <c r="H39" s="1">
        <v>8397</v>
      </c>
      <c r="I39" s="1">
        <v>8234</v>
      </c>
      <c r="J39" s="1">
        <v>8439</v>
      </c>
      <c r="K39" s="1">
        <v>8332</v>
      </c>
      <c r="L39" s="1">
        <v>9136</v>
      </c>
      <c r="M39" s="1">
        <v>10456</v>
      </c>
      <c r="N39" s="1">
        <v>10633</v>
      </c>
      <c r="O39" s="1">
        <v>9366</v>
      </c>
      <c r="P39" s="1">
        <v>8521</v>
      </c>
      <c r="Q39" s="1">
        <v>9135</v>
      </c>
      <c r="R39" s="1">
        <v>7518</v>
      </c>
      <c r="S39" s="1">
        <v>6251</v>
      </c>
      <c r="T39" s="1">
        <v>4761</v>
      </c>
      <c r="U39" s="1">
        <v>3284</v>
      </c>
      <c r="V39" s="1">
        <v>2054</v>
      </c>
      <c r="W39">
        <v>986</v>
      </c>
      <c r="X39" s="9">
        <f>SUM(Table2[[#This Row],[Age 20 to 24]:[Age 90 and Over]])</f>
        <v>107106</v>
      </c>
      <c r="Y39" s="9">
        <f>_xlfn.XLOOKUP(Table2[[#This Row],[Area]],Referendum!E:E,Referendum!L:L,"")</f>
        <v>33723</v>
      </c>
      <c r="Z39" s="9">
        <f>_xlfn.XLOOKUP(Table2[[#This Row],[Area]],Referendum!E:E,Referendum!M:M,"")</f>
        <v>40622</v>
      </c>
      <c r="AA39" s="10">
        <f>(Table2[[#This Row],[Leave Votes]]+Table2[[#This Row],[Remain Votes]])/Table2[[#This Row],[Residents Age &gt;=20]]</f>
        <v>0.69412544582002877</v>
      </c>
      <c r="AB39" s="10">
        <f>Table2[[#This Row],[Remain Votes]]/Table2[[#This Row],[Residents Age &gt;=20]]</f>
        <v>0.31485631057083635</v>
      </c>
      <c r="AC39" s="10">
        <f>Table2[[#This Row],[Leave Votes]]/Table2[[#This Row],[Residents Age &gt;=20]]</f>
        <v>0.37926913524919237</v>
      </c>
    </row>
    <row r="40" spans="1:29" x14ac:dyDescent="0.45">
      <c r="A40" t="s">
        <v>830</v>
      </c>
      <c r="B40" t="s">
        <v>497</v>
      </c>
      <c r="C40" t="s">
        <v>498</v>
      </c>
      <c r="D40" s="1">
        <v>273369</v>
      </c>
      <c r="E40" s="1">
        <v>15015</v>
      </c>
      <c r="F40" s="1">
        <v>13291</v>
      </c>
      <c r="G40" s="1">
        <v>13412</v>
      </c>
      <c r="H40" s="1">
        <v>18039</v>
      </c>
      <c r="I40" s="1">
        <v>28129</v>
      </c>
      <c r="J40" s="1">
        <v>22998</v>
      </c>
      <c r="K40" s="1">
        <v>21959</v>
      </c>
      <c r="L40" s="1">
        <v>21789</v>
      </c>
      <c r="M40" s="1">
        <v>21905</v>
      </c>
      <c r="N40" s="1">
        <v>20443</v>
      </c>
      <c r="O40" s="1">
        <v>15345</v>
      </c>
      <c r="P40" s="1">
        <v>12638</v>
      </c>
      <c r="Q40" s="1">
        <v>12714</v>
      </c>
      <c r="R40" s="1">
        <v>9535</v>
      </c>
      <c r="S40" s="1">
        <v>7925</v>
      </c>
      <c r="T40" s="1">
        <v>6676</v>
      </c>
      <c r="U40" s="1">
        <v>5572</v>
      </c>
      <c r="V40" s="1">
        <v>3758</v>
      </c>
      <c r="W40" s="1">
        <v>2226</v>
      </c>
      <c r="X40" s="9">
        <f>SUM(Table2[[#This Row],[Age 20 to 24]:[Age 90 and Over]])</f>
        <v>213612</v>
      </c>
      <c r="Y40" s="9">
        <f>_xlfn.XLOOKUP(Table2[[#This Row],[Area]],Referendum!E:E,Referendum!L:L,"")</f>
        <v>100648</v>
      </c>
      <c r="Z40" s="9">
        <f>_xlfn.XLOOKUP(Table2[[#This Row],[Area]],Referendum!E:E,Referendum!M:M,"")</f>
        <v>46027</v>
      </c>
      <c r="AA40" s="10">
        <f>(Table2[[#This Row],[Leave Votes]]+Table2[[#This Row],[Remain Votes]])/Table2[[#This Row],[Residents Age &gt;=20]]</f>
        <v>0.68664213620957626</v>
      </c>
      <c r="AB40" s="10">
        <f>Table2[[#This Row],[Remain Votes]]/Table2[[#This Row],[Residents Age &gt;=20]]</f>
        <v>0.47117203153380899</v>
      </c>
      <c r="AC40" s="10">
        <f>Table2[[#This Row],[Leave Votes]]/Table2[[#This Row],[Residents Age &gt;=20]]</f>
        <v>0.21547010467576727</v>
      </c>
    </row>
    <row r="41" spans="1:29" x14ac:dyDescent="0.45">
      <c r="A41" t="s">
        <v>830</v>
      </c>
      <c r="B41" t="s">
        <v>619</v>
      </c>
      <c r="C41" t="s">
        <v>620</v>
      </c>
      <c r="D41" s="1">
        <v>428234</v>
      </c>
      <c r="E41" s="1">
        <v>29633</v>
      </c>
      <c r="F41" s="1">
        <v>22837</v>
      </c>
      <c r="G41" s="1">
        <v>21703</v>
      </c>
      <c r="H41" s="1">
        <v>27041</v>
      </c>
      <c r="I41" s="1">
        <v>44371</v>
      </c>
      <c r="J41" s="1">
        <v>40752</v>
      </c>
      <c r="K41" s="1">
        <v>36418</v>
      </c>
      <c r="L41" s="1">
        <v>30435</v>
      </c>
      <c r="M41" s="1">
        <v>28307</v>
      </c>
      <c r="N41" s="1">
        <v>27076</v>
      </c>
      <c r="O41" s="1">
        <v>23319</v>
      </c>
      <c r="P41" s="1">
        <v>20392</v>
      </c>
      <c r="Q41" s="1">
        <v>20078</v>
      </c>
      <c r="R41" s="1">
        <v>15222</v>
      </c>
      <c r="S41" s="1">
        <v>12503</v>
      </c>
      <c r="T41" s="1">
        <v>10697</v>
      </c>
      <c r="U41" s="1">
        <v>8538</v>
      </c>
      <c r="V41" s="1">
        <v>5798</v>
      </c>
      <c r="W41" s="1">
        <v>3114</v>
      </c>
      <c r="X41" s="9">
        <f>SUM(Table2[[#This Row],[Age 20 to 24]:[Age 90 and Over]])</f>
        <v>327020</v>
      </c>
      <c r="Y41" s="9">
        <f>_xlfn.XLOOKUP(Table2[[#This Row],[Area]],Referendum!E:E,Referendum!L:L,"")</f>
        <v>141027</v>
      </c>
      <c r="Z41" s="9">
        <f>_xlfn.XLOOKUP(Table2[[#This Row],[Area]],Referendum!E:E,Referendum!M:M,"")</f>
        <v>87418</v>
      </c>
      <c r="AA41" s="10">
        <f>(Table2[[#This Row],[Leave Votes]]+Table2[[#This Row],[Remain Votes]])/Table2[[#This Row],[Residents Age &gt;=20]]</f>
        <v>0.69856583695186836</v>
      </c>
      <c r="AB41" s="10">
        <f>Table2[[#This Row],[Remain Votes]]/Table2[[#This Row],[Residents Age &gt;=20]]</f>
        <v>0.43124885328114487</v>
      </c>
      <c r="AC41" s="10">
        <f>Table2[[#This Row],[Leave Votes]]/Table2[[#This Row],[Residents Age &gt;=20]]</f>
        <v>0.26731698367072348</v>
      </c>
    </row>
    <row r="42" spans="1:29" x14ac:dyDescent="0.45">
      <c r="A42" t="s">
        <v>830</v>
      </c>
      <c r="B42" t="s">
        <v>385</v>
      </c>
      <c r="C42" t="s">
        <v>386</v>
      </c>
      <c r="D42" s="1">
        <v>124646</v>
      </c>
      <c r="E42" s="1">
        <v>6053</v>
      </c>
      <c r="F42" s="1">
        <v>6239</v>
      </c>
      <c r="G42" s="1">
        <v>7173</v>
      </c>
      <c r="H42" s="1">
        <v>7087</v>
      </c>
      <c r="I42" s="1">
        <v>5482</v>
      </c>
      <c r="J42" s="1">
        <v>5345</v>
      </c>
      <c r="K42" s="1">
        <v>6114</v>
      </c>
      <c r="L42" s="1">
        <v>7689</v>
      </c>
      <c r="M42" s="1">
        <v>9355</v>
      </c>
      <c r="N42" s="1">
        <v>9775</v>
      </c>
      <c r="O42" s="1">
        <v>8640</v>
      </c>
      <c r="P42" s="1">
        <v>8171</v>
      </c>
      <c r="Q42" s="1">
        <v>9707</v>
      </c>
      <c r="R42" s="1">
        <v>7931</v>
      </c>
      <c r="S42" s="1">
        <v>6533</v>
      </c>
      <c r="T42" s="1">
        <v>5413</v>
      </c>
      <c r="U42" s="1">
        <v>4108</v>
      </c>
      <c r="V42" s="1">
        <v>2499</v>
      </c>
      <c r="W42" s="1">
        <v>1332</v>
      </c>
      <c r="X42" s="9">
        <f>SUM(Table2[[#This Row],[Age 20 to 24]:[Age 90 and Over]])</f>
        <v>98094</v>
      </c>
      <c r="Y42" s="9">
        <f>_xlfn.XLOOKUP(Table2[[#This Row],[Area]],Referendum!E:E,Referendum!L:L,"")</f>
        <v>35469</v>
      </c>
      <c r="Z42" s="9">
        <f>_xlfn.XLOOKUP(Table2[[#This Row],[Area]],Referendum!E:E,Referendum!M:M,"")</f>
        <v>42268</v>
      </c>
      <c r="AA42" s="10">
        <f>(Table2[[#This Row],[Leave Votes]]+Table2[[#This Row],[Remain Votes]])/Table2[[#This Row],[Residents Age &gt;=20]]</f>
        <v>0.792474565212959</v>
      </c>
      <c r="AB42" s="10">
        <f>Table2[[#This Row],[Remain Votes]]/Table2[[#This Row],[Residents Age &gt;=20]]</f>
        <v>0.361581748119151</v>
      </c>
      <c r="AC42" s="10">
        <f>Table2[[#This Row],[Leave Votes]]/Table2[[#This Row],[Residents Age &gt;=20]]</f>
        <v>0.430892817093808</v>
      </c>
    </row>
    <row r="43" spans="1:29" x14ac:dyDescent="0.45">
      <c r="A43" t="s">
        <v>830</v>
      </c>
      <c r="B43" t="s">
        <v>423</v>
      </c>
      <c r="C43" t="s">
        <v>424</v>
      </c>
      <c r="D43" s="1">
        <v>309392</v>
      </c>
      <c r="E43" s="1">
        <v>20095</v>
      </c>
      <c r="F43" s="1">
        <v>18061</v>
      </c>
      <c r="G43" s="1">
        <v>18612</v>
      </c>
      <c r="H43" s="1">
        <v>17912</v>
      </c>
      <c r="I43" s="1">
        <v>16119</v>
      </c>
      <c r="J43" s="1">
        <v>17887</v>
      </c>
      <c r="K43" s="1">
        <v>21064</v>
      </c>
      <c r="L43" s="1">
        <v>22214</v>
      </c>
      <c r="M43" s="1">
        <v>24854</v>
      </c>
      <c r="N43" s="1">
        <v>24312</v>
      </c>
      <c r="O43" s="1">
        <v>20684</v>
      </c>
      <c r="P43" s="1">
        <v>17049</v>
      </c>
      <c r="Q43" s="1">
        <v>18492</v>
      </c>
      <c r="R43" s="1">
        <v>14177</v>
      </c>
      <c r="S43" s="1">
        <v>11593</v>
      </c>
      <c r="T43" s="1">
        <v>10224</v>
      </c>
      <c r="U43" s="1">
        <v>8228</v>
      </c>
      <c r="V43" s="1">
        <v>5086</v>
      </c>
      <c r="W43" s="1">
        <v>2729</v>
      </c>
      <c r="X43" s="9">
        <f>SUM(Table2[[#This Row],[Age 20 to 24]:[Age 90 and Over]])</f>
        <v>234712</v>
      </c>
      <c r="Y43" s="9">
        <f>_xlfn.XLOOKUP(Table2[[#This Row],[Area]],Referendum!E:E,Referendum!L:L,"")</f>
        <v>92398</v>
      </c>
      <c r="Z43" s="9">
        <f>_xlfn.XLOOKUP(Table2[[#This Row],[Area]],Referendum!E:E,Referendum!M:M,"")</f>
        <v>90034</v>
      </c>
      <c r="AA43" s="10">
        <f>(Table2[[#This Row],[Leave Votes]]+Table2[[#This Row],[Remain Votes]])/Table2[[#This Row],[Residents Age &gt;=20]]</f>
        <v>0.77725893861413131</v>
      </c>
      <c r="AB43" s="10">
        <f>Table2[[#This Row],[Remain Votes]]/Table2[[#This Row],[Residents Age &gt;=20]]</f>
        <v>0.39366542826953882</v>
      </c>
      <c r="AC43" s="10">
        <f>Table2[[#This Row],[Leave Votes]]/Table2[[#This Row],[Residents Age &gt;=20]]</f>
        <v>0.38359351034459255</v>
      </c>
    </row>
    <row r="44" spans="1:29" x14ac:dyDescent="0.45">
      <c r="A44" t="s">
        <v>830</v>
      </c>
      <c r="B44" t="s">
        <v>303</v>
      </c>
      <c r="C44" t="s">
        <v>304</v>
      </c>
      <c r="D44" s="1">
        <v>93637</v>
      </c>
      <c r="E44" s="1">
        <v>4822</v>
      </c>
      <c r="F44" s="1">
        <v>4920</v>
      </c>
      <c r="G44" s="1">
        <v>5529</v>
      </c>
      <c r="H44" s="1">
        <v>5752</v>
      </c>
      <c r="I44" s="1">
        <v>4677</v>
      </c>
      <c r="J44" s="1">
        <v>4250</v>
      </c>
      <c r="K44" s="1">
        <v>4451</v>
      </c>
      <c r="L44" s="1">
        <v>5919</v>
      </c>
      <c r="M44" s="1">
        <v>7273</v>
      </c>
      <c r="N44" s="1">
        <v>7548</v>
      </c>
      <c r="O44" s="1">
        <v>6678</v>
      </c>
      <c r="P44" s="1">
        <v>6226</v>
      </c>
      <c r="Q44" s="1">
        <v>6457</v>
      </c>
      <c r="R44" s="1">
        <v>5503</v>
      </c>
      <c r="S44" s="1">
        <v>4332</v>
      </c>
      <c r="T44" s="1">
        <v>3673</v>
      </c>
      <c r="U44" s="1">
        <v>2862</v>
      </c>
      <c r="V44" s="1">
        <v>1771</v>
      </c>
      <c r="W44">
        <v>994</v>
      </c>
      <c r="X44" s="9">
        <f>SUM(Table2[[#This Row],[Age 20 to 24]:[Age 90 and Over]])</f>
        <v>72614</v>
      </c>
      <c r="Y44" s="9">
        <f>_xlfn.XLOOKUP(Table2[[#This Row],[Area]],Referendum!E:E,Referendum!L:L,"")</f>
        <v>26252</v>
      </c>
      <c r="Z44" s="9">
        <f>_xlfn.XLOOKUP(Table2[[#This Row],[Area]],Referendum!E:E,Referendum!M:M,"")</f>
        <v>32563</v>
      </c>
      <c r="AA44" s="10">
        <f>(Table2[[#This Row],[Leave Votes]]+Table2[[#This Row],[Remain Votes]])/Table2[[#This Row],[Residents Age &gt;=20]]</f>
        <v>0.80996777480926541</v>
      </c>
      <c r="AB44" s="10">
        <f>Table2[[#This Row],[Remain Votes]]/Table2[[#This Row],[Residents Age &gt;=20]]</f>
        <v>0.36152807998457598</v>
      </c>
      <c r="AC44" s="10">
        <f>Table2[[#This Row],[Leave Votes]]/Table2[[#This Row],[Residents Age &gt;=20]]</f>
        <v>0.44843969482468943</v>
      </c>
    </row>
    <row r="45" spans="1:29" x14ac:dyDescent="0.45">
      <c r="A45" t="s">
        <v>830</v>
      </c>
      <c r="B45" t="s">
        <v>363</v>
      </c>
      <c r="C45" t="s">
        <v>364</v>
      </c>
      <c r="D45" s="1">
        <v>93609</v>
      </c>
      <c r="E45" s="1">
        <v>6175</v>
      </c>
      <c r="F45" s="1">
        <v>5550</v>
      </c>
      <c r="G45" s="1">
        <v>5903</v>
      </c>
      <c r="H45" s="1">
        <v>5830</v>
      </c>
      <c r="I45" s="1">
        <v>5620</v>
      </c>
      <c r="J45" s="1">
        <v>5671</v>
      </c>
      <c r="K45" s="1">
        <v>6088</v>
      </c>
      <c r="L45" s="1">
        <v>6338</v>
      </c>
      <c r="M45" s="1">
        <v>7383</v>
      </c>
      <c r="N45" s="1">
        <v>7229</v>
      </c>
      <c r="O45" s="1">
        <v>6129</v>
      </c>
      <c r="P45" s="1">
        <v>5048</v>
      </c>
      <c r="Q45" s="1">
        <v>5349</v>
      </c>
      <c r="R45" s="1">
        <v>4324</v>
      </c>
      <c r="S45" s="1">
        <v>3721</v>
      </c>
      <c r="T45" s="1">
        <v>3136</v>
      </c>
      <c r="U45" s="1">
        <v>2300</v>
      </c>
      <c r="V45" s="1">
        <v>1246</v>
      </c>
      <c r="W45">
        <v>569</v>
      </c>
      <c r="X45" s="9">
        <f>SUM(Table2[[#This Row],[Age 20 to 24]:[Age 90 and Over]])</f>
        <v>70151</v>
      </c>
      <c r="Y45" s="9">
        <f>_xlfn.XLOOKUP(Table2[[#This Row],[Area]],Referendum!E:E,Referendum!L:L,"")</f>
        <v>17166</v>
      </c>
      <c r="Z45" s="9">
        <f>_xlfn.XLOOKUP(Table2[[#This Row],[Area]],Referendum!E:E,Referendum!M:M,"")</f>
        <v>33706</v>
      </c>
      <c r="AA45" s="10">
        <f>(Table2[[#This Row],[Leave Votes]]+Table2[[#This Row],[Remain Votes]])/Table2[[#This Row],[Residents Age &gt;=20]]</f>
        <v>0.72517854342774868</v>
      </c>
      <c r="AB45" s="10">
        <f>Table2[[#This Row],[Remain Votes]]/Table2[[#This Row],[Residents Age &gt;=20]]</f>
        <v>0.24470071702470386</v>
      </c>
      <c r="AC45" s="10">
        <f>Table2[[#This Row],[Leave Votes]]/Table2[[#This Row],[Residents Age &gt;=20]]</f>
        <v>0.48047782640304487</v>
      </c>
    </row>
    <row r="46" spans="1:29" x14ac:dyDescent="0.45">
      <c r="A46" t="s">
        <v>830</v>
      </c>
      <c r="B46" t="s">
        <v>243</v>
      </c>
      <c r="C46" t="s">
        <v>244</v>
      </c>
      <c r="D46" s="1">
        <v>109487</v>
      </c>
      <c r="E46" s="1">
        <v>6163</v>
      </c>
      <c r="F46" s="1">
        <v>5301</v>
      </c>
      <c r="G46" s="1">
        <v>5848</v>
      </c>
      <c r="H46" s="1">
        <v>6455</v>
      </c>
      <c r="I46" s="1">
        <v>6722</v>
      </c>
      <c r="J46" s="1">
        <v>6625</v>
      </c>
      <c r="K46" s="1">
        <v>6541</v>
      </c>
      <c r="L46" s="1">
        <v>7272</v>
      </c>
      <c r="M46" s="1">
        <v>8259</v>
      </c>
      <c r="N46" s="1">
        <v>8480</v>
      </c>
      <c r="O46" s="1">
        <v>7489</v>
      </c>
      <c r="P46" s="1">
        <v>6686</v>
      </c>
      <c r="Q46" s="1">
        <v>7548</v>
      </c>
      <c r="R46" s="1">
        <v>5930</v>
      </c>
      <c r="S46" s="1">
        <v>4803</v>
      </c>
      <c r="T46" s="1">
        <v>3858</v>
      </c>
      <c r="U46" s="1">
        <v>2846</v>
      </c>
      <c r="V46" s="1">
        <v>1771</v>
      </c>
      <c r="W46">
        <v>890</v>
      </c>
      <c r="X46" s="9">
        <f>SUM(Table2[[#This Row],[Age 20 to 24]:[Age 90 and Over]])</f>
        <v>85720</v>
      </c>
      <c r="Y46" s="9">
        <f>_xlfn.XLOOKUP(Table2[[#This Row],[Area]],Referendum!E:E,Referendum!L:L,"")</f>
        <v>29672</v>
      </c>
      <c r="Z46" s="9">
        <f>_xlfn.XLOOKUP(Table2[[#This Row],[Area]],Referendum!E:E,Referendum!M:M,"")</f>
        <v>35754</v>
      </c>
      <c r="AA46" s="10">
        <f>(Table2[[#This Row],[Leave Votes]]+Table2[[#This Row],[Remain Votes]])/Table2[[#This Row],[Residents Age &gt;=20]]</f>
        <v>0.7632524498366775</v>
      </c>
      <c r="AB46" s="10">
        <f>Table2[[#This Row],[Remain Votes]]/Table2[[#This Row],[Residents Age &gt;=20]]</f>
        <v>0.34615025664955668</v>
      </c>
      <c r="AC46" s="10">
        <f>Table2[[#This Row],[Leave Votes]]/Table2[[#This Row],[Residents Age &gt;=20]]</f>
        <v>0.41710219318712088</v>
      </c>
    </row>
    <row r="47" spans="1:29" x14ac:dyDescent="0.45">
      <c r="A47" t="s">
        <v>830</v>
      </c>
      <c r="B47" t="s">
        <v>103</v>
      </c>
      <c r="C47" t="s">
        <v>104</v>
      </c>
      <c r="D47" s="1">
        <v>87059</v>
      </c>
      <c r="E47" s="1">
        <v>5847</v>
      </c>
      <c r="F47" s="1">
        <v>5167</v>
      </c>
      <c r="G47" s="1">
        <v>5040</v>
      </c>
      <c r="H47" s="1">
        <v>5540</v>
      </c>
      <c r="I47" s="1">
        <v>5574</v>
      </c>
      <c r="J47" s="1">
        <v>5751</v>
      </c>
      <c r="K47" s="1">
        <v>5315</v>
      </c>
      <c r="L47" s="1">
        <v>5442</v>
      </c>
      <c r="M47" s="1">
        <v>6222</v>
      </c>
      <c r="N47" s="1">
        <v>6143</v>
      </c>
      <c r="O47" s="1">
        <v>5804</v>
      </c>
      <c r="P47" s="1">
        <v>5239</v>
      </c>
      <c r="Q47" s="1">
        <v>5841</v>
      </c>
      <c r="R47" s="1">
        <v>4225</v>
      </c>
      <c r="S47" s="1">
        <v>3370</v>
      </c>
      <c r="T47" s="1">
        <v>2622</v>
      </c>
      <c r="U47" s="1">
        <v>1984</v>
      </c>
      <c r="V47" s="1">
        <v>1276</v>
      </c>
      <c r="W47">
        <v>657</v>
      </c>
      <c r="X47" s="9">
        <f>SUM(Table2[[#This Row],[Age 20 to 24]:[Age 90 and Over]])</f>
        <v>65465</v>
      </c>
      <c r="Y47" s="9">
        <f>_xlfn.XLOOKUP(Table2[[#This Row],[Area]],Referendum!E:E,Referendum!L:L,"")</f>
        <v>14462</v>
      </c>
      <c r="Z47" s="9">
        <f>_xlfn.XLOOKUP(Table2[[#This Row],[Area]],Referendum!E:E,Referendum!M:M,"")</f>
        <v>28854</v>
      </c>
      <c r="AA47" s="10">
        <f>(Table2[[#This Row],[Leave Votes]]+Table2[[#This Row],[Remain Votes]])/Table2[[#This Row],[Residents Age &gt;=20]]</f>
        <v>0.66166653937218356</v>
      </c>
      <c r="AB47" s="10">
        <f>Table2[[#This Row],[Remain Votes]]/Table2[[#This Row],[Residents Age &gt;=20]]</f>
        <v>0.2209119376766211</v>
      </c>
      <c r="AC47" s="10">
        <f>Table2[[#This Row],[Leave Votes]]/Table2[[#This Row],[Residents Age &gt;=20]]</f>
        <v>0.44075460169556252</v>
      </c>
    </row>
    <row r="48" spans="1:29" x14ac:dyDescent="0.45">
      <c r="A48" t="s">
        <v>830</v>
      </c>
      <c r="B48" t="s">
        <v>51</v>
      </c>
      <c r="C48" t="s">
        <v>52</v>
      </c>
      <c r="D48" s="1">
        <v>185060</v>
      </c>
      <c r="E48" s="1">
        <v>12235</v>
      </c>
      <c r="F48" s="1">
        <v>11108</v>
      </c>
      <c r="G48" s="1">
        <v>11361</v>
      </c>
      <c r="H48" s="1">
        <v>11545</v>
      </c>
      <c r="I48" s="1">
        <v>10688</v>
      </c>
      <c r="J48" s="1">
        <v>11622</v>
      </c>
      <c r="K48" s="1">
        <v>11483</v>
      </c>
      <c r="L48" s="1">
        <v>12314</v>
      </c>
      <c r="M48" s="1">
        <v>14180</v>
      </c>
      <c r="N48" s="1">
        <v>14354</v>
      </c>
      <c r="O48" s="1">
        <v>12337</v>
      </c>
      <c r="P48" s="1">
        <v>10581</v>
      </c>
      <c r="Q48" s="1">
        <v>11712</v>
      </c>
      <c r="R48" s="1">
        <v>8968</v>
      </c>
      <c r="S48" s="1">
        <v>7324</v>
      </c>
      <c r="T48" s="1">
        <v>5616</v>
      </c>
      <c r="U48" s="1">
        <v>4007</v>
      </c>
      <c r="V48" s="1">
        <v>2397</v>
      </c>
      <c r="W48" s="1">
        <v>1228</v>
      </c>
      <c r="X48" s="9">
        <f>SUM(Table2[[#This Row],[Age 20 to 24]:[Age 90 and Over]])</f>
        <v>138811</v>
      </c>
      <c r="Y48" s="9">
        <f>_xlfn.XLOOKUP(Table2[[#This Row],[Area]],Referendum!E:E,Referendum!L:L,"")</f>
        <v>46354</v>
      </c>
      <c r="Z48" s="9">
        <f>_xlfn.XLOOKUP(Table2[[#This Row],[Area]],Referendum!E:E,Referendum!M:M,"")</f>
        <v>54674</v>
      </c>
      <c r="AA48" s="10">
        <f>(Table2[[#This Row],[Leave Votes]]+Table2[[#This Row],[Remain Votes]])/Table2[[#This Row],[Residents Age &gt;=20]]</f>
        <v>0.7278097557110027</v>
      </c>
      <c r="AB48" s="10">
        <f>Table2[[#This Row],[Remain Votes]]/Table2[[#This Row],[Residents Age &gt;=20]]</f>
        <v>0.33393607134881242</v>
      </c>
      <c r="AC48" s="10">
        <f>Table2[[#This Row],[Leave Votes]]/Table2[[#This Row],[Residents Age &gt;=20]]</f>
        <v>0.39387368436219033</v>
      </c>
    </row>
    <row r="49" spans="1:29" x14ac:dyDescent="0.45">
      <c r="A49" t="s">
        <v>830</v>
      </c>
      <c r="B49" t="s">
        <v>795</v>
      </c>
      <c r="C49" t="s">
        <v>796</v>
      </c>
      <c r="D49" s="1">
        <v>178806</v>
      </c>
      <c r="E49" s="1">
        <v>11313</v>
      </c>
      <c r="F49" s="1">
        <v>10430</v>
      </c>
      <c r="G49" s="1">
        <v>10991</v>
      </c>
      <c r="H49" s="1">
        <v>11318</v>
      </c>
      <c r="I49" s="1">
        <v>10820</v>
      </c>
      <c r="J49" s="1">
        <v>11222</v>
      </c>
      <c r="K49" s="1">
        <v>10989</v>
      </c>
      <c r="L49" s="1">
        <v>11408</v>
      </c>
      <c r="M49" s="1">
        <v>13256</v>
      </c>
      <c r="N49" s="1">
        <v>13057</v>
      </c>
      <c r="O49" s="1">
        <v>11790</v>
      </c>
      <c r="P49" s="1">
        <v>10832</v>
      </c>
      <c r="Q49" s="1">
        <v>11815</v>
      </c>
      <c r="R49" s="1">
        <v>9276</v>
      </c>
      <c r="S49" s="1">
        <v>7414</v>
      </c>
      <c r="T49" s="1">
        <v>5706</v>
      </c>
      <c r="U49" s="1">
        <v>3761</v>
      </c>
      <c r="V49" s="1">
        <v>2332</v>
      </c>
      <c r="W49" s="1">
        <v>1076</v>
      </c>
      <c r="X49" s="9">
        <f>SUM(Table2[[#This Row],[Age 20 to 24]:[Age 90 and Over]])</f>
        <v>134754</v>
      </c>
      <c r="Y49" s="9">
        <f>_xlfn.XLOOKUP(Table2[[#This Row],[Area]],Referendum!E:E,Referendum!L:L,"")</f>
        <v>39178</v>
      </c>
      <c r="Z49" s="9">
        <f>_xlfn.XLOOKUP(Table2[[#This Row],[Area]],Referendum!E:E,Referendum!M:M,"")</f>
        <v>53295</v>
      </c>
      <c r="AA49" s="10">
        <f>(Table2[[#This Row],[Leave Votes]]+Table2[[#This Row],[Remain Votes]])/Table2[[#This Row],[Residents Age &gt;=20]]</f>
        <v>0.68623565905279249</v>
      </c>
      <c r="AB49" s="10">
        <f>Table2[[#This Row],[Remain Votes]]/Table2[[#This Row],[Residents Age &gt;=20]]</f>
        <v>0.29073719518530061</v>
      </c>
      <c r="AC49" s="10">
        <f>Table2[[#This Row],[Leave Votes]]/Table2[[#This Row],[Residents Age &gt;=20]]</f>
        <v>0.39549846386749188</v>
      </c>
    </row>
    <row r="50" spans="1:29" x14ac:dyDescent="0.45">
      <c r="A50" t="s">
        <v>830</v>
      </c>
      <c r="B50" t="s">
        <v>139</v>
      </c>
      <c r="C50" t="s">
        <v>140</v>
      </c>
      <c r="D50" s="1">
        <v>203826</v>
      </c>
      <c r="E50" s="1">
        <v>12906</v>
      </c>
      <c r="F50" s="1">
        <v>11982</v>
      </c>
      <c r="G50" s="1">
        <v>12563</v>
      </c>
      <c r="H50" s="1">
        <v>12629</v>
      </c>
      <c r="I50" s="1">
        <v>11421</v>
      </c>
      <c r="J50" s="1">
        <v>12089</v>
      </c>
      <c r="K50" s="1">
        <v>12375</v>
      </c>
      <c r="L50" s="1">
        <v>13604</v>
      </c>
      <c r="M50" s="1">
        <v>15959</v>
      </c>
      <c r="N50" s="1">
        <v>15886</v>
      </c>
      <c r="O50" s="1">
        <v>14195</v>
      </c>
      <c r="P50" s="1">
        <v>12401</v>
      </c>
      <c r="Q50" s="1">
        <v>13344</v>
      </c>
      <c r="R50" s="1">
        <v>9848</v>
      </c>
      <c r="S50" s="1">
        <v>7745</v>
      </c>
      <c r="T50" s="1">
        <v>5956</v>
      </c>
      <c r="U50" s="1">
        <v>4629</v>
      </c>
      <c r="V50" s="1">
        <v>2831</v>
      </c>
      <c r="W50" s="1">
        <v>1463</v>
      </c>
      <c r="X50" s="9">
        <f>SUM(Table2[[#This Row],[Age 20 to 24]:[Age 90 and Over]])</f>
        <v>153746</v>
      </c>
      <c r="Y50" s="9">
        <f>_xlfn.XLOOKUP(Table2[[#This Row],[Area]],Referendum!E:E,Referendum!L:L,"")</f>
        <v>46950</v>
      </c>
      <c r="Z50" s="9">
        <f>_xlfn.XLOOKUP(Table2[[#This Row],[Area]],Referendum!E:E,Referendum!M:M,"")</f>
        <v>58975</v>
      </c>
      <c r="AA50" s="10">
        <f>(Table2[[#This Row],[Leave Votes]]+Table2[[#This Row],[Remain Votes]])/Table2[[#This Row],[Residents Age &gt;=20]]</f>
        <v>0.6889610136198665</v>
      </c>
      <c r="AB50" s="10">
        <f>Table2[[#This Row],[Remain Votes]]/Table2[[#This Row],[Residents Age &gt;=20]]</f>
        <v>0.3053737983427211</v>
      </c>
      <c r="AC50" s="10">
        <f>Table2[[#This Row],[Leave Votes]]/Table2[[#This Row],[Residents Age &gt;=20]]</f>
        <v>0.3835872152771454</v>
      </c>
    </row>
    <row r="51" spans="1:29" x14ac:dyDescent="0.45">
      <c r="A51" t="s">
        <v>830</v>
      </c>
      <c r="B51" t="s">
        <v>329</v>
      </c>
      <c r="C51" t="s">
        <v>330</v>
      </c>
      <c r="D51" s="1">
        <v>123867</v>
      </c>
      <c r="E51" s="1">
        <v>6703</v>
      </c>
      <c r="F51" s="1">
        <v>5073</v>
      </c>
      <c r="G51" s="1">
        <v>5006</v>
      </c>
      <c r="H51" s="1">
        <v>10238</v>
      </c>
      <c r="I51" s="1">
        <v>18076</v>
      </c>
      <c r="J51" s="1">
        <v>13341</v>
      </c>
      <c r="K51" s="1">
        <v>11384</v>
      </c>
      <c r="L51" s="1">
        <v>8469</v>
      </c>
      <c r="M51" s="1">
        <v>7654</v>
      </c>
      <c r="N51" s="1">
        <v>7084</v>
      </c>
      <c r="O51" s="1">
        <v>5908</v>
      </c>
      <c r="P51" s="1">
        <v>5357</v>
      </c>
      <c r="Q51" s="1">
        <v>4973</v>
      </c>
      <c r="R51" s="1">
        <v>3832</v>
      </c>
      <c r="S51" s="1">
        <v>3045</v>
      </c>
      <c r="T51" s="1">
        <v>2722</v>
      </c>
      <c r="U51" s="1">
        <v>2306</v>
      </c>
      <c r="V51" s="1">
        <v>1682</v>
      </c>
      <c r="W51" s="1">
        <v>1014</v>
      </c>
      <c r="X51" s="9">
        <f>SUM(Table2[[#This Row],[Age 20 to 24]:[Age 90 and Over]])</f>
        <v>96847</v>
      </c>
      <c r="Y51" s="9">
        <f>_xlfn.XLOOKUP(Table2[[#This Row],[Area]],Referendum!E:E,Referendum!L:L,"")</f>
        <v>42682</v>
      </c>
      <c r="Z51" s="9">
        <f>_xlfn.XLOOKUP(Table2[[#This Row],[Area]],Referendum!E:E,Referendum!M:M,"")</f>
        <v>15117</v>
      </c>
      <c r="AA51" s="10">
        <f>(Table2[[#This Row],[Leave Votes]]+Table2[[#This Row],[Remain Votes]])/Table2[[#This Row],[Residents Age &gt;=20]]</f>
        <v>0.59680733528142327</v>
      </c>
      <c r="AB51" s="10">
        <f>Table2[[#This Row],[Remain Votes]]/Table2[[#This Row],[Residents Age &gt;=20]]</f>
        <v>0.44071576817041314</v>
      </c>
      <c r="AC51" s="10">
        <f>Table2[[#This Row],[Leave Votes]]/Table2[[#This Row],[Residents Age &gt;=20]]</f>
        <v>0.15609156711101016</v>
      </c>
    </row>
    <row r="52" spans="1:29" x14ac:dyDescent="0.45">
      <c r="A52" t="s">
        <v>830</v>
      </c>
      <c r="B52" t="s">
        <v>425</v>
      </c>
      <c r="C52" t="s">
        <v>426</v>
      </c>
      <c r="D52" s="1">
        <v>220338</v>
      </c>
      <c r="E52" s="1">
        <v>13168</v>
      </c>
      <c r="F52" s="1">
        <v>10898</v>
      </c>
      <c r="G52" s="1">
        <v>9594</v>
      </c>
      <c r="H52" s="1">
        <v>12523</v>
      </c>
      <c r="I52" s="1">
        <v>21863</v>
      </c>
      <c r="J52" s="1">
        <v>25923</v>
      </c>
      <c r="K52" s="1">
        <v>24427</v>
      </c>
      <c r="L52" s="1">
        <v>19169</v>
      </c>
      <c r="M52" s="1">
        <v>15977</v>
      </c>
      <c r="N52" s="1">
        <v>13244</v>
      </c>
      <c r="O52" s="1">
        <v>10958</v>
      </c>
      <c r="P52" s="1">
        <v>9362</v>
      </c>
      <c r="Q52" s="1">
        <v>9255</v>
      </c>
      <c r="R52" s="1">
        <v>7306</v>
      </c>
      <c r="S52" s="1">
        <v>5631</v>
      </c>
      <c r="T52" s="1">
        <v>4442</v>
      </c>
      <c r="U52" s="1">
        <v>3455</v>
      </c>
      <c r="V52" s="1">
        <v>2048</v>
      </c>
      <c r="W52" s="1">
        <v>1095</v>
      </c>
      <c r="X52" s="9">
        <f>SUM(Table2[[#This Row],[Age 20 to 24]:[Age 90 and Over]])</f>
        <v>174155</v>
      </c>
      <c r="Y52" s="9">
        <f>_xlfn.XLOOKUP(Table2[[#This Row],[Area]],Referendum!E:E,Referendum!L:L,"")</f>
        <v>71295</v>
      </c>
      <c r="Z52" s="9">
        <f>_xlfn.XLOOKUP(Table2[[#This Row],[Area]],Referendum!E:E,Referendum!M:M,"")</f>
        <v>23838</v>
      </c>
      <c r="AA52" s="10">
        <f>(Table2[[#This Row],[Leave Votes]]+Table2[[#This Row],[Remain Votes]])/Table2[[#This Row],[Residents Age &gt;=20]]</f>
        <v>0.54625477304699832</v>
      </c>
      <c r="AB52" s="10">
        <f>Table2[[#This Row],[Remain Votes]]/Table2[[#This Row],[Residents Age &gt;=20]]</f>
        <v>0.40937670465964227</v>
      </c>
      <c r="AC52" s="10">
        <f>Table2[[#This Row],[Leave Votes]]/Table2[[#This Row],[Residents Age &gt;=20]]</f>
        <v>0.13687806838735608</v>
      </c>
    </row>
    <row r="53" spans="1:29" x14ac:dyDescent="0.45">
      <c r="A53" t="s">
        <v>830</v>
      </c>
      <c r="B53" t="s">
        <v>277</v>
      </c>
      <c r="C53" t="s">
        <v>278</v>
      </c>
      <c r="D53" s="1">
        <v>97462</v>
      </c>
      <c r="E53" s="1">
        <v>5871</v>
      </c>
      <c r="F53" s="1">
        <v>5405</v>
      </c>
      <c r="G53" s="1">
        <v>5861</v>
      </c>
      <c r="H53" s="1">
        <v>6244</v>
      </c>
      <c r="I53" s="1">
        <v>5893</v>
      </c>
      <c r="J53" s="1">
        <v>6129</v>
      </c>
      <c r="K53" s="1">
        <v>5738</v>
      </c>
      <c r="L53" s="1">
        <v>6700</v>
      </c>
      <c r="M53" s="1">
        <v>7931</v>
      </c>
      <c r="N53" s="1">
        <v>7754</v>
      </c>
      <c r="O53" s="1">
        <v>6387</v>
      </c>
      <c r="P53" s="1">
        <v>5783</v>
      </c>
      <c r="Q53" s="1">
        <v>6109</v>
      </c>
      <c r="R53" s="1">
        <v>5044</v>
      </c>
      <c r="S53" s="1">
        <v>3860</v>
      </c>
      <c r="T53" s="1">
        <v>2821</v>
      </c>
      <c r="U53" s="1">
        <v>2145</v>
      </c>
      <c r="V53" s="1">
        <v>1227</v>
      </c>
      <c r="W53">
        <v>560</v>
      </c>
      <c r="X53" s="9">
        <f>SUM(Table2[[#This Row],[Age 20 to 24]:[Age 90 and Over]])</f>
        <v>74081</v>
      </c>
      <c r="Y53" s="9">
        <f>_xlfn.XLOOKUP(Table2[[#This Row],[Area]],Referendum!E:E,Referendum!L:L,"")</f>
        <v>16684</v>
      </c>
      <c r="Z53" s="9">
        <f>_xlfn.XLOOKUP(Table2[[#This Row],[Area]],Referendum!E:E,Referendum!M:M,"")</f>
        <v>36894</v>
      </c>
      <c r="AA53" s="10">
        <f>(Table2[[#This Row],[Leave Votes]]+Table2[[#This Row],[Remain Votes]])/Table2[[#This Row],[Residents Age &gt;=20]]</f>
        <v>0.72323537749220446</v>
      </c>
      <c r="AB53" s="10">
        <f>Table2[[#This Row],[Remain Votes]]/Table2[[#This Row],[Residents Age &gt;=20]]</f>
        <v>0.22521294258986785</v>
      </c>
      <c r="AC53" s="10">
        <f>Table2[[#This Row],[Leave Votes]]/Table2[[#This Row],[Residents Age &gt;=20]]</f>
        <v>0.49802243490233661</v>
      </c>
    </row>
    <row r="54" spans="1:29" x14ac:dyDescent="0.45">
      <c r="A54" t="s">
        <v>830</v>
      </c>
      <c r="B54" t="s">
        <v>547</v>
      </c>
      <c r="C54" t="s">
        <v>548</v>
      </c>
      <c r="D54" s="1">
        <v>151145</v>
      </c>
      <c r="E54" s="1">
        <v>7514</v>
      </c>
      <c r="F54" s="1">
        <v>7506</v>
      </c>
      <c r="G54" s="1">
        <v>8393</v>
      </c>
      <c r="H54" s="1">
        <v>13309</v>
      </c>
      <c r="I54" s="1">
        <v>16222</v>
      </c>
      <c r="J54" s="1">
        <v>8658</v>
      </c>
      <c r="K54" s="1">
        <v>7258</v>
      </c>
      <c r="L54" s="1">
        <v>7878</v>
      </c>
      <c r="M54" s="1">
        <v>9506</v>
      </c>
      <c r="N54" s="1">
        <v>9686</v>
      </c>
      <c r="O54" s="1">
        <v>8727</v>
      </c>
      <c r="P54" s="1">
        <v>8387</v>
      </c>
      <c r="Q54" s="1">
        <v>9656</v>
      </c>
      <c r="R54" s="1">
        <v>7950</v>
      </c>
      <c r="S54" s="1">
        <v>6391</v>
      </c>
      <c r="T54" s="1">
        <v>5198</v>
      </c>
      <c r="U54" s="1">
        <v>4342</v>
      </c>
      <c r="V54" s="1">
        <v>2921</v>
      </c>
      <c r="W54" s="1">
        <v>1643</v>
      </c>
      <c r="X54" s="9">
        <f>SUM(Table2[[#This Row],[Age 20 to 24]:[Age 90 and Over]])</f>
        <v>114423</v>
      </c>
      <c r="Y54" s="9">
        <f>_xlfn.XLOOKUP(Table2[[#This Row],[Area]],Referendum!E:E,Referendum!L:L,"")</f>
        <v>40169</v>
      </c>
      <c r="Z54" s="9">
        <f>_xlfn.XLOOKUP(Table2[[#This Row],[Area]],Referendum!E:E,Referendum!M:M,"")</f>
        <v>41879</v>
      </c>
      <c r="AA54" s="10">
        <f>(Table2[[#This Row],[Leave Votes]]+Table2[[#This Row],[Remain Votes]])/Table2[[#This Row],[Residents Age &gt;=20]]</f>
        <v>0.71705863331672826</v>
      </c>
      <c r="AB54" s="10">
        <f>Table2[[#This Row],[Remain Votes]]/Table2[[#This Row],[Residents Age &gt;=20]]</f>
        <v>0.35105704272742366</v>
      </c>
      <c r="AC54" s="10">
        <f>Table2[[#This Row],[Leave Votes]]/Table2[[#This Row],[Residents Age &gt;=20]]</f>
        <v>0.36600159058930459</v>
      </c>
    </row>
    <row r="55" spans="1:29" x14ac:dyDescent="0.45">
      <c r="A55" t="s">
        <v>830</v>
      </c>
      <c r="B55" t="s">
        <v>805</v>
      </c>
      <c r="C55" t="s">
        <v>806</v>
      </c>
      <c r="D55" s="1">
        <v>346090</v>
      </c>
      <c r="E55" s="1">
        <v>22378</v>
      </c>
      <c r="F55" s="1">
        <v>18080</v>
      </c>
      <c r="G55" s="1">
        <v>18538</v>
      </c>
      <c r="H55" s="1">
        <v>25870</v>
      </c>
      <c r="I55" s="1">
        <v>38735</v>
      </c>
      <c r="J55" s="1">
        <v>30515</v>
      </c>
      <c r="K55" s="1">
        <v>25290</v>
      </c>
      <c r="L55" s="1">
        <v>22195</v>
      </c>
      <c r="M55" s="1">
        <v>22461</v>
      </c>
      <c r="N55" s="1">
        <v>22410</v>
      </c>
      <c r="O55" s="1">
        <v>20231</v>
      </c>
      <c r="P55" s="1">
        <v>17337</v>
      </c>
      <c r="Q55" s="1">
        <v>16498</v>
      </c>
      <c r="R55" s="1">
        <v>12204</v>
      </c>
      <c r="S55" s="1">
        <v>10501</v>
      </c>
      <c r="T55" s="1">
        <v>9043</v>
      </c>
      <c r="U55" s="1">
        <v>6906</v>
      </c>
      <c r="V55" s="1">
        <v>4703</v>
      </c>
      <c r="W55" s="1">
        <v>2195</v>
      </c>
      <c r="X55" s="9">
        <f>SUM(Table2[[#This Row],[Age 20 to 24]:[Age 90 and Over]])</f>
        <v>261224</v>
      </c>
      <c r="Y55" s="9">
        <f>_xlfn.XLOOKUP(Table2[[#This Row],[Area]],Referendum!E:E,Referendum!L:L,"")</f>
        <v>101788</v>
      </c>
      <c r="Z55" s="9">
        <f>_xlfn.XLOOKUP(Table2[[#This Row],[Area]],Referendum!E:E,Referendum!M:M,"")</f>
        <v>67816</v>
      </c>
      <c r="AA55" s="10">
        <f>(Table2[[#This Row],[Leave Votes]]+Table2[[#This Row],[Remain Votes]])/Table2[[#This Row],[Residents Age &gt;=20]]</f>
        <v>0.64926652987474354</v>
      </c>
      <c r="AB55" s="10">
        <f>Table2[[#This Row],[Remain Votes]]/Table2[[#This Row],[Residents Age &gt;=20]]</f>
        <v>0.38965791810859646</v>
      </c>
      <c r="AC55" s="10">
        <f>Table2[[#This Row],[Leave Votes]]/Table2[[#This Row],[Residents Age &gt;=20]]</f>
        <v>0.25960861176614708</v>
      </c>
    </row>
    <row r="56" spans="1:29" x14ac:dyDescent="0.45">
      <c r="A56" t="s">
        <v>830</v>
      </c>
      <c r="B56" t="s">
        <v>95</v>
      </c>
      <c r="C56" t="s">
        <v>96</v>
      </c>
      <c r="D56" s="1">
        <v>107524</v>
      </c>
      <c r="E56" s="1">
        <v>6064</v>
      </c>
      <c r="F56" s="1">
        <v>5515</v>
      </c>
      <c r="G56" s="1">
        <v>5702</v>
      </c>
      <c r="H56" s="1">
        <v>6590</v>
      </c>
      <c r="I56" s="1">
        <v>6536</v>
      </c>
      <c r="J56" s="1">
        <v>6685</v>
      </c>
      <c r="K56" s="1">
        <v>6090</v>
      </c>
      <c r="L56" s="1">
        <v>6721</v>
      </c>
      <c r="M56" s="1">
        <v>7762</v>
      </c>
      <c r="N56" s="1">
        <v>8138</v>
      </c>
      <c r="O56" s="1">
        <v>7813</v>
      </c>
      <c r="P56" s="1">
        <v>6764</v>
      </c>
      <c r="Q56" s="1">
        <v>7247</v>
      </c>
      <c r="R56" s="1">
        <v>5665</v>
      </c>
      <c r="S56" s="1">
        <v>4721</v>
      </c>
      <c r="T56" s="1">
        <v>3908</v>
      </c>
      <c r="U56" s="1">
        <v>2919</v>
      </c>
      <c r="V56" s="1">
        <v>1782</v>
      </c>
      <c r="W56">
        <v>902</v>
      </c>
      <c r="X56" s="9">
        <f>SUM(Table2[[#This Row],[Age 20 to 24]:[Age 90 and Over]])</f>
        <v>83653</v>
      </c>
      <c r="Y56" s="9">
        <f>_xlfn.XLOOKUP(Table2[[#This Row],[Area]],Referendum!E:E,Referendum!L:L,"")</f>
        <v>23788</v>
      </c>
      <c r="Z56" s="9">
        <f>_xlfn.XLOOKUP(Table2[[#This Row],[Area]],Referendum!E:E,Referendum!M:M,"")</f>
        <v>35895</v>
      </c>
      <c r="AA56" s="10">
        <f>(Table2[[#This Row],[Leave Votes]]+Table2[[#This Row],[Remain Votes]])/Table2[[#This Row],[Residents Age &gt;=20]]</f>
        <v>0.71345917062149589</v>
      </c>
      <c r="AB56" s="10">
        <f>Table2[[#This Row],[Remain Votes]]/Table2[[#This Row],[Residents Age &gt;=20]]</f>
        <v>0.28436517518797894</v>
      </c>
      <c r="AC56" s="10">
        <f>Table2[[#This Row],[Leave Votes]]/Table2[[#This Row],[Residents Age &gt;=20]]</f>
        <v>0.42909399543351701</v>
      </c>
    </row>
    <row r="57" spans="1:29" x14ac:dyDescent="0.45">
      <c r="A57" t="s">
        <v>830</v>
      </c>
      <c r="B57" t="s">
        <v>781</v>
      </c>
      <c r="C57" t="s">
        <v>782</v>
      </c>
      <c r="D57" s="1">
        <v>183777</v>
      </c>
      <c r="E57" s="1">
        <v>10310</v>
      </c>
      <c r="F57" s="1">
        <v>9697</v>
      </c>
      <c r="G57" s="1">
        <v>10642</v>
      </c>
      <c r="H57" s="1">
        <v>11345</v>
      </c>
      <c r="I57" s="1">
        <v>10598</v>
      </c>
      <c r="J57" s="1">
        <v>9531</v>
      </c>
      <c r="K57" s="1">
        <v>9330</v>
      </c>
      <c r="L57" s="1">
        <v>10234</v>
      </c>
      <c r="M57" s="1">
        <v>12228</v>
      </c>
      <c r="N57" s="1">
        <v>13568</v>
      </c>
      <c r="O57" s="1">
        <v>12528</v>
      </c>
      <c r="P57" s="1">
        <v>12242</v>
      </c>
      <c r="Q57" s="1">
        <v>13348</v>
      </c>
      <c r="R57" s="1">
        <v>11419</v>
      </c>
      <c r="S57" s="1">
        <v>8924</v>
      </c>
      <c r="T57" s="1">
        <v>7273</v>
      </c>
      <c r="U57" s="1">
        <v>5378</v>
      </c>
      <c r="V57" s="1">
        <v>3449</v>
      </c>
      <c r="W57" s="1">
        <v>1733</v>
      </c>
      <c r="X57" s="9">
        <f>SUM(Table2[[#This Row],[Age 20 to 24]:[Age 90 and Over]])</f>
        <v>141783</v>
      </c>
      <c r="Y57" s="9">
        <f>_xlfn.XLOOKUP(Table2[[#This Row],[Area]],Referendum!E:E,Referendum!L:L,"")</f>
        <v>47654</v>
      </c>
      <c r="Z57" s="9">
        <f>_xlfn.XLOOKUP(Table2[[#This Row],[Area]],Referendum!E:E,Referendum!M:M,"")</f>
        <v>55381</v>
      </c>
      <c r="AA57" s="10">
        <f>(Table2[[#This Row],[Leave Votes]]+Table2[[#This Row],[Remain Votes]])/Table2[[#This Row],[Residents Age &gt;=20]]</f>
        <v>0.72670912591777581</v>
      </c>
      <c r="AB57" s="10">
        <f>Table2[[#This Row],[Remain Votes]]/Table2[[#This Row],[Residents Age &gt;=20]]</f>
        <v>0.33610517480939184</v>
      </c>
      <c r="AC57" s="10">
        <f>Table2[[#This Row],[Leave Votes]]/Table2[[#This Row],[Residents Age &gt;=20]]</f>
        <v>0.39060395110838392</v>
      </c>
    </row>
    <row r="58" spans="1:29" x14ac:dyDescent="0.45">
      <c r="A58" t="s">
        <v>830</v>
      </c>
      <c r="B58" t="s">
        <v>345</v>
      </c>
      <c r="C58" t="s">
        <v>346</v>
      </c>
      <c r="D58" s="1">
        <v>88011</v>
      </c>
      <c r="E58" s="1">
        <v>4173</v>
      </c>
      <c r="F58" s="1">
        <v>4395</v>
      </c>
      <c r="G58" s="1">
        <v>5188</v>
      </c>
      <c r="H58" s="1">
        <v>5477</v>
      </c>
      <c r="I58" s="1">
        <v>4740</v>
      </c>
      <c r="J58" s="1">
        <v>4212</v>
      </c>
      <c r="K58" s="1">
        <v>4130</v>
      </c>
      <c r="L58" s="1">
        <v>5133</v>
      </c>
      <c r="M58" s="1">
        <v>6349</v>
      </c>
      <c r="N58" s="1">
        <v>6517</v>
      </c>
      <c r="O58" s="1">
        <v>5918</v>
      </c>
      <c r="P58" s="1">
        <v>5642</v>
      </c>
      <c r="Q58" s="1">
        <v>7136</v>
      </c>
      <c r="R58" s="1">
        <v>5799</v>
      </c>
      <c r="S58" s="1">
        <v>4686</v>
      </c>
      <c r="T58" s="1">
        <v>3666</v>
      </c>
      <c r="U58" s="1">
        <v>2536</v>
      </c>
      <c r="V58" s="1">
        <v>1532</v>
      </c>
      <c r="W58">
        <v>782</v>
      </c>
      <c r="X58" s="9">
        <f>SUM(Table2[[#This Row],[Age 20 to 24]:[Age 90 and Over]])</f>
        <v>68778</v>
      </c>
      <c r="Y58" s="9">
        <f>_xlfn.XLOOKUP(Table2[[#This Row],[Area]],Referendum!E:E,Referendum!L:L,"")</f>
        <v>14154</v>
      </c>
      <c r="Z58" s="9">
        <f>_xlfn.XLOOKUP(Table2[[#This Row],[Area]],Referendum!E:E,Referendum!M:M,"")</f>
        <v>37691</v>
      </c>
      <c r="AA58" s="10">
        <f>(Table2[[#This Row],[Leave Votes]]+Table2[[#This Row],[Remain Votes]])/Table2[[#This Row],[Residents Age &gt;=20]]</f>
        <v>0.75380208787693737</v>
      </c>
      <c r="AB58" s="10">
        <f>Table2[[#This Row],[Remain Votes]]/Table2[[#This Row],[Residents Age &gt;=20]]</f>
        <v>0.20579254994329582</v>
      </c>
      <c r="AC58" s="10">
        <f>Table2[[#This Row],[Leave Votes]]/Table2[[#This Row],[Residents Age &gt;=20]]</f>
        <v>0.5480095379336416</v>
      </c>
    </row>
    <row r="59" spans="1:29" x14ac:dyDescent="0.45">
      <c r="A59" t="s">
        <v>830</v>
      </c>
      <c r="B59" t="s">
        <v>323</v>
      </c>
      <c r="C59" t="s">
        <v>324</v>
      </c>
      <c r="D59" s="1">
        <v>254381</v>
      </c>
      <c r="E59" s="1">
        <v>16009</v>
      </c>
      <c r="F59" s="1">
        <v>14967</v>
      </c>
      <c r="G59" s="1">
        <v>15480</v>
      </c>
      <c r="H59" s="1">
        <v>15335</v>
      </c>
      <c r="I59" s="1">
        <v>13598</v>
      </c>
      <c r="J59" s="1">
        <v>14484</v>
      </c>
      <c r="K59" s="1">
        <v>15621</v>
      </c>
      <c r="L59" s="1">
        <v>17853</v>
      </c>
      <c r="M59" s="1">
        <v>20123</v>
      </c>
      <c r="N59" s="1">
        <v>21076</v>
      </c>
      <c r="O59" s="1">
        <v>18150</v>
      </c>
      <c r="P59" s="1">
        <v>15504</v>
      </c>
      <c r="Q59" s="1">
        <v>16292</v>
      </c>
      <c r="R59" s="1">
        <v>12435</v>
      </c>
      <c r="S59" s="1">
        <v>9510</v>
      </c>
      <c r="T59" s="1">
        <v>7825</v>
      </c>
      <c r="U59" s="1">
        <v>5407</v>
      </c>
      <c r="V59" s="1">
        <v>3175</v>
      </c>
      <c r="W59" s="1">
        <v>1537</v>
      </c>
      <c r="X59" s="9">
        <f>SUM(Table2[[#This Row],[Age 20 to 24]:[Age 90 and Over]])</f>
        <v>192590</v>
      </c>
      <c r="Y59" s="9">
        <f>_xlfn.XLOOKUP(Table2[[#This Row],[Area]],Referendum!E:E,Referendum!L:L,"")</f>
        <v>69670</v>
      </c>
      <c r="Z59" s="9">
        <f>_xlfn.XLOOKUP(Table2[[#This Row],[Area]],Referendum!E:E,Referendum!M:M,"")</f>
        <v>89134</v>
      </c>
      <c r="AA59" s="10">
        <f>(Table2[[#This Row],[Leave Votes]]+Table2[[#This Row],[Remain Votes]])/Table2[[#This Row],[Residents Age &gt;=20]]</f>
        <v>0.82457033075445252</v>
      </c>
      <c r="AB59" s="10">
        <f>Table2[[#This Row],[Remain Votes]]/Table2[[#This Row],[Residents Age &gt;=20]]</f>
        <v>0.36175294667428215</v>
      </c>
      <c r="AC59" s="10">
        <f>Table2[[#This Row],[Leave Votes]]/Table2[[#This Row],[Residents Age &gt;=20]]</f>
        <v>0.46281738408017031</v>
      </c>
    </row>
    <row r="60" spans="1:29" x14ac:dyDescent="0.45">
      <c r="A60" t="s">
        <v>830</v>
      </c>
      <c r="B60" t="s">
        <v>777</v>
      </c>
      <c r="C60" t="s">
        <v>778</v>
      </c>
      <c r="D60" s="1">
        <v>75922</v>
      </c>
      <c r="E60" s="1">
        <v>3472</v>
      </c>
      <c r="F60" s="1">
        <v>3346</v>
      </c>
      <c r="G60" s="1">
        <v>3642</v>
      </c>
      <c r="H60" s="1">
        <v>6632</v>
      </c>
      <c r="I60" s="1">
        <v>8191</v>
      </c>
      <c r="J60" s="1">
        <v>3614</v>
      </c>
      <c r="K60" s="1">
        <v>3304</v>
      </c>
      <c r="L60" s="1">
        <v>3654</v>
      </c>
      <c r="M60" s="1">
        <v>4325</v>
      </c>
      <c r="N60" s="1">
        <v>4738</v>
      </c>
      <c r="O60" s="1">
        <v>4841</v>
      </c>
      <c r="P60" s="1">
        <v>4884</v>
      </c>
      <c r="Q60" s="1">
        <v>5574</v>
      </c>
      <c r="R60" s="1">
        <v>4724</v>
      </c>
      <c r="S60" s="1">
        <v>3694</v>
      </c>
      <c r="T60" s="1">
        <v>2957</v>
      </c>
      <c r="U60" s="1">
        <v>2194</v>
      </c>
      <c r="V60" s="1">
        <v>1406</v>
      </c>
      <c r="W60">
        <v>730</v>
      </c>
      <c r="X60" s="9">
        <f>SUM(Table2[[#This Row],[Age 20 to 24]:[Age 90 and Over]])</f>
        <v>58830</v>
      </c>
      <c r="Y60" s="9">
        <f>_xlfn.XLOOKUP(Table2[[#This Row],[Area]],Referendum!E:E,Referendum!L:L,"")</f>
        <v>21711</v>
      </c>
      <c r="Z60" s="9">
        <f>_xlfn.XLOOKUP(Table2[[#This Row],[Area]],Referendum!E:E,Referendum!M:M,"")</f>
        <v>18031</v>
      </c>
      <c r="AA60" s="10">
        <f>(Table2[[#This Row],[Leave Votes]]+Table2[[#This Row],[Remain Votes]])/Table2[[#This Row],[Residents Age &gt;=20]]</f>
        <v>0.6755396906340303</v>
      </c>
      <c r="AB60" s="10">
        <f>Table2[[#This Row],[Remain Votes]]/Table2[[#This Row],[Residents Age &gt;=20]]</f>
        <v>0.36904640489546148</v>
      </c>
      <c r="AC60" s="10">
        <f>Table2[[#This Row],[Leave Votes]]/Table2[[#This Row],[Residents Age &gt;=20]]</f>
        <v>0.30649328573856877</v>
      </c>
    </row>
    <row r="61" spans="1:29" x14ac:dyDescent="0.45">
      <c r="A61" t="s">
        <v>830</v>
      </c>
      <c r="B61" t="s">
        <v>199</v>
      </c>
      <c r="C61" t="s">
        <v>200</v>
      </c>
      <c r="D61" s="1">
        <v>166100</v>
      </c>
      <c r="E61" s="1">
        <v>9120</v>
      </c>
      <c r="F61" s="1">
        <v>8279</v>
      </c>
      <c r="G61" s="1">
        <v>8924</v>
      </c>
      <c r="H61" s="1">
        <v>12886</v>
      </c>
      <c r="I61" s="1">
        <v>16121</v>
      </c>
      <c r="J61" s="1">
        <v>10079</v>
      </c>
      <c r="K61" s="1">
        <v>9261</v>
      </c>
      <c r="L61" s="1">
        <v>10126</v>
      </c>
      <c r="M61" s="1">
        <v>11758</v>
      </c>
      <c r="N61" s="1">
        <v>11794</v>
      </c>
      <c r="O61" s="1">
        <v>10507</v>
      </c>
      <c r="P61" s="1">
        <v>9650</v>
      </c>
      <c r="Q61" s="1">
        <v>10333</v>
      </c>
      <c r="R61" s="1">
        <v>8064</v>
      </c>
      <c r="S61" s="1">
        <v>6287</v>
      </c>
      <c r="T61" s="1">
        <v>5219</v>
      </c>
      <c r="U61" s="1">
        <v>4036</v>
      </c>
      <c r="V61" s="1">
        <v>2372</v>
      </c>
      <c r="W61" s="1">
        <v>1284</v>
      </c>
      <c r="X61" s="9">
        <f>SUM(Table2[[#This Row],[Age 20 to 24]:[Age 90 and Over]])</f>
        <v>126891</v>
      </c>
      <c r="Y61" s="9">
        <f>_xlfn.XLOOKUP(Table2[[#This Row],[Area]],Referendum!E:E,Referendum!L:L,"")</f>
        <v>43500</v>
      </c>
      <c r="Z61" s="9">
        <f>_xlfn.XLOOKUP(Table2[[#This Row],[Area]],Referendum!E:E,Referendum!M:M,"")</f>
        <v>50672</v>
      </c>
      <c r="AA61" s="10">
        <f>(Table2[[#This Row],[Leave Votes]]+Table2[[#This Row],[Remain Votes]])/Table2[[#This Row],[Residents Age &gt;=20]]</f>
        <v>0.74214877335666041</v>
      </c>
      <c r="AB61" s="10">
        <f>Table2[[#This Row],[Remain Votes]]/Table2[[#This Row],[Residents Age &gt;=20]]</f>
        <v>0.34281391115209114</v>
      </c>
      <c r="AC61" s="10">
        <f>Table2[[#This Row],[Leave Votes]]/Table2[[#This Row],[Residents Age &gt;=20]]</f>
        <v>0.39933486220456926</v>
      </c>
    </row>
    <row r="62" spans="1:29" x14ac:dyDescent="0.45">
      <c r="A62" t="s">
        <v>830</v>
      </c>
      <c r="B62" t="s">
        <v>347</v>
      </c>
      <c r="C62" t="s">
        <v>348</v>
      </c>
      <c r="D62" s="1">
        <v>168310</v>
      </c>
      <c r="E62" s="1">
        <v>9994</v>
      </c>
      <c r="F62" s="1">
        <v>9531</v>
      </c>
      <c r="G62" s="1">
        <v>9747</v>
      </c>
      <c r="H62" s="1">
        <v>10254</v>
      </c>
      <c r="I62" s="1">
        <v>9875</v>
      </c>
      <c r="J62" s="1">
        <v>10643</v>
      </c>
      <c r="K62" s="1">
        <v>10531</v>
      </c>
      <c r="L62" s="1">
        <v>11787</v>
      </c>
      <c r="M62" s="1">
        <v>12844</v>
      </c>
      <c r="N62" s="1">
        <v>12910</v>
      </c>
      <c r="O62" s="1">
        <v>11157</v>
      </c>
      <c r="P62" s="1">
        <v>10047</v>
      </c>
      <c r="Q62" s="1">
        <v>10972</v>
      </c>
      <c r="R62" s="1">
        <v>8239</v>
      </c>
      <c r="S62" s="1">
        <v>6469</v>
      </c>
      <c r="T62" s="1">
        <v>5446</v>
      </c>
      <c r="U62" s="1">
        <v>4092</v>
      </c>
      <c r="V62" s="1">
        <v>2495</v>
      </c>
      <c r="W62" s="1">
        <v>1277</v>
      </c>
      <c r="X62" s="9">
        <f>SUM(Table2[[#This Row],[Age 20 to 24]:[Age 90 and Over]])</f>
        <v>128784</v>
      </c>
      <c r="Y62" s="9">
        <f>_xlfn.XLOOKUP(Table2[[#This Row],[Area]],Referendum!E:E,Referendum!L:L,"")</f>
        <v>47545</v>
      </c>
      <c r="Z62" s="9">
        <f>_xlfn.XLOOKUP(Table2[[#This Row],[Area]],Referendum!E:E,Referendum!M:M,"")</f>
        <v>53249</v>
      </c>
      <c r="AA62" s="10">
        <f>(Table2[[#This Row],[Leave Votes]]+Table2[[#This Row],[Remain Votes]])/Table2[[#This Row],[Residents Age &gt;=20]]</f>
        <v>0.78265933656354825</v>
      </c>
      <c r="AB62" s="10">
        <f>Table2[[#This Row],[Remain Votes]]/Table2[[#This Row],[Residents Age &gt;=20]]</f>
        <v>0.36918406013169336</v>
      </c>
      <c r="AC62" s="10">
        <f>Table2[[#This Row],[Leave Votes]]/Table2[[#This Row],[Residents Age &gt;=20]]</f>
        <v>0.41347527643185489</v>
      </c>
    </row>
    <row r="63" spans="1:29" x14ac:dyDescent="0.45">
      <c r="A63" t="s">
        <v>830</v>
      </c>
      <c r="B63" t="s">
        <v>669</v>
      </c>
      <c r="C63" t="s">
        <v>670</v>
      </c>
      <c r="D63" s="1">
        <v>115732</v>
      </c>
      <c r="E63" s="1">
        <v>6486</v>
      </c>
      <c r="F63" s="1">
        <v>5689</v>
      </c>
      <c r="G63" s="1">
        <v>6201</v>
      </c>
      <c r="H63" s="1">
        <v>7556</v>
      </c>
      <c r="I63" s="1">
        <v>9185</v>
      </c>
      <c r="J63" s="1">
        <v>9324</v>
      </c>
      <c r="K63" s="1">
        <v>8296</v>
      </c>
      <c r="L63" s="1">
        <v>7715</v>
      </c>
      <c r="M63" s="1">
        <v>8022</v>
      </c>
      <c r="N63" s="1">
        <v>8230</v>
      </c>
      <c r="O63" s="1">
        <v>7051</v>
      </c>
      <c r="P63" s="1">
        <v>6263</v>
      </c>
      <c r="Q63" s="1">
        <v>6385</v>
      </c>
      <c r="R63" s="1">
        <v>5090</v>
      </c>
      <c r="S63" s="1">
        <v>4321</v>
      </c>
      <c r="T63" s="1">
        <v>3628</v>
      </c>
      <c r="U63" s="1">
        <v>2964</v>
      </c>
      <c r="V63" s="1">
        <v>2161</v>
      </c>
      <c r="W63" s="1">
        <v>1165</v>
      </c>
      <c r="X63" s="9">
        <f>SUM(Table2[[#This Row],[Age 20 to 24]:[Age 90 and Over]])</f>
        <v>89800</v>
      </c>
      <c r="Y63" s="9">
        <f>_xlfn.XLOOKUP(Table2[[#This Row],[Area]],Referendum!E:E,Referendum!L:L,"")</f>
        <v>37081</v>
      </c>
      <c r="Z63" s="9">
        <f>_xlfn.XLOOKUP(Table2[[#This Row],[Area]],Referendum!E:E,Referendum!M:M,"")</f>
        <v>28932</v>
      </c>
      <c r="AA63" s="10">
        <f>(Table2[[#This Row],[Leave Votes]]+Table2[[#This Row],[Remain Votes]])/Table2[[#This Row],[Residents Age &gt;=20]]</f>
        <v>0.7351113585746103</v>
      </c>
      <c r="AB63" s="10">
        <f>Table2[[#This Row],[Remain Votes]]/Table2[[#This Row],[Residents Age &gt;=20]]</f>
        <v>0.41292873051224943</v>
      </c>
      <c r="AC63" s="10">
        <f>Table2[[#This Row],[Leave Votes]]/Table2[[#This Row],[Residents Age &gt;=20]]</f>
        <v>0.32218262806236081</v>
      </c>
    </row>
    <row r="64" spans="1:29" x14ac:dyDescent="0.45">
      <c r="A64" t="s">
        <v>830</v>
      </c>
      <c r="B64" t="s">
        <v>569</v>
      </c>
      <c r="C64" t="s">
        <v>570</v>
      </c>
      <c r="D64" s="1">
        <v>141868</v>
      </c>
      <c r="E64" s="1">
        <v>9819</v>
      </c>
      <c r="F64" s="1">
        <v>8296</v>
      </c>
      <c r="G64" s="1">
        <v>8588</v>
      </c>
      <c r="H64" s="1">
        <v>8408</v>
      </c>
      <c r="I64" s="1">
        <v>7590</v>
      </c>
      <c r="J64" s="1">
        <v>9577</v>
      </c>
      <c r="K64" s="1">
        <v>9713</v>
      </c>
      <c r="L64" s="1">
        <v>10145</v>
      </c>
      <c r="M64" s="1">
        <v>11116</v>
      </c>
      <c r="N64" s="1">
        <v>11104</v>
      </c>
      <c r="O64" s="1">
        <v>9284</v>
      </c>
      <c r="P64" s="1">
        <v>8088</v>
      </c>
      <c r="Q64" s="1">
        <v>8441</v>
      </c>
      <c r="R64" s="1">
        <v>6316</v>
      </c>
      <c r="S64" s="1">
        <v>5230</v>
      </c>
      <c r="T64" s="1">
        <v>4205</v>
      </c>
      <c r="U64" s="1">
        <v>3129</v>
      </c>
      <c r="V64" s="1">
        <v>1851</v>
      </c>
      <c r="W64">
        <v>968</v>
      </c>
      <c r="X64" s="9">
        <f>SUM(Table2[[#This Row],[Age 20 to 24]:[Age 90 and Over]])</f>
        <v>106757</v>
      </c>
      <c r="Y64" s="9">
        <f>_xlfn.XLOOKUP(Table2[[#This Row],[Area]],Referendum!E:E,Referendum!L:L,"")</f>
        <v>40668</v>
      </c>
      <c r="Z64" s="9">
        <f>_xlfn.XLOOKUP(Table2[[#This Row],[Area]],Referendum!E:E,Referendum!M:M,"")</f>
        <v>41168</v>
      </c>
      <c r="AA64" s="10">
        <f>(Table2[[#This Row],[Leave Votes]]+Table2[[#This Row],[Remain Votes]])/Table2[[#This Row],[Residents Age &gt;=20]]</f>
        <v>0.76656331669117717</v>
      </c>
      <c r="AB64" s="10">
        <f>Table2[[#This Row],[Remain Votes]]/Table2[[#This Row],[Residents Age &gt;=20]]</f>
        <v>0.38093989152936109</v>
      </c>
      <c r="AC64" s="10">
        <f>Table2[[#This Row],[Leave Votes]]/Table2[[#This Row],[Residents Age &gt;=20]]</f>
        <v>0.38562342516181608</v>
      </c>
    </row>
    <row r="65" spans="1:29" x14ac:dyDescent="0.45">
      <c r="A65" t="s">
        <v>830</v>
      </c>
      <c r="B65" t="s">
        <v>79</v>
      </c>
      <c r="C65" t="s">
        <v>80</v>
      </c>
      <c r="D65" s="1">
        <v>370127</v>
      </c>
      <c r="E65" s="1">
        <v>20194</v>
      </c>
      <c r="F65" s="1">
        <v>19744</v>
      </c>
      <c r="G65" s="1">
        <v>21383</v>
      </c>
      <c r="H65" s="1">
        <v>22079</v>
      </c>
      <c r="I65" s="1">
        <v>18615</v>
      </c>
      <c r="J65" s="1">
        <v>19020</v>
      </c>
      <c r="K65" s="1">
        <v>19532</v>
      </c>
      <c r="L65" s="1">
        <v>24129</v>
      </c>
      <c r="M65" s="1">
        <v>28386</v>
      </c>
      <c r="N65" s="1">
        <v>29831</v>
      </c>
      <c r="O65" s="1">
        <v>26124</v>
      </c>
      <c r="P65" s="1">
        <v>23275</v>
      </c>
      <c r="Q65" s="1">
        <v>26443</v>
      </c>
      <c r="R65" s="1">
        <v>21074</v>
      </c>
      <c r="S65" s="1">
        <v>16877</v>
      </c>
      <c r="T65" s="1">
        <v>13485</v>
      </c>
      <c r="U65" s="1">
        <v>10248</v>
      </c>
      <c r="V65" s="1">
        <v>6347</v>
      </c>
      <c r="W65" s="1">
        <v>3341</v>
      </c>
      <c r="X65" s="9">
        <f>SUM(Table2[[#This Row],[Age 20 to 24]:[Age 90 and Over]])</f>
        <v>286727</v>
      </c>
      <c r="Y65" s="9">
        <f>_xlfn.XLOOKUP(Table2[[#This Row],[Area]],Referendum!E:E,Referendum!L:L,"")</f>
        <v>107962</v>
      </c>
      <c r="Z65" s="9">
        <f>_xlfn.XLOOKUP(Table2[[#This Row],[Area]],Referendum!E:E,Referendum!M:M,"")</f>
        <v>113163</v>
      </c>
      <c r="AA65" s="10">
        <f>(Table2[[#This Row],[Leave Votes]]+Table2[[#This Row],[Remain Votes]])/Table2[[#This Row],[Residents Age &gt;=20]]</f>
        <v>0.77120396753706488</v>
      </c>
      <c r="AB65" s="10">
        <f>Table2[[#This Row],[Remain Votes]]/Table2[[#This Row],[Residents Age &gt;=20]]</f>
        <v>0.37653238097563185</v>
      </c>
      <c r="AC65" s="10">
        <f>Table2[[#This Row],[Leave Votes]]/Table2[[#This Row],[Residents Age &gt;=20]]</f>
        <v>0.39467158656143297</v>
      </c>
    </row>
    <row r="66" spans="1:29" x14ac:dyDescent="0.45">
      <c r="A66" t="s">
        <v>830</v>
      </c>
      <c r="B66" t="s">
        <v>85</v>
      </c>
      <c r="C66" t="s">
        <v>86</v>
      </c>
      <c r="D66" s="1">
        <v>329608</v>
      </c>
      <c r="E66" s="1">
        <v>18050</v>
      </c>
      <c r="F66" s="1">
        <v>17443</v>
      </c>
      <c r="G66" s="1">
        <v>18737</v>
      </c>
      <c r="H66" s="1">
        <v>20105</v>
      </c>
      <c r="I66" s="1">
        <v>19511</v>
      </c>
      <c r="J66" s="1">
        <v>18796</v>
      </c>
      <c r="K66" s="1">
        <v>18085</v>
      </c>
      <c r="L66" s="1">
        <v>21296</v>
      </c>
      <c r="M66" s="1">
        <v>24677</v>
      </c>
      <c r="N66" s="1">
        <v>25698</v>
      </c>
      <c r="O66" s="1">
        <v>22851</v>
      </c>
      <c r="P66" s="1">
        <v>20573</v>
      </c>
      <c r="Q66" s="1">
        <v>22686</v>
      </c>
      <c r="R66" s="1">
        <v>17832</v>
      </c>
      <c r="S66" s="1">
        <v>14950</v>
      </c>
      <c r="T66" s="1">
        <v>11683</v>
      </c>
      <c r="U66" s="1">
        <v>8704</v>
      </c>
      <c r="V66" s="1">
        <v>5215</v>
      </c>
      <c r="W66" s="1">
        <v>2716</v>
      </c>
      <c r="X66" s="9">
        <f>SUM(Table2[[#This Row],[Age 20 to 24]:[Age 90 and Over]])</f>
        <v>255273</v>
      </c>
      <c r="Y66" s="9">
        <f>_xlfn.XLOOKUP(Table2[[#This Row],[Area]],Referendum!E:E,Referendum!L:L,"")</f>
        <v>95455</v>
      </c>
      <c r="Z66" s="9">
        <f>_xlfn.XLOOKUP(Table2[[#This Row],[Area]],Referendum!E:E,Referendum!M:M,"")</f>
        <v>98082</v>
      </c>
      <c r="AA66" s="10">
        <f>(Table2[[#This Row],[Leave Votes]]+Table2[[#This Row],[Remain Votes]])/Table2[[#This Row],[Residents Age &gt;=20]]</f>
        <v>0.75815695353601831</v>
      </c>
      <c r="AB66" s="10">
        <f>Table2[[#This Row],[Remain Votes]]/Table2[[#This Row],[Residents Age &gt;=20]]</f>
        <v>0.37393300505733079</v>
      </c>
      <c r="AC66" s="10">
        <f>Table2[[#This Row],[Leave Votes]]/Table2[[#This Row],[Residents Age &gt;=20]]</f>
        <v>0.38422394847868752</v>
      </c>
    </row>
    <row r="67" spans="1:29" x14ac:dyDescent="0.45">
      <c r="A67" t="s">
        <v>830</v>
      </c>
      <c r="B67" t="s">
        <v>185</v>
      </c>
      <c r="C67" t="s">
        <v>186</v>
      </c>
      <c r="D67" s="1">
        <v>103788</v>
      </c>
      <c r="E67" s="1">
        <v>5778</v>
      </c>
      <c r="F67" s="1">
        <v>5071</v>
      </c>
      <c r="G67" s="1">
        <v>6041</v>
      </c>
      <c r="H67" s="1">
        <v>6477</v>
      </c>
      <c r="I67" s="1">
        <v>5784</v>
      </c>
      <c r="J67" s="1">
        <v>6071</v>
      </c>
      <c r="K67" s="1">
        <v>5919</v>
      </c>
      <c r="L67" s="1">
        <v>6765</v>
      </c>
      <c r="M67" s="1">
        <v>7862</v>
      </c>
      <c r="N67" s="1">
        <v>8113</v>
      </c>
      <c r="O67" s="1">
        <v>7207</v>
      </c>
      <c r="P67" s="1">
        <v>6453</v>
      </c>
      <c r="Q67" s="1">
        <v>6956</v>
      </c>
      <c r="R67" s="1">
        <v>5652</v>
      </c>
      <c r="S67" s="1">
        <v>4453</v>
      </c>
      <c r="T67" s="1">
        <v>3565</v>
      </c>
      <c r="U67" s="1">
        <v>2843</v>
      </c>
      <c r="V67" s="1">
        <v>1918</v>
      </c>
      <c r="W67">
        <v>860</v>
      </c>
      <c r="X67" s="9">
        <f>SUM(Table2[[#This Row],[Age 20 to 24]:[Age 90 and Over]])</f>
        <v>80421</v>
      </c>
      <c r="Y67" s="9">
        <f>_xlfn.XLOOKUP(Table2[[#This Row],[Area]],Referendum!E:E,Referendum!L:L,"")</f>
        <v>22946</v>
      </c>
      <c r="Z67" s="9">
        <f>_xlfn.XLOOKUP(Table2[[#This Row],[Area]],Referendum!E:E,Referendum!M:M,"")</f>
        <v>34478</v>
      </c>
      <c r="AA67" s="10">
        <f>(Table2[[#This Row],[Leave Votes]]+Table2[[#This Row],[Remain Votes]])/Table2[[#This Row],[Residents Age &gt;=20]]</f>
        <v>0.71404235212195821</v>
      </c>
      <c r="AB67" s="10">
        <f>Table2[[#This Row],[Remain Votes]]/Table2[[#This Row],[Residents Age &gt;=20]]</f>
        <v>0.28532348515934891</v>
      </c>
      <c r="AC67" s="10">
        <f>Table2[[#This Row],[Leave Votes]]/Table2[[#This Row],[Residents Age &gt;=20]]</f>
        <v>0.42871886696260925</v>
      </c>
    </row>
    <row r="68" spans="1:29" x14ac:dyDescent="0.45">
      <c r="A68" t="s">
        <v>830</v>
      </c>
      <c r="B68" t="s">
        <v>605</v>
      </c>
      <c r="C68" t="s">
        <v>606</v>
      </c>
      <c r="D68" s="1">
        <v>113794</v>
      </c>
      <c r="E68" s="1">
        <v>5652</v>
      </c>
      <c r="F68" s="1">
        <v>5630</v>
      </c>
      <c r="G68" s="1">
        <v>6092</v>
      </c>
      <c r="H68" s="1">
        <v>6517</v>
      </c>
      <c r="I68" s="1">
        <v>6200</v>
      </c>
      <c r="J68" s="1">
        <v>5150</v>
      </c>
      <c r="K68" s="1">
        <v>5205</v>
      </c>
      <c r="L68" s="1">
        <v>6121</v>
      </c>
      <c r="M68" s="1">
        <v>7497</v>
      </c>
      <c r="N68" s="1">
        <v>8312</v>
      </c>
      <c r="O68" s="1">
        <v>7795</v>
      </c>
      <c r="P68" s="1">
        <v>7179</v>
      </c>
      <c r="Q68" s="1">
        <v>8550</v>
      </c>
      <c r="R68" s="1">
        <v>7551</v>
      </c>
      <c r="S68" s="1">
        <v>6219</v>
      </c>
      <c r="T68" s="1">
        <v>5515</v>
      </c>
      <c r="U68" s="1">
        <v>4317</v>
      </c>
      <c r="V68" s="1">
        <v>2761</v>
      </c>
      <c r="W68" s="1">
        <v>1531</v>
      </c>
      <c r="X68" s="9">
        <f>SUM(Table2[[#This Row],[Age 20 to 24]:[Age 90 and Over]])</f>
        <v>89903</v>
      </c>
      <c r="Y68" s="9">
        <f>_xlfn.XLOOKUP(Table2[[#This Row],[Area]],Referendum!E:E,Referendum!L:L,"")</f>
        <v>35011</v>
      </c>
      <c r="Z68" s="9">
        <f>_xlfn.XLOOKUP(Table2[[#This Row],[Area]],Referendum!E:E,Referendum!M:M,"")</f>
        <v>36326</v>
      </c>
      <c r="AA68" s="10">
        <f>(Table2[[#This Row],[Leave Votes]]+Table2[[#This Row],[Remain Votes]])/Table2[[#This Row],[Residents Age &gt;=20]]</f>
        <v>0.7934885376461297</v>
      </c>
      <c r="AB68" s="10">
        <f>Table2[[#This Row],[Remain Votes]]/Table2[[#This Row],[Residents Age &gt;=20]]</f>
        <v>0.38943083100675174</v>
      </c>
      <c r="AC68" s="10">
        <f>Table2[[#This Row],[Leave Votes]]/Table2[[#This Row],[Residents Age &gt;=20]]</f>
        <v>0.40405770663937801</v>
      </c>
    </row>
    <row r="69" spans="1:29" x14ac:dyDescent="0.45">
      <c r="A69" t="s">
        <v>830</v>
      </c>
      <c r="B69" t="s">
        <v>507</v>
      </c>
      <c r="C69" t="s">
        <v>508</v>
      </c>
      <c r="D69" s="1">
        <v>92635</v>
      </c>
      <c r="E69" s="1">
        <v>5473</v>
      </c>
      <c r="F69" s="1">
        <v>5860</v>
      </c>
      <c r="G69" s="1">
        <v>6339</v>
      </c>
      <c r="H69" s="1">
        <v>5559</v>
      </c>
      <c r="I69" s="1">
        <v>3693</v>
      </c>
      <c r="J69" s="1">
        <v>3706</v>
      </c>
      <c r="K69" s="1">
        <v>4400</v>
      </c>
      <c r="L69" s="1">
        <v>5718</v>
      </c>
      <c r="M69" s="1">
        <v>7006</v>
      </c>
      <c r="N69" s="1">
        <v>7785</v>
      </c>
      <c r="O69" s="1">
        <v>7072</v>
      </c>
      <c r="P69" s="1">
        <v>5792</v>
      </c>
      <c r="Q69" s="1">
        <v>6264</v>
      </c>
      <c r="R69" s="1">
        <v>5130</v>
      </c>
      <c r="S69" s="1">
        <v>4202</v>
      </c>
      <c r="T69" s="1">
        <v>3581</v>
      </c>
      <c r="U69" s="1">
        <v>2560</v>
      </c>
      <c r="V69" s="1">
        <v>1635</v>
      </c>
      <c r="W69">
        <v>860</v>
      </c>
      <c r="X69" s="9">
        <f>SUM(Table2[[#This Row],[Age 20 to 24]:[Age 90 and Over]])</f>
        <v>69404</v>
      </c>
      <c r="Y69" s="9">
        <f>_xlfn.XLOOKUP(Table2[[#This Row],[Area]],Referendum!E:E,Referendum!L:L,"")</f>
        <v>32241</v>
      </c>
      <c r="Z69" s="9">
        <f>_xlfn.XLOOKUP(Table2[[#This Row],[Area]],Referendum!E:E,Referendum!M:M,"")</f>
        <v>26363</v>
      </c>
      <c r="AA69" s="10">
        <f>(Table2[[#This Row],[Leave Votes]]+Table2[[#This Row],[Remain Votes]])/Table2[[#This Row],[Residents Age &gt;=20]]</f>
        <v>0.84438937237046852</v>
      </c>
      <c r="AB69" s="10">
        <f>Table2[[#This Row],[Remain Votes]]/Table2[[#This Row],[Residents Age &gt;=20]]</f>
        <v>0.46454094864849288</v>
      </c>
      <c r="AC69" s="10">
        <f>Table2[[#This Row],[Leave Votes]]/Table2[[#This Row],[Residents Age &gt;=20]]</f>
        <v>0.37984842372197569</v>
      </c>
    </row>
    <row r="70" spans="1:29" x14ac:dyDescent="0.45">
      <c r="A70" t="s">
        <v>830</v>
      </c>
      <c r="B70" t="s">
        <v>105</v>
      </c>
      <c r="C70" t="s">
        <v>106</v>
      </c>
      <c r="D70" s="1">
        <v>107155</v>
      </c>
      <c r="E70" s="1">
        <v>6203</v>
      </c>
      <c r="F70" s="1">
        <v>5963</v>
      </c>
      <c r="G70" s="1">
        <v>6076</v>
      </c>
      <c r="H70" s="1">
        <v>6141</v>
      </c>
      <c r="I70" s="1">
        <v>6122</v>
      </c>
      <c r="J70" s="1">
        <v>6210</v>
      </c>
      <c r="K70" s="1">
        <v>6270</v>
      </c>
      <c r="L70" s="1">
        <v>7652</v>
      </c>
      <c r="M70" s="1">
        <v>8416</v>
      </c>
      <c r="N70" s="1">
        <v>8429</v>
      </c>
      <c r="O70" s="1">
        <v>7357</v>
      </c>
      <c r="P70" s="1">
        <v>6689</v>
      </c>
      <c r="Q70" s="1">
        <v>7665</v>
      </c>
      <c r="R70" s="1">
        <v>5944</v>
      </c>
      <c r="S70" s="1">
        <v>4437</v>
      </c>
      <c r="T70" s="1">
        <v>3246</v>
      </c>
      <c r="U70" s="1">
        <v>2174</v>
      </c>
      <c r="V70" s="1">
        <v>1407</v>
      </c>
      <c r="W70">
        <v>754</v>
      </c>
      <c r="X70" s="9">
        <f>SUM(Table2[[#This Row],[Age 20 to 24]:[Age 90 and Over]])</f>
        <v>82772</v>
      </c>
      <c r="Y70" s="9">
        <f>_xlfn.XLOOKUP(Table2[[#This Row],[Area]],Referendum!E:E,Referendum!L:L,"")</f>
        <v>27417</v>
      </c>
      <c r="Z70" s="9">
        <f>_xlfn.XLOOKUP(Table2[[#This Row],[Area]],Referendum!E:E,Referendum!M:M,"")</f>
        <v>36098</v>
      </c>
      <c r="AA70" s="10">
        <f>(Table2[[#This Row],[Leave Votes]]+Table2[[#This Row],[Remain Votes]])/Table2[[#This Row],[Residents Age &gt;=20]]</f>
        <v>0.76734886193398733</v>
      </c>
      <c r="AB70" s="10">
        <f>Table2[[#This Row],[Remain Votes]]/Table2[[#This Row],[Residents Age &gt;=20]]</f>
        <v>0.33123520030928333</v>
      </c>
      <c r="AC70" s="10">
        <f>Table2[[#This Row],[Leave Votes]]/Table2[[#This Row],[Residents Age &gt;=20]]</f>
        <v>0.436113661624704</v>
      </c>
    </row>
    <row r="71" spans="1:29" x14ac:dyDescent="0.45">
      <c r="A71" t="s">
        <v>830</v>
      </c>
      <c r="B71" t="s">
        <v>657</v>
      </c>
      <c r="C71" t="s">
        <v>658</v>
      </c>
      <c r="D71" s="1">
        <v>47752</v>
      </c>
      <c r="E71" s="1">
        <v>2143</v>
      </c>
      <c r="F71" s="1">
        <v>2214</v>
      </c>
      <c r="G71" s="1">
        <v>2562</v>
      </c>
      <c r="H71" s="1">
        <v>2512</v>
      </c>
      <c r="I71" s="1">
        <v>2063</v>
      </c>
      <c r="J71" s="1">
        <v>1882</v>
      </c>
      <c r="K71" s="1">
        <v>2016</v>
      </c>
      <c r="L71" s="1">
        <v>2392</v>
      </c>
      <c r="M71" s="1">
        <v>3066</v>
      </c>
      <c r="N71" s="1">
        <v>3284</v>
      </c>
      <c r="O71" s="1">
        <v>2935</v>
      </c>
      <c r="P71" s="1">
        <v>2775</v>
      </c>
      <c r="Q71" s="1">
        <v>3721</v>
      </c>
      <c r="R71" s="1">
        <v>3514</v>
      </c>
      <c r="S71" s="1">
        <v>3029</v>
      </c>
      <c r="T71" s="1">
        <v>2802</v>
      </c>
      <c r="U71" s="1">
        <v>2348</v>
      </c>
      <c r="V71" s="1">
        <v>1620</v>
      </c>
      <c r="W71">
        <v>874</v>
      </c>
      <c r="X71" s="9">
        <f>SUM(Table2[[#This Row],[Age 20 to 24]:[Age 90 and Over]])</f>
        <v>38321</v>
      </c>
      <c r="Y71" s="9">
        <f>_xlfn.XLOOKUP(Table2[[#This Row],[Area]],Referendum!E:E,Referendum!L:L,"")</f>
        <v>12782</v>
      </c>
      <c r="Z71" s="9">
        <f>_xlfn.XLOOKUP(Table2[[#This Row],[Area]],Referendum!E:E,Referendum!M:M,"")</f>
        <v>18268</v>
      </c>
      <c r="AA71" s="10">
        <f>(Table2[[#This Row],[Leave Votes]]+Table2[[#This Row],[Remain Votes]])/Table2[[#This Row],[Residents Age &gt;=20]]</f>
        <v>0.81026069257065314</v>
      </c>
      <c r="AB71" s="10">
        <f>Table2[[#This Row],[Remain Votes]]/Table2[[#This Row],[Residents Age &gt;=20]]</f>
        <v>0.33355079460348114</v>
      </c>
      <c r="AC71" s="10">
        <f>Table2[[#This Row],[Leave Votes]]/Table2[[#This Row],[Residents Age &gt;=20]]</f>
        <v>0.47670989796717206</v>
      </c>
    </row>
    <row r="72" spans="1:29" x14ac:dyDescent="0.45">
      <c r="A72" t="s">
        <v>837</v>
      </c>
      <c r="B72" t="s">
        <v>723</v>
      </c>
      <c r="C72" t="s">
        <v>724</v>
      </c>
      <c r="D72" s="1">
        <v>476600</v>
      </c>
      <c r="E72" s="1">
        <v>26200</v>
      </c>
      <c r="F72" s="1">
        <v>20500</v>
      </c>
      <c r="G72" s="1">
        <v>21100</v>
      </c>
      <c r="H72" s="1">
        <v>28500</v>
      </c>
      <c r="I72" s="1">
        <v>47800</v>
      </c>
      <c r="J72" s="1">
        <v>45300</v>
      </c>
      <c r="K72" s="1">
        <v>38500</v>
      </c>
      <c r="L72" s="1">
        <v>34100</v>
      </c>
      <c r="M72" s="1">
        <v>32800</v>
      </c>
      <c r="N72" s="1">
        <v>32900</v>
      </c>
      <c r="O72" s="1">
        <v>29900</v>
      </c>
      <c r="P72" s="1">
        <v>25500</v>
      </c>
      <c r="Q72" s="1">
        <v>25100</v>
      </c>
      <c r="R72" s="1">
        <v>18100</v>
      </c>
      <c r="S72" s="1">
        <v>16000</v>
      </c>
      <c r="T72" s="1">
        <v>13800</v>
      </c>
      <c r="U72" s="1">
        <v>20600</v>
      </c>
      <c r="X72" s="9">
        <f>SUM(Table2[[#This Row],[Age 20 to 24]:[Age 90 and Over]])</f>
        <v>380400</v>
      </c>
      <c r="Y72" s="9">
        <f>_xlfn.XLOOKUP(Table2[[#This Row],[Area]],Referendum!E:E,Referendum!L:L,"")</f>
        <v>187796</v>
      </c>
      <c r="Z72" s="9">
        <f>_xlfn.XLOOKUP(Table2[[#This Row],[Area]],Referendum!E:E,Referendum!M:M,"")</f>
        <v>64498</v>
      </c>
      <c r="AA72" s="10">
        <f>(Table2[[#This Row],[Leave Votes]]+Table2[[#This Row],[Remain Votes]])/Table2[[#This Row],[Residents Age &gt;=20]]</f>
        <v>0.66323343848580441</v>
      </c>
      <c r="AB72" s="10">
        <f>Table2[[#This Row],[Remain Votes]]/Table2[[#This Row],[Residents Age &gt;=20]]</f>
        <v>0.49368033648790749</v>
      </c>
      <c r="AC72" s="10">
        <f>Table2[[#This Row],[Leave Votes]]/Table2[[#This Row],[Residents Age &gt;=20]]</f>
        <v>0.16955310199789694</v>
      </c>
    </row>
    <row r="73" spans="1:29" x14ac:dyDescent="0.45">
      <c r="A73" t="s">
        <v>830</v>
      </c>
      <c r="B73" t="s">
        <v>413</v>
      </c>
      <c r="C73" t="s">
        <v>414</v>
      </c>
      <c r="D73" s="1">
        <v>7375</v>
      </c>
      <c r="E73">
        <v>236</v>
      </c>
      <c r="F73">
        <v>182</v>
      </c>
      <c r="G73">
        <v>169</v>
      </c>
      <c r="H73">
        <v>197</v>
      </c>
      <c r="I73">
        <v>545</v>
      </c>
      <c r="J73">
        <v>956</v>
      </c>
      <c r="K73">
        <v>820</v>
      </c>
      <c r="L73">
        <v>598</v>
      </c>
      <c r="M73">
        <v>627</v>
      </c>
      <c r="N73">
        <v>600</v>
      </c>
      <c r="O73">
        <v>471</v>
      </c>
      <c r="P73">
        <v>476</v>
      </c>
      <c r="Q73">
        <v>463</v>
      </c>
      <c r="R73">
        <v>329</v>
      </c>
      <c r="S73">
        <v>258</v>
      </c>
      <c r="T73">
        <v>185</v>
      </c>
      <c r="U73">
        <v>146</v>
      </c>
      <c r="V73">
        <v>75</v>
      </c>
      <c r="W73">
        <v>42</v>
      </c>
      <c r="X73" s="9">
        <f>SUM(Table2[[#This Row],[Age 20 to 24]:[Age 90 and Over]])</f>
        <v>6591</v>
      </c>
      <c r="Y73" s="9">
        <f>_xlfn.XLOOKUP(Table2[[#This Row],[Area]],Referendum!E:E,Referendum!L:L,"")</f>
        <v>3312</v>
      </c>
      <c r="Z73" s="9">
        <f>_xlfn.XLOOKUP(Table2[[#This Row],[Area]],Referendum!E:E,Referendum!M:M,"")</f>
        <v>1087</v>
      </c>
      <c r="AA73" s="10">
        <f>(Table2[[#This Row],[Leave Votes]]+Table2[[#This Row],[Remain Votes]])/Table2[[#This Row],[Residents Age &gt;=20]]</f>
        <v>0.66742527689273257</v>
      </c>
      <c r="AB73" s="10">
        <f>Table2[[#This Row],[Remain Votes]]/Table2[[#This Row],[Residents Age &gt;=20]]</f>
        <v>0.50250341374601726</v>
      </c>
      <c r="AC73" s="10">
        <f>Table2[[#This Row],[Leave Votes]]/Table2[[#This Row],[Residents Age &gt;=20]]</f>
        <v>0.16492186314671523</v>
      </c>
    </row>
    <row r="74" spans="1:29" x14ac:dyDescent="0.45">
      <c r="A74" t="s">
        <v>837</v>
      </c>
      <c r="B74" t="s">
        <v>707</v>
      </c>
      <c r="C74" t="s">
        <v>708</v>
      </c>
      <c r="D74" s="1">
        <v>51400</v>
      </c>
      <c r="E74" s="1">
        <v>2900</v>
      </c>
      <c r="F74" s="1">
        <v>2700</v>
      </c>
      <c r="G74" s="1">
        <v>3100</v>
      </c>
      <c r="H74" s="1">
        <v>3200</v>
      </c>
      <c r="I74" s="1">
        <v>2900</v>
      </c>
      <c r="J74" s="1">
        <v>2900</v>
      </c>
      <c r="K74" s="1">
        <v>3000</v>
      </c>
      <c r="L74" s="1">
        <v>3500</v>
      </c>
      <c r="M74" s="1">
        <v>4200</v>
      </c>
      <c r="N74" s="1">
        <v>4200</v>
      </c>
      <c r="O74" s="1">
        <v>3700</v>
      </c>
      <c r="P74" s="1">
        <v>3300</v>
      </c>
      <c r="Q74" s="1">
        <v>3600</v>
      </c>
      <c r="R74" s="1">
        <v>2800</v>
      </c>
      <c r="S74" s="1">
        <v>2100</v>
      </c>
      <c r="T74" s="1">
        <v>1500</v>
      </c>
      <c r="U74" s="1">
        <v>1800</v>
      </c>
      <c r="X74" s="9">
        <f>SUM(Table2[[#This Row],[Age 20 to 24]:[Age 90 and Over]])</f>
        <v>39500</v>
      </c>
      <c r="Y74" s="9">
        <f>_xlfn.XLOOKUP(Table2[[#This Row],[Area]],Referendum!E:E,Referendum!L:L,"")</f>
        <v>14691</v>
      </c>
      <c r="Z74" s="9">
        <f>_xlfn.XLOOKUP(Table2[[#This Row],[Area]],Referendum!E:E,Referendum!M:M,"")</f>
        <v>10736</v>
      </c>
      <c r="AA74" s="10">
        <f>(Table2[[#This Row],[Leave Votes]]+Table2[[#This Row],[Remain Votes]])/Table2[[#This Row],[Residents Age &gt;=20]]</f>
        <v>0.64372151898734176</v>
      </c>
      <c r="AB74" s="10">
        <f>Table2[[#This Row],[Remain Votes]]/Table2[[#This Row],[Residents Age &gt;=20]]</f>
        <v>0.3719240506329114</v>
      </c>
      <c r="AC74" s="10">
        <f>Table2[[#This Row],[Leave Votes]]/Table2[[#This Row],[Residents Age &gt;=20]]</f>
        <v>0.27179746835443036</v>
      </c>
    </row>
    <row r="75" spans="1:29" x14ac:dyDescent="0.45">
      <c r="A75" t="s">
        <v>830</v>
      </c>
      <c r="B75" t="s">
        <v>349</v>
      </c>
      <c r="C75" t="s">
        <v>350</v>
      </c>
      <c r="D75" s="1">
        <v>173074</v>
      </c>
      <c r="E75" s="1">
        <v>10647</v>
      </c>
      <c r="F75" s="1">
        <v>9403</v>
      </c>
      <c r="G75" s="1">
        <v>9606</v>
      </c>
      <c r="H75" s="1">
        <v>11711</v>
      </c>
      <c r="I75" s="1">
        <v>13886</v>
      </c>
      <c r="J75" s="1">
        <v>11947</v>
      </c>
      <c r="K75" s="1">
        <v>11366</v>
      </c>
      <c r="L75" s="1">
        <v>11633</v>
      </c>
      <c r="M75" s="1">
        <v>12621</v>
      </c>
      <c r="N75" s="1">
        <v>12217</v>
      </c>
      <c r="O75" s="1">
        <v>10488</v>
      </c>
      <c r="P75" s="1">
        <v>9399</v>
      </c>
      <c r="Q75" s="1">
        <v>10842</v>
      </c>
      <c r="R75" s="1">
        <v>8200</v>
      </c>
      <c r="S75" s="1">
        <v>6243</v>
      </c>
      <c r="T75" s="1">
        <v>5216</v>
      </c>
      <c r="U75" s="1">
        <v>3931</v>
      </c>
      <c r="V75" s="1">
        <v>2398</v>
      </c>
      <c r="W75" s="1">
        <v>1320</v>
      </c>
      <c r="X75" s="9">
        <f>SUM(Table2[[#This Row],[Age 20 to 24]:[Age 90 and Over]])</f>
        <v>131707</v>
      </c>
      <c r="Y75" s="9">
        <f>_xlfn.XLOOKUP(Table2[[#This Row],[Area]],Referendum!E:E,Referendum!L:L,"")</f>
        <v>44414</v>
      </c>
      <c r="Z75" s="9">
        <f>_xlfn.XLOOKUP(Table2[[#This Row],[Area]],Referendum!E:E,Referendum!M:M,"")</f>
        <v>51305</v>
      </c>
      <c r="AA75" s="10">
        <f>(Table2[[#This Row],[Leave Votes]]+Table2[[#This Row],[Remain Votes]])/Table2[[#This Row],[Residents Age &gt;=20]]</f>
        <v>0.72675711997084436</v>
      </c>
      <c r="AB75" s="10">
        <f>Table2[[#This Row],[Remain Votes]]/Table2[[#This Row],[Residents Age &gt;=20]]</f>
        <v>0.33721821922904627</v>
      </c>
      <c r="AC75" s="10">
        <f>Table2[[#This Row],[Leave Votes]]/Table2[[#This Row],[Residents Age &gt;=20]]</f>
        <v>0.38953890074179809</v>
      </c>
    </row>
    <row r="76" spans="1:29" x14ac:dyDescent="0.45">
      <c r="A76" t="s">
        <v>830</v>
      </c>
      <c r="B76" t="s">
        <v>767</v>
      </c>
      <c r="C76" t="s">
        <v>768</v>
      </c>
      <c r="D76" s="1">
        <v>115228</v>
      </c>
      <c r="E76" s="1">
        <v>5839</v>
      </c>
      <c r="F76" s="1">
        <v>5506</v>
      </c>
      <c r="G76" s="1">
        <v>6418</v>
      </c>
      <c r="H76" s="1">
        <v>6602</v>
      </c>
      <c r="I76" s="1">
        <v>5798</v>
      </c>
      <c r="J76" s="1">
        <v>5404</v>
      </c>
      <c r="K76" s="1">
        <v>5350</v>
      </c>
      <c r="L76" s="1">
        <v>6036</v>
      </c>
      <c r="M76" s="1">
        <v>7693</v>
      </c>
      <c r="N76" s="1">
        <v>8304</v>
      </c>
      <c r="O76" s="1">
        <v>7939</v>
      </c>
      <c r="P76" s="1">
        <v>7333</v>
      </c>
      <c r="Q76" s="1">
        <v>8844</v>
      </c>
      <c r="R76" s="1">
        <v>7604</v>
      </c>
      <c r="S76" s="1">
        <v>6362</v>
      </c>
      <c r="T76" s="1">
        <v>5558</v>
      </c>
      <c r="U76" s="1">
        <v>4363</v>
      </c>
      <c r="V76" s="1">
        <v>2729</v>
      </c>
      <c r="W76" s="1">
        <v>1546</v>
      </c>
      <c r="X76" s="9">
        <f>SUM(Table2[[#This Row],[Age 20 to 24]:[Age 90 and Over]])</f>
        <v>90863</v>
      </c>
      <c r="Y76" s="9">
        <f>_xlfn.XLOOKUP(Table2[[#This Row],[Area]],Referendum!E:E,Referendum!L:L,"")</f>
        <v>30147</v>
      </c>
      <c r="Z76" s="9">
        <f>_xlfn.XLOOKUP(Table2[[#This Row],[Area]],Referendum!E:E,Referendum!M:M,"")</f>
        <v>35357</v>
      </c>
      <c r="AA76" s="10">
        <f>(Table2[[#This Row],[Leave Votes]]+Table2[[#This Row],[Remain Votes]])/Table2[[#This Row],[Residents Age &gt;=20]]</f>
        <v>0.72090950111706631</v>
      </c>
      <c r="AB76" s="10">
        <f>Table2[[#This Row],[Remain Votes]]/Table2[[#This Row],[Residents Age &gt;=20]]</f>
        <v>0.33178521510405778</v>
      </c>
      <c r="AC76" s="10">
        <f>Table2[[#This Row],[Leave Votes]]/Table2[[#This Row],[Residents Age &gt;=20]]</f>
        <v>0.38912428601300858</v>
      </c>
    </row>
    <row r="77" spans="1:29" x14ac:dyDescent="0.45">
      <c r="A77" t="s">
        <v>830</v>
      </c>
      <c r="B77" t="s">
        <v>97</v>
      </c>
      <c r="C77" t="s">
        <v>98</v>
      </c>
      <c r="D77" s="1">
        <v>70603</v>
      </c>
      <c r="E77" s="1">
        <v>3695</v>
      </c>
      <c r="F77" s="1">
        <v>3567</v>
      </c>
      <c r="G77" s="1">
        <v>3870</v>
      </c>
      <c r="H77" s="1">
        <v>4202</v>
      </c>
      <c r="I77" s="1">
        <v>3826</v>
      </c>
      <c r="J77" s="1">
        <v>3978</v>
      </c>
      <c r="K77" s="1">
        <v>3709</v>
      </c>
      <c r="L77" s="1">
        <v>4183</v>
      </c>
      <c r="M77" s="1">
        <v>5215</v>
      </c>
      <c r="N77" s="1">
        <v>5775</v>
      </c>
      <c r="O77" s="1">
        <v>5342</v>
      </c>
      <c r="P77" s="1">
        <v>4660</v>
      </c>
      <c r="Q77" s="1">
        <v>5227</v>
      </c>
      <c r="R77" s="1">
        <v>4018</v>
      </c>
      <c r="S77" s="1">
        <v>3425</v>
      </c>
      <c r="T77" s="1">
        <v>2625</v>
      </c>
      <c r="U77" s="1">
        <v>1789</v>
      </c>
      <c r="V77" s="1">
        <v>1019</v>
      </c>
      <c r="W77">
        <v>478</v>
      </c>
      <c r="X77" s="9">
        <f>SUM(Table2[[#This Row],[Age 20 to 24]:[Age 90 and Over]])</f>
        <v>55269</v>
      </c>
      <c r="Y77" s="9">
        <f>_xlfn.XLOOKUP(Table2[[#This Row],[Area]],Referendum!E:E,Referendum!L:L,"")</f>
        <v>14419</v>
      </c>
      <c r="Z77" s="9">
        <f>_xlfn.XLOOKUP(Table2[[#This Row],[Area]],Referendum!E:E,Referendum!M:M,"")</f>
        <v>23528</v>
      </c>
      <c r="AA77" s="10">
        <f>(Table2[[#This Row],[Leave Votes]]+Table2[[#This Row],[Remain Votes]])/Table2[[#This Row],[Residents Age &gt;=20]]</f>
        <v>0.6865874179015361</v>
      </c>
      <c r="AB77" s="10">
        <f>Table2[[#This Row],[Remain Votes]]/Table2[[#This Row],[Residents Age &gt;=20]]</f>
        <v>0.26088765854276358</v>
      </c>
      <c r="AC77" s="10">
        <f>Table2[[#This Row],[Leave Votes]]/Table2[[#This Row],[Residents Age &gt;=20]]</f>
        <v>0.42569975935877252</v>
      </c>
    </row>
    <row r="78" spans="1:29" x14ac:dyDescent="0.45">
      <c r="A78" t="s">
        <v>830</v>
      </c>
      <c r="B78" t="s">
        <v>225</v>
      </c>
      <c r="C78" t="s">
        <v>226</v>
      </c>
      <c r="D78" s="1">
        <v>61255</v>
      </c>
      <c r="E78" s="1">
        <v>4519</v>
      </c>
      <c r="F78" s="1">
        <v>3610</v>
      </c>
      <c r="G78" s="1">
        <v>3748</v>
      </c>
      <c r="H78" s="1">
        <v>3806</v>
      </c>
      <c r="I78" s="1">
        <v>3924</v>
      </c>
      <c r="J78" s="1">
        <v>4786</v>
      </c>
      <c r="K78" s="1">
        <v>4231</v>
      </c>
      <c r="L78" s="1">
        <v>4075</v>
      </c>
      <c r="M78" s="1">
        <v>4597</v>
      </c>
      <c r="N78" s="1">
        <v>4839</v>
      </c>
      <c r="O78" s="1">
        <v>4079</v>
      </c>
      <c r="P78" s="1">
        <v>3528</v>
      </c>
      <c r="Q78" s="1">
        <v>3201</v>
      </c>
      <c r="R78" s="1">
        <v>2619</v>
      </c>
      <c r="S78" s="1">
        <v>2105</v>
      </c>
      <c r="T78" s="1">
        <v>1622</v>
      </c>
      <c r="U78" s="1">
        <v>1110</v>
      </c>
      <c r="V78">
        <v>634</v>
      </c>
      <c r="W78">
        <v>222</v>
      </c>
      <c r="X78" s="9">
        <f>SUM(Table2[[#This Row],[Age 20 to 24]:[Age 90 and Over]])</f>
        <v>45572</v>
      </c>
      <c r="Y78" s="9">
        <f>_xlfn.XLOOKUP(Table2[[#This Row],[Area]],Referendum!E:E,Referendum!L:L,"")</f>
        <v>11470</v>
      </c>
      <c r="Z78" s="9">
        <f>_xlfn.XLOOKUP(Table2[[#This Row],[Area]],Referendum!E:E,Referendum!M:M,"")</f>
        <v>20611</v>
      </c>
      <c r="AA78" s="10">
        <f>(Table2[[#This Row],[Leave Votes]]+Table2[[#This Row],[Remain Votes]])/Table2[[#This Row],[Residents Age &gt;=20]]</f>
        <v>0.70396295971210388</v>
      </c>
      <c r="AB78" s="10">
        <f>Table2[[#This Row],[Remain Votes]]/Table2[[#This Row],[Residents Age &gt;=20]]</f>
        <v>0.25168963398578076</v>
      </c>
      <c r="AC78" s="10">
        <f>Table2[[#This Row],[Leave Votes]]/Table2[[#This Row],[Residents Age &gt;=20]]</f>
        <v>0.45227332572632317</v>
      </c>
    </row>
    <row r="79" spans="1:29" x14ac:dyDescent="0.45">
      <c r="A79" t="s">
        <v>830</v>
      </c>
      <c r="B79" t="s">
        <v>625</v>
      </c>
      <c r="C79" t="s">
        <v>626</v>
      </c>
      <c r="D79" s="1">
        <v>532273</v>
      </c>
      <c r="E79" s="1">
        <v>27366</v>
      </c>
      <c r="F79" s="1">
        <v>26073</v>
      </c>
      <c r="G79" s="1">
        <v>29972</v>
      </c>
      <c r="H79" s="1">
        <v>31800</v>
      </c>
      <c r="I79" s="1">
        <v>28357</v>
      </c>
      <c r="J79" s="1">
        <v>26373</v>
      </c>
      <c r="K79" s="1">
        <v>26702</v>
      </c>
      <c r="L79" s="1">
        <v>30276</v>
      </c>
      <c r="M79" s="1">
        <v>36620</v>
      </c>
      <c r="N79" s="1">
        <v>38486</v>
      </c>
      <c r="O79" s="1">
        <v>36853</v>
      </c>
      <c r="P79" s="1">
        <v>35543</v>
      </c>
      <c r="Q79" s="1">
        <v>42611</v>
      </c>
      <c r="R79" s="1">
        <v>35224</v>
      </c>
      <c r="S79" s="1">
        <v>26543</v>
      </c>
      <c r="T79" s="1">
        <v>21397</v>
      </c>
      <c r="U79" s="1">
        <v>16349</v>
      </c>
      <c r="V79" s="1">
        <v>10218</v>
      </c>
      <c r="W79" s="1">
        <v>5510</v>
      </c>
      <c r="X79" s="9">
        <f>SUM(Table2[[#This Row],[Age 20 to 24]:[Age 90 and Over]])</f>
        <v>417062</v>
      </c>
      <c r="Y79" s="9">
        <f>_xlfn.XLOOKUP(Table2[[#This Row],[Area]],Referendum!E:E,Referendum!L:L,"")</f>
        <v>140540</v>
      </c>
      <c r="Z79" s="9">
        <f>_xlfn.XLOOKUP(Table2[[#This Row],[Area]],Referendum!E:E,Referendum!M:M,"")</f>
        <v>182665</v>
      </c>
      <c r="AA79" s="10">
        <f>(Table2[[#This Row],[Leave Votes]]+Table2[[#This Row],[Remain Votes]])/Table2[[#This Row],[Residents Age &gt;=20]]</f>
        <v>0.77495672106305535</v>
      </c>
      <c r="AB79" s="10">
        <f>Table2[[#This Row],[Remain Votes]]/Table2[[#This Row],[Residents Age &gt;=20]]</f>
        <v>0.33697627690846926</v>
      </c>
      <c r="AC79" s="10">
        <f>Table2[[#This Row],[Leave Votes]]/Table2[[#This Row],[Residents Age &gt;=20]]</f>
        <v>0.43798044415458615</v>
      </c>
    </row>
    <row r="80" spans="1:29" x14ac:dyDescent="0.45">
      <c r="A80" t="s">
        <v>830</v>
      </c>
      <c r="B80" t="s">
        <v>671</v>
      </c>
      <c r="C80" t="s">
        <v>672</v>
      </c>
      <c r="D80" s="1">
        <v>82881</v>
      </c>
      <c r="E80" s="1">
        <v>3929</v>
      </c>
      <c r="F80" s="1">
        <v>4126</v>
      </c>
      <c r="G80" s="1">
        <v>4746</v>
      </c>
      <c r="H80" s="1">
        <v>4801</v>
      </c>
      <c r="I80" s="1">
        <v>3837</v>
      </c>
      <c r="J80" s="1">
        <v>3416</v>
      </c>
      <c r="K80" s="1">
        <v>3502</v>
      </c>
      <c r="L80" s="1">
        <v>4926</v>
      </c>
      <c r="M80" s="1">
        <v>6201</v>
      </c>
      <c r="N80" s="1">
        <v>6564</v>
      </c>
      <c r="O80" s="1">
        <v>6182</v>
      </c>
      <c r="P80" s="1">
        <v>5783</v>
      </c>
      <c r="Q80" s="1">
        <v>6379</v>
      </c>
      <c r="R80" s="1">
        <v>5280</v>
      </c>
      <c r="S80" s="1">
        <v>4146</v>
      </c>
      <c r="T80" s="1">
        <v>3492</v>
      </c>
      <c r="U80" s="1">
        <v>2789</v>
      </c>
      <c r="V80" s="1">
        <v>1816</v>
      </c>
      <c r="W80">
        <v>966</v>
      </c>
      <c r="X80" s="9">
        <f>SUM(Table2[[#This Row],[Age 20 to 24]:[Age 90 and Over]])</f>
        <v>65279</v>
      </c>
      <c r="Y80" s="9">
        <f>_xlfn.XLOOKUP(Table2[[#This Row],[Area]],Referendum!E:E,Referendum!L:L,"")</f>
        <v>28015</v>
      </c>
      <c r="Z80" s="9">
        <f>_xlfn.XLOOKUP(Table2[[#This Row],[Area]],Referendum!E:E,Referendum!M:M,"")</f>
        <v>26806</v>
      </c>
      <c r="AA80" s="10">
        <f>(Table2[[#This Row],[Leave Votes]]+Table2[[#This Row],[Remain Votes]])/Table2[[#This Row],[Residents Age &gt;=20]]</f>
        <v>0.83979534000214462</v>
      </c>
      <c r="AB80" s="10">
        <f>Table2[[#This Row],[Remain Votes]]/Table2[[#This Row],[Residents Age &gt;=20]]</f>
        <v>0.42915792214954274</v>
      </c>
      <c r="AC80" s="10">
        <f>Table2[[#This Row],[Leave Votes]]/Table2[[#This Row],[Residents Age &gt;=20]]</f>
        <v>0.41063741785260188</v>
      </c>
    </row>
    <row r="81" spans="1:29" x14ac:dyDescent="0.45">
      <c r="A81" t="s">
        <v>830</v>
      </c>
      <c r="B81" t="s">
        <v>43</v>
      </c>
      <c r="C81" t="s">
        <v>44</v>
      </c>
      <c r="D81" s="1">
        <v>513242</v>
      </c>
      <c r="E81" s="1">
        <v>28574</v>
      </c>
      <c r="F81" s="1">
        <v>25659</v>
      </c>
      <c r="G81" s="1">
        <v>27869</v>
      </c>
      <c r="H81" s="1">
        <v>33267</v>
      </c>
      <c r="I81" s="1">
        <v>35155</v>
      </c>
      <c r="J81" s="1">
        <v>30628</v>
      </c>
      <c r="K81" s="1">
        <v>28133</v>
      </c>
      <c r="L81" s="1">
        <v>30498</v>
      </c>
      <c r="M81" s="1">
        <v>37519</v>
      </c>
      <c r="N81" s="1">
        <v>39537</v>
      </c>
      <c r="O81" s="1">
        <v>35713</v>
      </c>
      <c r="P81" s="1">
        <v>32950</v>
      </c>
      <c r="Q81" s="1">
        <v>35395</v>
      </c>
      <c r="R81" s="1">
        <v>27874</v>
      </c>
      <c r="S81" s="1">
        <v>23009</v>
      </c>
      <c r="T81" s="1">
        <v>17850</v>
      </c>
      <c r="U81" s="1">
        <v>12785</v>
      </c>
      <c r="V81" s="1">
        <v>7321</v>
      </c>
      <c r="W81" s="1">
        <v>3506</v>
      </c>
      <c r="X81" s="9">
        <f>SUM(Table2[[#This Row],[Age 20 to 24]:[Age 90 and Over]])</f>
        <v>397873</v>
      </c>
      <c r="Y81" s="9">
        <f>_xlfn.XLOOKUP(Table2[[#This Row],[Area]],Referendum!E:E,Referendum!L:L,"")</f>
        <v>113521</v>
      </c>
      <c r="Z81" s="9">
        <f>_xlfn.XLOOKUP(Table2[[#This Row],[Area]],Referendum!E:E,Referendum!M:M,"")</f>
        <v>153877</v>
      </c>
      <c r="AA81" s="10">
        <f>(Table2[[#This Row],[Leave Votes]]+Table2[[#This Row],[Remain Votes]])/Table2[[#This Row],[Residents Age &gt;=20]]</f>
        <v>0.67206872544756746</v>
      </c>
      <c r="AB81" s="10">
        <f>Table2[[#This Row],[Remain Votes]]/Table2[[#This Row],[Residents Age &gt;=20]]</f>
        <v>0.28531968743795133</v>
      </c>
      <c r="AC81" s="10">
        <f>Table2[[#This Row],[Leave Votes]]/Table2[[#This Row],[Residents Age &gt;=20]]</f>
        <v>0.38674903800961613</v>
      </c>
    </row>
    <row r="82" spans="1:29" x14ac:dyDescent="0.45">
      <c r="A82" t="s">
        <v>830</v>
      </c>
      <c r="B82" t="s">
        <v>257</v>
      </c>
      <c r="C82" t="s">
        <v>258</v>
      </c>
      <c r="D82" s="1">
        <v>316960</v>
      </c>
      <c r="E82" s="1">
        <v>22476</v>
      </c>
      <c r="F82" s="1">
        <v>18402</v>
      </c>
      <c r="G82" s="1">
        <v>17831</v>
      </c>
      <c r="H82" s="1">
        <v>24242</v>
      </c>
      <c r="I82" s="1">
        <v>30610</v>
      </c>
      <c r="J82" s="1">
        <v>24848</v>
      </c>
      <c r="K82" s="1">
        <v>21542</v>
      </c>
      <c r="L82" s="1">
        <v>20655</v>
      </c>
      <c r="M82" s="1">
        <v>21377</v>
      </c>
      <c r="N82" s="1">
        <v>20186</v>
      </c>
      <c r="O82" s="1">
        <v>17807</v>
      </c>
      <c r="P82" s="1">
        <v>15378</v>
      </c>
      <c r="Q82" s="1">
        <v>15356</v>
      </c>
      <c r="R82" s="1">
        <v>13208</v>
      </c>
      <c r="S82" s="1">
        <v>10807</v>
      </c>
      <c r="T82" s="1">
        <v>8750</v>
      </c>
      <c r="U82" s="1">
        <v>6793</v>
      </c>
      <c r="V82" s="1">
        <v>4404</v>
      </c>
      <c r="W82" s="1">
        <v>2288</v>
      </c>
      <c r="X82" s="9">
        <f>SUM(Table2[[#This Row],[Age 20 to 24]:[Age 90 and Over]])</f>
        <v>234009</v>
      </c>
      <c r="Y82" s="9">
        <f>_xlfn.XLOOKUP(Table2[[#This Row],[Area]],Referendum!E:E,Referendum!L:L,"")</f>
        <v>67967</v>
      </c>
      <c r="Z82" s="9">
        <f>_xlfn.XLOOKUP(Table2[[#This Row],[Area]],Referendum!E:E,Referendum!M:M,"")</f>
        <v>85097</v>
      </c>
      <c r="AA82" s="10">
        <f>(Table2[[#This Row],[Leave Votes]]+Table2[[#This Row],[Remain Votes]])/Table2[[#This Row],[Residents Age &gt;=20]]</f>
        <v>0.65409450063886432</v>
      </c>
      <c r="AB82" s="10">
        <f>Table2[[#This Row],[Remain Votes]]/Table2[[#This Row],[Residents Age &gt;=20]]</f>
        <v>0.29044609395365134</v>
      </c>
      <c r="AC82" s="10">
        <f>Table2[[#This Row],[Leave Votes]]/Table2[[#This Row],[Residents Age &gt;=20]]</f>
        <v>0.36364840668521298</v>
      </c>
    </row>
    <row r="83" spans="1:29" x14ac:dyDescent="0.45">
      <c r="A83" t="s">
        <v>830</v>
      </c>
      <c r="B83" t="s">
        <v>157</v>
      </c>
      <c r="C83" t="s">
        <v>158</v>
      </c>
      <c r="D83" s="1">
        <v>55409</v>
      </c>
      <c r="E83" s="1">
        <v>2528</v>
      </c>
      <c r="F83" s="1">
        <v>2692</v>
      </c>
      <c r="G83" s="1">
        <v>3317</v>
      </c>
      <c r="H83" s="1">
        <v>3230</v>
      </c>
      <c r="I83" s="1">
        <v>2403</v>
      </c>
      <c r="J83" s="1">
        <v>2292</v>
      </c>
      <c r="K83" s="1">
        <v>2298</v>
      </c>
      <c r="L83" s="1">
        <v>3041</v>
      </c>
      <c r="M83" s="1">
        <v>4045</v>
      </c>
      <c r="N83" s="1">
        <v>4354</v>
      </c>
      <c r="O83" s="1">
        <v>4174</v>
      </c>
      <c r="P83" s="1">
        <v>3979</v>
      </c>
      <c r="Q83" s="1">
        <v>4446</v>
      </c>
      <c r="R83" s="1">
        <v>3687</v>
      </c>
      <c r="S83" s="1">
        <v>2818</v>
      </c>
      <c r="T83" s="1">
        <v>2375</v>
      </c>
      <c r="U83" s="1">
        <v>1841</v>
      </c>
      <c r="V83" s="1">
        <v>1242</v>
      </c>
      <c r="W83">
        <v>647</v>
      </c>
      <c r="X83" s="9">
        <f>SUM(Table2[[#This Row],[Age 20 to 24]:[Age 90 and Over]])</f>
        <v>43642</v>
      </c>
      <c r="Y83" s="9">
        <f>_xlfn.XLOOKUP(Table2[[#This Row],[Area]],Referendum!E:E,Referendum!L:L,"")</f>
        <v>16930</v>
      </c>
      <c r="Z83" s="9">
        <f>_xlfn.XLOOKUP(Table2[[#This Row],[Area]],Referendum!E:E,Referendum!M:M,"")</f>
        <v>18961</v>
      </c>
      <c r="AA83" s="10">
        <f>(Table2[[#This Row],[Leave Votes]]+Table2[[#This Row],[Remain Votes]])/Table2[[#This Row],[Residents Age &gt;=20]]</f>
        <v>0.8223958572017781</v>
      </c>
      <c r="AB83" s="10">
        <f>Table2[[#This Row],[Remain Votes]]/Table2[[#This Row],[Residents Age &gt;=20]]</f>
        <v>0.38792905916319143</v>
      </c>
      <c r="AC83" s="10">
        <f>Table2[[#This Row],[Leave Votes]]/Table2[[#This Row],[Residents Age &gt;=20]]</f>
        <v>0.43446679803858668</v>
      </c>
    </row>
    <row r="84" spans="1:29" x14ac:dyDescent="0.45">
      <c r="A84" t="s">
        <v>830</v>
      </c>
      <c r="B84" t="s">
        <v>607</v>
      </c>
      <c r="C84" t="s">
        <v>608</v>
      </c>
      <c r="D84" s="1">
        <v>106597</v>
      </c>
      <c r="E84" s="1">
        <v>8071</v>
      </c>
      <c r="F84" s="1">
        <v>6486</v>
      </c>
      <c r="G84" s="1">
        <v>6244</v>
      </c>
      <c r="H84" s="1">
        <v>6219</v>
      </c>
      <c r="I84" s="1">
        <v>6816</v>
      </c>
      <c r="J84" s="1">
        <v>9044</v>
      </c>
      <c r="K84" s="1">
        <v>9150</v>
      </c>
      <c r="L84" s="1">
        <v>8120</v>
      </c>
      <c r="M84" s="1">
        <v>8102</v>
      </c>
      <c r="N84" s="1">
        <v>7557</v>
      </c>
      <c r="O84" s="1">
        <v>6689</v>
      </c>
      <c r="P84" s="1">
        <v>5469</v>
      </c>
      <c r="Q84" s="1">
        <v>5162</v>
      </c>
      <c r="R84" s="1">
        <v>3407</v>
      </c>
      <c r="S84" s="1">
        <v>2860</v>
      </c>
      <c r="T84" s="1">
        <v>2703</v>
      </c>
      <c r="U84" s="1">
        <v>2451</v>
      </c>
      <c r="V84" s="1">
        <v>1421</v>
      </c>
      <c r="W84">
        <v>626</v>
      </c>
      <c r="X84" s="9">
        <f>SUM(Table2[[#This Row],[Age 20 to 24]:[Age 90 and Over]])</f>
        <v>79577</v>
      </c>
      <c r="Y84" s="9">
        <f>_xlfn.XLOOKUP(Table2[[#This Row],[Area]],Referendum!E:E,Referendum!L:L,"")</f>
        <v>22388</v>
      </c>
      <c r="Z84" s="9">
        <f>_xlfn.XLOOKUP(Table2[[#This Row],[Area]],Referendum!E:E,Referendum!M:M,"")</f>
        <v>31447</v>
      </c>
      <c r="AA84" s="10">
        <f>(Table2[[#This Row],[Leave Votes]]+Table2[[#This Row],[Remain Votes]])/Table2[[#This Row],[Residents Age &gt;=20]]</f>
        <v>0.67651457079306831</v>
      </c>
      <c r="AB84" s="10">
        <f>Table2[[#This Row],[Remain Votes]]/Table2[[#This Row],[Residents Age &gt;=20]]</f>
        <v>0.28133757241413976</v>
      </c>
      <c r="AC84" s="10">
        <f>Table2[[#This Row],[Leave Votes]]/Table2[[#This Row],[Residents Age &gt;=20]]</f>
        <v>0.39517699837892861</v>
      </c>
    </row>
    <row r="85" spans="1:29" x14ac:dyDescent="0.45">
      <c r="A85" t="s">
        <v>830</v>
      </c>
      <c r="B85" t="s">
        <v>427</v>
      </c>
      <c r="C85" t="s">
        <v>428</v>
      </c>
      <c r="D85" s="1">
        <v>363378</v>
      </c>
      <c r="E85" s="1">
        <v>27972</v>
      </c>
      <c r="F85" s="1">
        <v>23096</v>
      </c>
      <c r="G85" s="1">
        <v>23130</v>
      </c>
      <c r="H85" s="1">
        <v>23566</v>
      </c>
      <c r="I85" s="1">
        <v>23591</v>
      </c>
      <c r="J85" s="1">
        <v>27692</v>
      </c>
      <c r="K85" s="1">
        <v>28642</v>
      </c>
      <c r="L85" s="1">
        <v>26693</v>
      </c>
      <c r="M85" s="1">
        <v>27104</v>
      </c>
      <c r="N85" s="1">
        <v>28528</v>
      </c>
      <c r="O85" s="1">
        <v>23071</v>
      </c>
      <c r="P85" s="1">
        <v>18889</v>
      </c>
      <c r="Q85" s="1">
        <v>17029</v>
      </c>
      <c r="R85" s="1">
        <v>12587</v>
      </c>
      <c r="S85" s="1">
        <v>10568</v>
      </c>
      <c r="T85" s="1">
        <v>8920</v>
      </c>
      <c r="U85" s="1">
        <v>6398</v>
      </c>
      <c r="V85" s="1">
        <v>3881</v>
      </c>
      <c r="W85" s="1">
        <v>2021</v>
      </c>
      <c r="X85" s="9">
        <f>SUM(Table2[[#This Row],[Age 20 to 24]:[Age 90 and Over]])</f>
        <v>265614</v>
      </c>
      <c r="Y85" s="9">
        <f>_xlfn.XLOOKUP(Table2[[#This Row],[Area]],Referendum!E:E,Referendum!L:L,"")</f>
        <v>92913</v>
      </c>
      <c r="Z85" s="9">
        <f>_xlfn.XLOOKUP(Table2[[#This Row],[Area]],Referendum!E:E,Referendum!M:M,"")</f>
        <v>78221</v>
      </c>
      <c r="AA85" s="10">
        <f>(Table2[[#This Row],[Leave Votes]]+Table2[[#This Row],[Remain Votes]])/Table2[[#This Row],[Residents Age &gt;=20]]</f>
        <v>0.64429585789905652</v>
      </c>
      <c r="AB85" s="10">
        <f>Table2[[#This Row],[Remain Votes]]/Table2[[#This Row],[Residents Age &gt;=20]]</f>
        <v>0.34980460367299915</v>
      </c>
      <c r="AC85" s="10">
        <f>Table2[[#This Row],[Leave Votes]]/Table2[[#This Row],[Residents Age &gt;=20]]</f>
        <v>0.29449125422605738</v>
      </c>
    </row>
    <row r="86" spans="1:29" x14ac:dyDescent="0.45">
      <c r="A86" t="s">
        <v>830</v>
      </c>
      <c r="B86" t="s">
        <v>365</v>
      </c>
      <c r="C86" t="s">
        <v>366</v>
      </c>
      <c r="D86" s="1">
        <v>144847</v>
      </c>
      <c r="E86" s="1">
        <v>9718</v>
      </c>
      <c r="F86" s="1">
        <v>8408</v>
      </c>
      <c r="G86" s="1">
        <v>8862</v>
      </c>
      <c r="H86" s="1">
        <v>8715</v>
      </c>
      <c r="I86" s="1">
        <v>7919</v>
      </c>
      <c r="J86" s="1">
        <v>8671</v>
      </c>
      <c r="K86" s="1">
        <v>9425</v>
      </c>
      <c r="L86" s="1">
        <v>10437</v>
      </c>
      <c r="M86" s="1">
        <v>11079</v>
      </c>
      <c r="N86" s="1">
        <v>11403</v>
      </c>
      <c r="O86" s="1">
        <v>10211</v>
      </c>
      <c r="P86" s="1">
        <v>8742</v>
      </c>
      <c r="Q86" s="1">
        <v>8374</v>
      </c>
      <c r="R86" s="1">
        <v>6274</v>
      </c>
      <c r="S86" s="1">
        <v>5036</v>
      </c>
      <c r="T86" s="1">
        <v>4618</v>
      </c>
      <c r="U86" s="1">
        <v>3580</v>
      </c>
      <c r="V86" s="1">
        <v>2267</v>
      </c>
      <c r="W86" s="1">
        <v>1108</v>
      </c>
      <c r="X86" s="9">
        <f>SUM(Table2[[#This Row],[Age 20 to 24]:[Age 90 and Over]])</f>
        <v>109144</v>
      </c>
      <c r="Y86" s="9">
        <f>_xlfn.XLOOKUP(Table2[[#This Row],[Area]],Referendum!E:E,Referendum!L:L,"")</f>
        <v>42542</v>
      </c>
      <c r="Z86" s="9">
        <f>_xlfn.XLOOKUP(Table2[[#This Row],[Area]],Referendum!E:E,Referendum!M:M,"")</f>
        <v>43702</v>
      </c>
      <c r="AA86" s="10">
        <f>(Table2[[#This Row],[Leave Votes]]+Table2[[#This Row],[Remain Votes]])/Table2[[#This Row],[Residents Age &gt;=20]]</f>
        <v>0.79018544308436556</v>
      </c>
      <c r="AB86" s="10">
        <f>Table2[[#This Row],[Remain Votes]]/Table2[[#This Row],[Residents Age &gt;=20]]</f>
        <v>0.38977864106135013</v>
      </c>
      <c r="AC86" s="10">
        <f>Table2[[#This Row],[Leave Votes]]/Table2[[#This Row],[Residents Age &gt;=20]]</f>
        <v>0.40040680202301548</v>
      </c>
    </row>
    <row r="87" spans="1:29" x14ac:dyDescent="0.45">
      <c r="A87" t="s">
        <v>830</v>
      </c>
      <c r="B87" t="s">
        <v>41</v>
      </c>
      <c r="C87" t="s">
        <v>42</v>
      </c>
      <c r="D87" s="1">
        <v>105564</v>
      </c>
      <c r="E87" s="1">
        <v>6579</v>
      </c>
      <c r="F87" s="1">
        <v>6074</v>
      </c>
      <c r="G87" s="1">
        <v>6224</v>
      </c>
      <c r="H87" s="1">
        <v>6408</v>
      </c>
      <c r="I87" s="1">
        <v>6071</v>
      </c>
      <c r="J87" s="1">
        <v>6607</v>
      </c>
      <c r="K87" s="1">
        <v>6429</v>
      </c>
      <c r="L87" s="1">
        <v>6847</v>
      </c>
      <c r="M87" s="1">
        <v>7641</v>
      </c>
      <c r="N87" s="1">
        <v>7994</v>
      </c>
      <c r="O87" s="1">
        <v>7258</v>
      </c>
      <c r="P87" s="1">
        <v>6308</v>
      </c>
      <c r="Q87" s="1">
        <v>6685</v>
      </c>
      <c r="R87" s="1">
        <v>5205</v>
      </c>
      <c r="S87" s="1">
        <v>4512</v>
      </c>
      <c r="T87" s="1">
        <v>3526</v>
      </c>
      <c r="U87" s="1">
        <v>2646</v>
      </c>
      <c r="V87" s="1">
        <v>1740</v>
      </c>
      <c r="W87">
        <v>810</v>
      </c>
      <c r="X87" s="9">
        <f>SUM(Table2[[#This Row],[Age 20 to 24]:[Age 90 and Over]])</f>
        <v>80279</v>
      </c>
      <c r="Y87" s="9">
        <f>_xlfn.XLOOKUP(Table2[[#This Row],[Area]],Referendum!E:E,Referendum!L:L,"")</f>
        <v>24172</v>
      </c>
      <c r="Z87" s="9">
        <f>_xlfn.XLOOKUP(Table2[[#This Row],[Area]],Referendum!E:E,Referendum!M:M,"")</f>
        <v>30994</v>
      </c>
      <c r="AA87" s="10">
        <f>(Table2[[#This Row],[Leave Votes]]+Table2[[#This Row],[Remain Votes]])/Table2[[#This Row],[Residents Age &gt;=20]]</f>
        <v>0.68717846510295344</v>
      </c>
      <c r="AB87" s="10">
        <f>Table2[[#This Row],[Remain Votes]]/Table2[[#This Row],[Residents Age &gt;=20]]</f>
        <v>0.3010999140497515</v>
      </c>
      <c r="AC87" s="10">
        <f>Table2[[#This Row],[Leave Votes]]/Table2[[#This Row],[Residents Age &gt;=20]]</f>
        <v>0.38607855105320193</v>
      </c>
    </row>
    <row r="88" spans="1:29" x14ac:dyDescent="0.45">
      <c r="A88" t="s">
        <v>830</v>
      </c>
      <c r="B88" t="s">
        <v>549</v>
      </c>
      <c r="C88" t="s">
        <v>550</v>
      </c>
      <c r="D88" s="1">
        <v>97365</v>
      </c>
      <c r="E88" s="1">
        <v>6765</v>
      </c>
      <c r="F88" s="1">
        <v>5979</v>
      </c>
      <c r="G88" s="1">
        <v>5922</v>
      </c>
      <c r="H88" s="1">
        <v>6005</v>
      </c>
      <c r="I88" s="1">
        <v>6199</v>
      </c>
      <c r="J88" s="1">
        <v>7081</v>
      </c>
      <c r="K88" s="1">
        <v>7123</v>
      </c>
      <c r="L88" s="1">
        <v>7067</v>
      </c>
      <c r="M88" s="1">
        <v>7651</v>
      </c>
      <c r="N88" s="1">
        <v>7332</v>
      </c>
      <c r="O88" s="1">
        <v>6132</v>
      </c>
      <c r="P88" s="1">
        <v>5064</v>
      </c>
      <c r="Q88" s="1">
        <v>5093</v>
      </c>
      <c r="R88" s="1">
        <v>3890</v>
      </c>
      <c r="S88" s="1">
        <v>3208</v>
      </c>
      <c r="T88" s="1">
        <v>2843</v>
      </c>
      <c r="U88" s="1">
        <v>2134</v>
      </c>
      <c r="V88" s="1">
        <v>1240</v>
      </c>
      <c r="W88">
        <v>637</v>
      </c>
      <c r="X88" s="9">
        <f>SUM(Table2[[#This Row],[Age 20 to 24]:[Age 90 and Over]])</f>
        <v>72694</v>
      </c>
      <c r="Y88" s="9">
        <f>_xlfn.XLOOKUP(Table2[[#This Row],[Area]],Referendum!E:E,Referendum!L:L,"")</f>
        <v>19985</v>
      </c>
      <c r="Z88" s="9">
        <f>_xlfn.XLOOKUP(Table2[[#This Row],[Area]],Referendum!E:E,Referendum!M:M,"")</f>
        <v>35870</v>
      </c>
      <c r="AA88" s="10">
        <f>(Table2[[#This Row],[Leave Votes]]+Table2[[#This Row],[Remain Votes]])/Table2[[#This Row],[Residents Age &gt;=20]]</f>
        <v>0.7683577736814593</v>
      </c>
      <c r="AB88" s="10">
        <f>Table2[[#This Row],[Remain Votes]]/Table2[[#This Row],[Residents Age &gt;=20]]</f>
        <v>0.27491952568299999</v>
      </c>
      <c r="AC88" s="10">
        <f>Table2[[#This Row],[Leave Votes]]/Table2[[#This Row],[Residents Age &gt;=20]]</f>
        <v>0.49343824799845931</v>
      </c>
    </row>
    <row r="89" spans="1:29" x14ac:dyDescent="0.45">
      <c r="A89" t="s">
        <v>830</v>
      </c>
      <c r="B89" t="s">
        <v>227</v>
      </c>
      <c r="C89" t="s">
        <v>228</v>
      </c>
      <c r="D89" s="1">
        <v>77843</v>
      </c>
      <c r="E89" s="1">
        <v>4350</v>
      </c>
      <c r="F89" s="1">
        <v>4522</v>
      </c>
      <c r="G89" s="1">
        <v>4889</v>
      </c>
      <c r="H89" s="1">
        <v>4863</v>
      </c>
      <c r="I89" s="1">
        <v>3797</v>
      </c>
      <c r="J89" s="1">
        <v>3588</v>
      </c>
      <c r="K89" s="1">
        <v>3870</v>
      </c>
      <c r="L89" s="1">
        <v>5126</v>
      </c>
      <c r="M89" s="1">
        <v>6481</v>
      </c>
      <c r="N89" s="1">
        <v>6590</v>
      </c>
      <c r="O89" s="1">
        <v>5737</v>
      </c>
      <c r="P89" s="1">
        <v>5138</v>
      </c>
      <c r="Q89" s="1">
        <v>5715</v>
      </c>
      <c r="R89" s="1">
        <v>4394</v>
      </c>
      <c r="S89" s="1">
        <v>3131</v>
      </c>
      <c r="T89" s="1">
        <v>2338</v>
      </c>
      <c r="U89" s="1">
        <v>1724</v>
      </c>
      <c r="V89" s="1">
        <v>1042</v>
      </c>
      <c r="W89">
        <v>548</v>
      </c>
      <c r="X89" s="9">
        <f>SUM(Table2[[#This Row],[Age 20 to 24]:[Age 90 and Over]])</f>
        <v>59219</v>
      </c>
      <c r="Y89" s="9">
        <f>_xlfn.XLOOKUP(Table2[[#This Row],[Area]],Referendum!E:E,Referendum!L:L,"")</f>
        <v>20443</v>
      </c>
      <c r="Z89" s="9">
        <f>_xlfn.XLOOKUP(Table2[[#This Row],[Area]],Referendum!E:E,Referendum!M:M,"")</f>
        <v>28938</v>
      </c>
      <c r="AA89" s="10">
        <f>(Table2[[#This Row],[Leave Votes]]+Table2[[#This Row],[Remain Votes]])/Table2[[#This Row],[Residents Age &gt;=20]]</f>
        <v>0.83387088603319881</v>
      </c>
      <c r="AB89" s="10">
        <f>Table2[[#This Row],[Remain Votes]]/Table2[[#This Row],[Residents Age &gt;=20]]</f>
        <v>0.34521015214711492</v>
      </c>
      <c r="AC89" s="10">
        <f>Table2[[#This Row],[Leave Votes]]/Table2[[#This Row],[Residents Age &gt;=20]]</f>
        <v>0.48866073388608383</v>
      </c>
    </row>
    <row r="90" spans="1:29" x14ac:dyDescent="0.45">
      <c r="A90" t="s">
        <v>830</v>
      </c>
      <c r="B90" t="s">
        <v>769</v>
      </c>
      <c r="C90" t="s">
        <v>770</v>
      </c>
      <c r="D90" s="1">
        <v>93734</v>
      </c>
      <c r="E90" s="1">
        <v>5323</v>
      </c>
      <c r="F90" s="1">
        <v>4961</v>
      </c>
      <c r="G90" s="1">
        <v>5473</v>
      </c>
      <c r="H90" s="1">
        <v>6009</v>
      </c>
      <c r="I90" s="1">
        <v>5212</v>
      </c>
      <c r="J90" s="1">
        <v>4525</v>
      </c>
      <c r="K90" s="1">
        <v>4496</v>
      </c>
      <c r="L90" s="1">
        <v>5353</v>
      </c>
      <c r="M90" s="1">
        <v>6420</v>
      </c>
      <c r="N90" s="1">
        <v>6925</v>
      </c>
      <c r="O90" s="1">
        <v>6223</v>
      </c>
      <c r="P90" s="1">
        <v>5965</v>
      </c>
      <c r="Q90" s="1">
        <v>7159</v>
      </c>
      <c r="R90" s="1">
        <v>5791</v>
      </c>
      <c r="S90" s="1">
        <v>4794</v>
      </c>
      <c r="T90" s="1">
        <v>3709</v>
      </c>
      <c r="U90" s="1">
        <v>2813</v>
      </c>
      <c r="V90" s="1">
        <v>1656</v>
      </c>
      <c r="W90">
        <v>927</v>
      </c>
      <c r="X90" s="9">
        <f>SUM(Table2[[#This Row],[Age 20 to 24]:[Age 90 and Over]])</f>
        <v>71968</v>
      </c>
      <c r="Y90" s="9">
        <f>_xlfn.XLOOKUP(Table2[[#This Row],[Area]],Referendum!E:E,Referendum!L:L,"")</f>
        <v>23955</v>
      </c>
      <c r="Z90" s="9">
        <f>_xlfn.XLOOKUP(Table2[[#This Row],[Area]],Referendum!E:E,Referendum!M:M,"")</f>
        <v>28117</v>
      </c>
      <c r="AA90" s="10">
        <f>(Table2[[#This Row],[Leave Votes]]+Table2[[#This Row],[Remain Votes]])/Table2[[#This Row],[Residents Age &gt;=20]]</f>
        <v>0.72354379724321916</v>
      </c>
      <c r="AB90" s="10">
        <f>Table2[[#This Row],[Remain Votes]]/Table2[[#This Row],[Residents Age &gt;=20]]</f>
        <v>0.33285626945309027</v>
      </c>
      <c r="AC90" s="10">
        <f>Table2[[#This Row],[Leave Votes]]/Table2[[#This Row],[Residents Age &gt;=20]]</f>
        <v>0.39068752779012894</v>
      </c>
    </row>
    <row r="91" spans="1:29" x14ac:dyDescent="0.45">
      <c r="A91" t="s">
        <v>830</v>
      </c>
      <c r="B91" t="s">
        <v>173</v>
      </c>
      <c r="C91" t="s">
        <v>174</v>
      </c>
      <c r="D91" s="1">
        <v>248752</v>
      </c>
      <c r="E91" s="1">
        <v>17743</v>
      </c>
      <c r="F91" s="1">
        <v>14983</v>
      </c>
      <c r="G91" s="1">
        <v>14857</v>
      </c>
      <c r="H91" s="1">
        <v>16728</v>
      </c>
      <c r="I91" s="1">
        <v>20069</v>
      </c>
      <c r="J91" s="1">
        <v>18211</v>
      </c>
      <c r="K91" s="1">
        <v>16563</v>
      </c>
      <c r="L91" s="1">
        <v>16723</v>
      </c>
      <c r="M91" s="1">
        <v>18012</v>
      </c>
      <c r="N91" s="1">
        <v>17620</v>
      </c>
      <c r="O91" s="1">
        <v>14612</v>
      </c>
      <c r="P91" s="1">
        <v>12376</v>
      </c>
      <c r="Q91" s="1">
        <v>12586</v>
      </c>
      <c r="R91" s="1">
        <v>10169</v>
      </c>
      <c r="S91" s="1">
        <v>8715</v>
      </c>
      <c r="T91" s="1">
        <v>7568</v>
      </c>
      <c r="U91" s="1">
        <v>5972</v>
      </c>
      <c r="V91" s="1">
        <v>3564</v>
      </c>
      <c r="W91" s="1">
        <v>1681</v>
      </c>
      <c r="X91" s="9">
        <f>SUM(Table2[[#This Row],[Age 20 to 24]:[Age 90 and Over]])</f>
        <v>184441</v>
      </c>
      <c r="Y91" s="9">
        <f>_xlfn.XLOOKUP(Table2[[#This Row],[Area]],Referendum!E:E,Referendum!L:L,"")</f>
        <v>51612</v>
      </c>
      <c r="Z91" s="9">
        <f>_xlfn.XLOOKUP(Table2[[#This Row],[Area]],Referendum!E:E,Referendum!M:M,"")</f>
        <v>69043</v>
      </c>
      <c r="AA91" s="10">
        <f>(Table2[[#This Row],[Leave Votes]]+Table2[[#This Row],[Remain Votes]])/Table2[[#This Row],[Residents Age &gt;=20]]</f>
        <v>0.65416583080768376</v>
      </c>
      <c r="AB91" s="10">
        <f>Table2[[#This Row],[Remain Votes]]/Table2[[#This Row],[Residents Age &gt;=20]]</f>
        <v>0.2798293221138467</v>
      </c>
      <c r="AC91" s="10">
        <f>Table2[[#This Row],[Leave Votes]]/Table2[[#This Row],[Residents Age &gt;=20]]</f>
        <v>0.37433650869383706</v>
      </c>
    </row>
    <row r="92" spans="1:29" x14ac:dyDescent="0.45">
      <c r="A92" t="s">
        <v>830</v>
      </c>
      <c r="B92" t="s">
        <v>187</v>
      </c>
      <c r="C92" t="s">
        <v>188</v>
      </c>
      <c r="D92" s="1">
        <v>71116</v>
      </c>
      <c r="E92" s="1">
        <v>3077</v>
      </c>
      <c r="F92" s="1">
        <v>3644</v>
      </c>
      <c r="G92" s="1">
        <v>4208</v>
      </c>
      <c r="H92" s="1">
        <v>4032</v>
      </c>
      <c r="I92" s="1">
        <v>3008</v>
      </c>
      <c r="J92" s="1">
        <v>2719</v>
      </c>
      <c r="K92" s="1">
        <v>2822</v>
      </c>
      <c r="L92" s="1">
        <v>3914</v>
      </c>
      <c r="M92" s="1">
        <v>5291</v>
      </c>
      <c r="N92" s="1">
        <v>5957</v>
      </c>
      <c r="O92" s="1">
        <v>5357</v>
      </c>
      <c r="P92" s="1">
        <v>5185</v>
      </c>
      <c r="Q92" s="1">
        <v>6075</v>
      </c>
      <c r="R92" s="1">
        <v>4826</v>
      </c>
      <c r="S92" s="1">
        <v>3680</v>
      </c>
      <c r="T92" s="1">
        <v>2969</v>
      </c>
      <c r="U92" s="1">
        <v>2165</v>
      </c>
      <c r="V92" s="1">
        <v>1438</v>
      </c>
      <c r="W92">
        <v>749</v>
      </c>
      <c r="X92" s="9">
        <f>SUM(Table2[[#This Row],[Age 20 to 24]:[Age 90 and Over]])</f>
        <v>56155</v>
      </c>
      <c r="Y92" s="9">
        <f>_xlfn.XLOOKUP(Table2[[#This Row],[Area]],Referendum!E:E,Referendum!L:L,"")</f>
        <v>22633</v>
      </c>
      <c r="Z92" s="9">
        <f>_xlfn.XLOOKUP(Table2[[#This Row],[Area]],Referendum!E:E,Referendum!M:M,"")</f>
        <v>24095</v>
      </c>
      <c r="AA92" s="10">
        <f>(Table2[[#This Row],[Leave Votes]]+Table2[[#This Row],[Remain Votes]])/Table2[[#This Row],[Residents Age &gt;=20]]</f>
        <v>0.83212536728697351</v>
      </c>
      <c r="AB92" s="10">
        <f>Table2[[#This Row],[Remain Votes]]/Table2[[#This Row],[Residents Age &gt;=20]]</f>
        <v>0.40304514290802246</v>
      </c>
      <c r="AC92" s="10">
        <f>Table2[[#This Row],[Leave Votes]]/Table2[[#This Row],[Residents Age &gt;=20]]</f>
        <v>0.4290802243789511</v>
      </c>
    </row>
    <row r="93" spans="1:29" x14ac:dyDescent="0.45">
      <c r="A93" t="s">
        <v>830</v>
      </c>
      <c r="B93" t="s">
        <v>131</v>
      </c>
      <c r="C93" t="s">
        <v>132</v>
      </c>
      <c r="D93" s="1">
        <v>302402</v>
      </c>
      <c r="E93" s="1">
        <v>19220</v>
      </c>
      <c r="F93" s="1">
        <v>17072</v>
      </c>
      <c r="G93" s="1">
        <v>17407</v>
      </c>
      <c r="H93" s="1">
        <v>18937</v>
      </c>
      <c r="I93" s="1">
        <v>19417</v>
      </c>
      <c r="J93" s="1">
        <v>20239</v>
      </c>
      <c r="K93" s="1">
        <v>17825</v>
      </c>
      <c r="L93" s="1">
        <v>18852</v>
      </c>
      <c r="M93" s="1">
        <v>21581</v>
      </c>
      <c r="N93" s="1">
        <v>22572</v>
      </c>
      <c r="O93" s="1">
        <v>20928</v>
      </c>
      <c r="P93" s="1">
        <v>18364</v>
      </c>
      <c r="Q93" s="1">
        <v>18847</v>
      </c>
      <c r="R93" s="1">
        <v>14737</v>
      </c>
      <c r="S93" s="1">
        <v>12372</v>
      </c>
      <c r="T93" s="1">
        <v>10174</v>
      </c>
      <c r="U93" s="1">
        <v>7486</v>
      </c>
      <c r="V93" s="1">
        <v>4346</v>
      </c>
      <c r="W93" s="1">
        <v>2026</v>
      </c>
      <c r="X93" s="9">
        <f>SUM(Table2[[#This Row],[Age 20 to 24]:[Age 90 and Over]])</f>
        <v>229766</v>
      </c>
      <c r="Y93" s="9">
        <f>_xlfn.XLOOKUP(Table2[[#This Row],[Area]],Referendum!E:E,Referendum!L:L,"")</f>
        <v>46922</v>
      </c>
      <c r="Z93" s="9">
        <f>_xlfn.XLOOKUP(Table2[[#This Row],[Area]],Referendum!E:E,Referendum!M:M,"")</f>
        <v>104260</v>
      </c>
      <c r="AA93" s="10">
        <f>(Table2[[#This Row],[Leave Votes]]+Table2[[#This Row],[Remain Votes]])/Table2[[#This Row],[Residents Age &gt;=20]]</f>
        <v>0.65798246912075764</v>
      </c>
      <c r="AB93" s="10">
        <f>Table2[[#This Row],[Remain Votes]]/Table2[[#This Row],[Residents Age &gt;=20]]</f>
        <v>0.20421646370655364</v>
      </c>
      <c r="AC93" s="10">
        <f>Table2[[#This Row],[Leave Votes]]/Table2[[#This Row],[Residents Age &gt;=20]]</f>
        <v>0.45376600541420403</v>
      </c>
    </row>
    <row r="94" spans="1:29" x14ac:dyDescent="0.45">
      <c r="A94" t="s">
        <v>830</v>
      </c>
      <c r="B94" t="s">
        <v>551</v>
      </c>
      <c r="C94" t="s">
        <v>552</v>
      </c>
      <c r="D94" s="1">
        <v>111674</v>
      </c>
      <c r="E94" s="1">
        <v>6259</v>
      </c>
      <c r="F94" s="1">
        <v>5879</v>
      </c>
      <c r="G94" s="1">
        <v>6657</v>
      </c>
      <c r="H94" s="1">
        <v>7005</v>
      </c>
      <c r="I94" s="1">
        <v>5844</v>
      </c>
      <c r="J94" s="1">
        <v>5891</v>
      </c>
      <c r="K94" s="1">
        <v>5729</v>
      </c>
      <c r="L94" s="1">
        <v>6328</v>
      </c>
      <c r="M94" s="1">
        <v>7878</v>
      </c>
      <c r="N94" s="1">
        <v>8422</v>
      </c>
      <c r="O94" s="1">
        <v>7751</v>
      </c>
      <c r="P94" s="1">
        <v>7290</v>
      </c>
      <c r="Q94" s="1">
        <v>8224</v>
      </c>
      <c r="R94" s="1">
        <v>6725</v>
      </c>
      <c r="S94" s="1">
        <v>5196</v>
      </c>
      <c r="T94" s="1">
        <v>4149</v>
      </c>
      <c r="U94" s="1">
        <v>3254</v>
      </c>
      <c r="V94" s="1">
        <v>2022</v>
      </c>
      <c r="W94" s="1">
        <v>1171</v>
      </c>
      <c r="X94" s="9">
        <f>SUM(Table2[[#This Row],[Age 20 to 24]:[Age 90 and Over]])</f>
        <v>85874</v>
      </c>
      <c r="Y94" s="9">
        <f>_xlfn.XLOOKUP(Table2[[#This Row],[Area]],Referendum!E:E,Referendum!L:L,"")</f>
        <v>24606</v>
      </c>
      <c r="Z94" s="9">
        <f>_xlfn.XLOOKUP(Table2[[#This Row],[Area]],Referendum!E:E,Referendum!M:M,"")</f>
        <v>40410</v>
      </c>
      <c r="AA94" s="10">
        <f>(Table2[[#This Row],[Leave Votes]]+Table2[[#This Row],[Remain Votes]])/Table2[[#This Row],[Residents Age &gt;=20]]</f>
        <v>0.75710925309173904</v>
      </c>
      <c r="AB94" s="10">
        <f>Table2[[#This Row],[Remain Votes]]/Table2[[#This Row],[Residents Age &gt;=20]]</f>
        <v>0.28653608775648043</v>
      </c>
      <c r="AC94" s="10">
        <f>Table2[[#This Row],[Leave Votes]]/Table2[[#This Row],[Residents Age &gt;=20]]</f>
        <v>0.47057316533525861</v>
      </c>
    </row>
    <row r="95" spans="1:29" x14ac:dyDescent="0.45">
      <c r="A95" t="s">
        <v>830</v>
      </c>
      <c r="B95" t="s">
        <v>259</v>
      </c>
      <c r="C95" t="s">
        <v>260</v>
      </c>
      <c r="D95" s="1">
        <v>312925</v>
      </c>
      <c r="E95" s="1">
        <v>18867</v>
      </c>
      <c r="F95" s="1">
        <v>17934</v>
      </c>
      <c r="G95" s="1">
        <v>18539</v>
      </c>
      <c r="H95" s="1">
        <v>19863</v>
      </c>
      <c r="I95" s="1">
        <v>18141</v>
      </c>
      <c r="J95" s="1">
        <v>18947</v>
      </c>
      <c r="K95" s="1">
        <v>18024</v>
      </c>
      <c r="L95" s="1">
        <v>19798</v>
      </c>
      <c r="M95" s="1">
        <v>23848</v>
      </c>
      <c r="N95" s="1">
        <v>23248</v>
      </c>
      <c r="O95" s="1">
        <v>19583</v>
      </c>
      <c r="P95" s="1">
        <v>18389</v>
      </c>
      <c r="Q95" s="1">
        <v>19547</v>
      </c>
      <c r="R95" s="1">
        <v>17255</v>
      </c>
      <c r="S95" s="1">
        <v>14247</v>
      </c>
      <c r="T95" s="1">
        <v>11379</v>
      </c>
      <c r="U95" s="1">
        <v>8418</v>
      </c>
      <c r="V95" s="1">
        <v>4673</v>
      </c>
      <c r="W95" s="1">
        <v>2225</v>
      </c>
      <c r="X95" s="9">
        <f>SUM(Table2[[#This Row],[Age 20 to 24]:[Age 90 and Over]])</f>
        <v>237722</v>
      </c>
      <c r="Y95" s="9">
        <f>_xlfn.XLOOKUP(Table2[[#This Row],[Area]],Referendum!E:E,Referendum!L:L,"")</f>
        <v>56780</v>
      </c>
      <c r="Z95" s="9">
        <f>_xlfn.XLOOKUP(Table2[[#This Row],[Area]],Referendum!E:E,Referendum!M:M,"")</f>
        <v>118446</v>
      </c>
      <c r="AA95" s="10">
        <f>(Table2[[#This Row],[Leave Votes]]+Table2[[#This Row],[Remain Votes]])/Table2[[#This Row],[Residents Age &gt;=20]]</f>
        <v>0.73710468530468365</v>
      </c>
      <c r="AB95" s="10">
        <f>Table2[[#This Row],[Remain Votes]]/Table2[[#This Row],[Residents Age &gt;=20]]</f>
        <v>0.23885042192140399</v>
      </c>
      <c r="AC95" s="10">
        <f>Table2[[#This Row],[Leave Votes]]/Table2[[#This Row],[Residents Age &gt;=20]]</f>
        <v>0.49825426338327961</v>
      </c>
    </row>
    <row r="96" spans="1:29" x14ac:dyDescent="0.45">
      <c r="A96" t="s">
        <v>837</v>
      </c>
      <c r="B96" t="s">
        <v>711</v>
      </c>
      <c r="C96" t="s">
        <v>712</v>
      </c>
      <c r="D96" s="1">
        <v>151300</v>
      </c>
      <c r="E96" s="1">
        <v>7700</v>
      </c>
      <c r="F96" s="1">
        <v>7400</v>
      </c>
      <c r="G96" s="1">
        <v>8300</v>
      </c>
      <c r="H96" s="1">
        <v>8800</v>
      </c>
      <c r="I96" s="1">
        <v>7700</v>
      </c>
      <c r="J96" s="1">
        <v>7400</v>
      </c>
      <c r="K96" s="1">
        <v>6700</v>
      </c>
      <c r="L96" s="1">
        <v>8200</v>
      </c>
      <c r="M96" s="1">
        <v>10600</v>
      </c>
      <c r="N96" s="1">
        <v>12000</v>
      </c>
      <c r="O96" s="1">
        <v>11200</v>
      </c>
      <c r="P96" s="1">
        <v>10800</v>
      </c>
      <c r="Q96" s="1">
        <v>11700</v>
      </c>
      <c r="R96" s="1">
        <v>9800</v>
      </c>
      <c r="S96" s="1">
        <v>8200</v>
      </c>
      <c r="T96" s="1">
        <v>6600</v>
      </c>
      <c r="U96" s="1">
        <v>8400</v>
      </c>
      <c r="X96" s="9">
        <f>SUM(Table2[[#This Row],[Age 20 to 24]:[Age 90 and Over]])</f>
        <v>119300</v>
      </c>
      <c r="Y96" s="9">
        <f>_xlfn.XLOOKUP(Table2[[#This Row],[Area]],Referendum!E:E,Referendum!L:L,"")</f>
        <v>43864</v>
      </c>
      <c r="Z96" s="9">
        <f>_xlfn.XLOOKUP(Table2[[#This Row],[Area]],Referendum!E:E,Referendum!M:M,"")</f>
        <v>38803</v>
      </c>
      <c r="AA96" s="10">
        <f>(Table2[[#This Row],[Leave Votes]]+Table2[[#This Row],[Remain Votes]])/Table2[[#This Row],[Residents Age &gt;=20]]</f>
        <v>0.69293378038558251</v>
      </c>
      <c r="AB96" s="10">
        <f>Table2[[#This Row],[Remain Votes]]/Table2[[#This Row],[Residents Age &gt;=20]]</f>
        <v>0.36767812238055325</v>
      </c>
      <c r="AC96" s="10">
        <f>Table2[[#This Row],[Leave Votes]]/Table2[[#This Row],[Residents Age &gt;=20]]</f>
        <v>0.32525565800502931</v>
      </c>
    </row>
    <row r="97" spans="1:29" x14ac:dyDescent="0.45">
      <c r="A97" t="s">
        <v>837</v>
      </c>
      <c r="B97" t="s">
        <v>713</v>
      </c>
      <c r="C97" t="s">
        <v>714</v>
      </c>
      <c r="D97" s="1">
        <v>147300</v>
      </c>
      <c r="E97" s="1">
        <v>7800</v>
      </c>
      <c r="F97" s="1">
        <v>6800</v>
      </c>
      <c r="G97" s="1">
        <v>7400</v>
      </c>
      <c r="H97" s="1">
        <v>10800</v>
      </c>
      <c r="I97" s="1">
        <v>15300</v>
      </c>
      <c r="J97" s="1">
        <v>11700</v>
      </c>
      <c r="K97" s="1">
        <v>8900</v>
      </c>
      <c r="L97" s="1">
        <v>8000</v>
      </c>
      <c r="M97" s="1">
        <v>9300</v>
      </c>
      <c r="N97" s="1">
        <v>10200</v>
      </c>
      <c r="O97" s="1">
        <v>9900</v>
      </c>
      <c r="P97" s="1">
        <v>8000</v>
      </c>
      <c r="Q97" s="1">
        <v>8500</v>
      </c>
      <c r="R97" s="1">
        <v>6400</v>
      </c>
      <c r="S97" s="1">
        <v>6000</v>
      </c>
      <c r="T97" s="1">
        <v>5200</v>
      </c>
      <c r="U97" s="1">
        <v>7000</v>
      </c>
      <c r="X97" s="9">
        <f>SUM(Table2[[#This Row],[Age 20 to 24]:[Age 90 and Over]])</f>
        <v>114400</v>
      </c>
      <c r="Y97" s="9">
        <f>_xlfn.XLOOKUP(Table2[[#This Row],[Area]],Referendum!E:E,Referendum!L:L,"")</f>
        <v>39688</v>
      </c>
      <c r="Z97" s="9">
        <f>_xlfn.XLOOKUP(Table2[[#This Row],[Area]],Referendum!E:E,Referendum!M:M,"")</f>
        <v>26697</v>
      </c>
      <c r="AA97" s="10">
        <f>(Table2[[#This Row],[Leave Votes]]+Table2[[#This Row],[Remain Votes]])/Table2[[#This Row],[Residents Age &gt;=20]]</f>
        <v>0.58028846153846159</v>
      </c>
      <c r="AB97" s="10">
        <f>Table2[[#This Row],[Remain Votes]]/Table2[[#This Row],[Residents Age &gt;=20]]</f>
        <v>0.34692307692307695</v>
      </c>
      <c r="AC97" s="10">
        <f>Table2[[#This Row],[Leave Votes]]/Table2[[#This Row],[Residents Age &gt;=20]]</f>
        <v>0.23336538461538461</v>
      </c>
    </row>
    <row r="98" spans="1:29" x14ac:dyDescent="0.45">
      <c r="A98" t="s">
        <v>830</v>
      </c>
      <c r="B98" t="s">
        <v>429</v>
      </c>
      <c r="C98" t="s">
        <v>430</v>
      </c>
      <c r="D98" s="1">
        <v>338449</v>
      </c>
      <c r="E98" s="1">
        <v>25426</v>
      </c>
      <c r="F98" s="1">
        <v>20385</v>
      </c>
      <c r="G98" s="1">
        <v>19043</v>
      </c>
      <c r="H98" s="1">
        <v>18673</v>
      </c>
      <c r="I98" s="1">
        <v>24552</v>
      </c>
      <c r="J98" s="1">
        <v>33998</v>
      </c>
      <c r="K98" s="1">
        <v>33577</v>
      </c>
      <c r="L98" s="1">
        <v>28371</v>
      </c>
      <c r="M98" s="1">
        <v>25498</v>
      </c>
      <c r="N98" s="1">
        <v>22877</v>
      </c>
      <c r="O98" s="1">
        <v>19007</v>
      </c>
      <c r="P98" s="1">
        <v>16619</v>
      </c>
      <c r="Q98" s="1">
        <v>14196</v>
      </c>
      <c r="R98" s="1">
        <v>10387</v>
      </c>
      <c r="S98" s="1">
        <v>9032</v>
      </c>
      <c r="T98" s="1">
        <v>7268</v>
      </c>
      <c r="U98" s="1">
        <v>4884</v>
      </c>
      <c r="V98" s="1">
        <v>3023</v>
      </c>
      <c r="W98" s="1">
        <v>1633</v>
      </c>
      <c r="X98" s="9">
        <f>SUM(Table2[[#This Row],[Age 20 to 24]:[Age 90 and Over]])</f>
        <v>254922</v>
      </c>
      <c r="Y98" s="9">
        <f>_xlfn.XLOOKUP(Table2[[#This Row],[Area]],Referendum!E:E,Referendum!L:L,"")</f>
        <v>90024</v>
      </c>
      <c r="Z98" s="9">
        <f>_xlfn.XLOOKUP(Table2[[#This Row],[Area]],Referendum!E:E,Referendum!M:M,"")</f>
        <v>59017</v>
      </c>
      <c r="AA98" s="10">
        <f>(Table2[[#This Row],[Leave Votes]]+Table2[[#This Row],[Remain Votes]])/Table2[[#This Row],[Residents Age &gt;=20]]</f>
        <v>0.5846533449447282</v>
      </c>
      <c r="AB98" s="10">
        <f>Table2[[#This Row],[Remain Votes]]/Table2[[#This Row],[Residents Age &gt;=20]]</f>
        <v>0.35314331442558899</v>
      </c>
      <c r="AC98" s="10">
        <f>Table2[[#This Row],[Leave Votes]]/Table2[[#This Row],[Residents Age &gt;=20]]</f>
        <v>0.23151003051913918</v>
      </c>
    </row>
    <row r="99" spans="1:29" x14ac:dyDescent="0.45">
      <c r="A99" t="s">
        <v>837</v>
      </c>
      <c r="B99" t="s">
        <v>715</v>
      </c>
      <c r="C99" t="s">
        <v>716</v>
      </c>
      <c r="D99" s="1">
        <v>122700</v>
      </c>
      <c r="E99" s="1">
        <v>6800</v>
      </c>
      <c r="F99" s="1">
        <v>6400</v>
      </c>
      <c r="G99" s="1">
        <v>6900</v>
      </c>
      <c r="H99" s="1">
        <v>7700</v>
      </c>
      <c r="I99" s="1">
        <v>7500</v>
      </c>
      <c r="J99" s="1">
        <v>7000</v>
      </c>
      <c r="K99" s="1">
        <v>6700</v>
      </c>
      <c r="L99" s="1">
        <v>7900</v>
      </c>
      <c r="M99" s="1">
        <v>9700</v>
      </c>
      <c r="N99" s="1">
        <v>9800</v>
      </c>
      <c r="O99" s="1">
        <v>8900</v>
      </c>
      <c r="P99" s="1">
        <v>7900</v>
      </c>
      <c r="Q99" s="1">
        <v>8300</v>
      </c>
      <c r="R99" s="1">
        <v>6500</v>
      </c>
      <c r="S99" s="1">
        <v>5400</v>
      </c>
      <c r="T99" s="1">
        <v>4300</v>
      </c>
      <c r="U99" s="1">
        <v>5100</v>
      </c>
      <c r="X99" s="9">
        <f>SUM(Table2[[#This Row],[Age 20 to 24]:[Age 90 and Over]])</f>
        <v>95000</v>
      </c>
      <c r="Y99" s="9">
        <f>_xlfn.XLOOKUP(Table2[[#This Row],[Area]],Referendum!E:E,Referendum!L:L,"")</f>
        <v>33891</v>
      </c>
      <c r="Z99" s="9">
        <f>_xlfn.XLOOKUP(Table2[[#This Row],[Area]],Referendum!E:E,Referendum!M:M,"")</f>
        <v>23942</v>
      </c>
      <c r="AA99" s="10">
        <f>(Table2[[#This Row],[Leave Votes]]+Table2[[#This Row],[Remain Votes]])/Table2[[#This Row],[Residents Age &gt;=20]]</f>
        <v>0.60876842105263163</v>
      </c>
      <c r="AB99" s="10">
        <f>Table2[[#This Row],[Remain Votes]]/Table2[[#This Row],[Residents Age &gt;=20]]</f>
        <v>0.35674736842105265</v>
      </c>
      <c r="AC99" s="10">
        <f>Table2[[#This Row],[Leave Votes]]/Table2[[#This Row],[Residents Age &gt;=20]]</f>
        <v>0.25202105263157892</v>
      </c>
    </row>
    <row r="100" spans="1:29" x14ac:dyDescent="0.45">
      <c r="A100" t="s">
        <v>830</v>
      </c>
      <c r="B100" t="s">
        <v>331</v>
      </c>
      <c r="C100" t="s">
        <v>332</v>
      </c>
      <c r="D100" s="1">
        <v>83818</v>
      </c>
      <c r="E100" s="1">
        <v>5506</v>
      </c>
      <c r="F100" s="1">
        <v>5016</v>
      </c>
      <c r="G100" s="1">
        <v>4812</v>
      </c>
      <c r="H100" s="1">
        <v>4554</v>
      </c>
      <c r="I100" s="1">
        <v>4110</v>
      </c>
      <c r="J100" s="1">
        <v>4895</v>
      </c>
      <c r="K100" s="1">
        <v>5629</v>
      </c>
      <c r="L100" s="1">
        <v>6080</v>
      </c>
      <c r="M100" s="1">
        <v>6562</v>
      </c>
      <c r="N100" s="1">
        <v>6476</v>
      </c>
      <c r="O100" s="1">
        <v>5478</v>
      </c>
      <c r="P100" s="1">
        <v>4924</v>
      </c>
      <c r="Q100" s="1">
        <v>5469</v>
      </c>
      <c r="R100" s="1">
        <v>4239</v>
      </c>
      <c r="S100" s="1">
        <v>3301</v>
      </c>
      <c r="T100" s="1">
        <v>2735</v>
      </c>
      <c r="U100" s="1">
        <v>2132</v>
      </c>
      <c r="V100" s="1">
        <v>1244</v>
      </c>
      <c r="W100">
        <v>656</v>
      </c>
      <c r="X100" s="9">
        <f>SUM(Table2[[#This Row],[Age 20 to 24]:[Age 90 and Over]])</f>
        <v>63930</v>
      </c>
      <c r="Y100" s="9">
        <f>_xlfn.XLOOKUP(Table2[[#This Row],[Area]],Referendum!E:E,Referendum!L:L,"")</f>
        <v>23599</v>
      </c>
      <c r="Z100" s="9">
        <f>_xlfn.XLOOKUP(Table2[[#This Row],[Area]],Referendum!E:E,Referendum!M:M,"")</f>
        <v>24487</v>
      </c>
      <c r="AA100" s="10">
        <f>(Table2[[#This Row],[Leave Votes]]+Table2[[#This Row],[Remain Votes]])/Table2[[#This Row],[Residents Age &gt;=20]]</f>
        <v>0.7521664320350383</v>
      </c>
      <c r="AB100" s="10">
        <f>Table2[[#This Row],[Remain Votes]]/Table2[[#This Row],[Residents Age &gt;=20]]</f>
        <v>0.36913811981855155</v>
      </c>
      <c r="AC100" s="10">
        <f>Table2[[#This Row],[Leave Votes]]/Table2[[#This Row],[Residents Age &gt;=20]]</f>
        <v>0.38302831221648675</v>
      </c>
    </row>
    <row r="101" spans="1:29" x14ac:dyDescent="0.45">
      <c r="A101" t="s">
        <v>830</v>
      </c>
      <c r="B101" t="s">
        <v>641</v>
      </c>
      <c r="C101" t="s">
        <v>642</v>
      </c>
      <c r="D101" s="1">
        <v>132457</v>
      </c>
      <c r="E101" s="1">
        <v>5846</v>
      </c>
      <c r="F101" s="1">
        <v>6014</v>
      </c>
      <c r="G101" s="1">
        <v>7074</v>
      </c>
      <c r="H101" s="1">
        <v>7320</v>
      </c>
      <c r="I101" s="1">
        <v>5517</v>
      </c>
      <c r="J101" s="1">
        <v>5201</v>
      </c>
      <c r="K101" s="1">
        <v>5250</v>
      </c>
      <c r="L101" s="1">
        <v>6635</v>
      </c>
      <c r="M101" s="1">
        <v>8668</v>
      </c>
      <c r="N101" s="1">
        <v>9191</v>
      </c>
      <c r="O101" s="1">
        <v>8684</v>
      </c>
      <c r="P101" s="1">
        <v>8804</v>
      </c>
      <c r="Q101" s="1">
        <v>10907</v>
      </c>
      <c r="R101" s="1">
        <v>9857</v>
      </c>
      <c r="S101" s="1">
        <v>8269</v>
      </c>
      <c r="T101" s="1">
        <v>6954</v>
      </c>
      <c r="U101" s="1">
        <v>5923</v>
      </c>
      <c r="V101" s="1">
        <v>4043</v>
      </c>
      <c r="W101" s="1">
        <v>2300</v>
      </c>
      <c r="X101" s="9">
        <f>SUM(Table2[[#This Row],[Age 20 to 24]:[Age 90 and Over]])</f>
        <v>106203</v>
      </c>
      <c r="Y101" s="9">
        <f>_xlfn.XLOOKUP(Table2[[#This Row],[Area]],Referendum!E:E,Referendum!L:L,"")</f>
        <v>40743</v>
      </c>
      <c r="Z101" s="9">
        <f>_xlfn.XLOOKUP(Table2[[#This Row],[Area]],Referendum!E:E,Referendum!M:M,"")</f>
        <v>48040</v>
      </c>
      <c r="AA101" s="10">
        <f>(Table2[[#This Row],[Leave Votes]]+Table2[[#This Row],[Remain Votes]])/Table2[[#This Row],[Residents Age &gt;=20]]</f>
        <v>0.83597450166191167</v>
      </c>
      <c r="AB101" s="10">
        <f>Table2[[#This Row],[Remain Votes]]/Table2[[#This Row],[Residents Age &gt;=20]]</f>
        <v>0.38363323069969774</v>
      </c>
      <c r="AC101" s="10">
        <f>Table2[[#This Row],[Leave Votes]]/Table2[[#This Row],[Residents Age &gt;=20]]</f>
        <v>0.45234127096221388</v>
      </c>
    </row>
    <row r="102" spans="1:29" x14ac:dyDescent="0.45">
      <c r="A102" t="s">
        <v>830</v>
      </c>
      <c r="B102" t="s">
        <v>659</v>
      </c>
      <c r="C102" t="s">
        <v>660</v>
      </c>
      <c r="D102" s="1">
        <v>87166</v>
      </c>
      <c r="E102" s="1">
        <v>3737</v>
      </c>
      <c r="F102" s="1">
        <v>4092</v>
      </c>
      <c r="G102" s="1">
        <v>4702</v>
      </c>
      <c r="H102" s="1">
        <v>4801</v>
      </c>
      <c r="I102" s="1">
        <v>3632</v>
      </c>
      <c r="J102" s="1">
        <v>3013</v>
      </c>
      <c r="K102" s="1">
        <v>3201</v>
      </c>
      <c r="L102" s="1">
        <v>4249</v>
      </c>
      <c r="M102" s="1">
        <v>5705</v>
      </c>
      <c r="N102" s="1">
        <v>6481</v>
      </c>
      <c r="O102" s="1">
        <v>6083</v>
      </c>
      <c r="P102" s="1">
        <v>5796</v>
      </c>
      <c r="Q102" s="1">
        <v>7355</v>
      </c>
      <c r="R102" s="1">
        <v>6300</v>
      </c>
      <c r="S102" s="1">
        <v>5509</v>
      </c>
      <c r="T102" s="1">
        <v>4811</v>
      </c>
      <c r="U102" s="1">
        <v>3866</v>
      </c>
      <c r="V102" s="1">
        <v>2526</v>
      </c>
      <c r="W102" s="1">
        <v>1307</v>
      </c>
      <c r="X102" s="9">
        <f>SUM(Table2[[#This Row],[Age 20 to 24]:[Age 90 and Over]])</f>
        <v>69834</v>
      </c>
      <c r="Y102" s="9">
        <f>_xlfn.XLOOKUP(Table2[[#This Row],[Area]],Referendum!E:E,Referendum!L:L,"")</f>
        <v>24786</v>
      </c>
      <c r="Z102" s="9">
        <f>_xlfn.XLOOKUP(Table2[[#This Row],[Area]],Referendum!E:E,Referendum!M:M,"")</f>
        <v>33702</v>
      </c>
      <c r="AA102" s="10">
        <f>(Table2[[#This Row],[Leave Votes]]+Table2[[#This Row],[Remain Votes]])/Table2[[#This Row],[Residents Age &gt;=20]]</f>
        <v>0.83752899733654096</v>
      </c>
      <c r="AB102" s="10">
        <f>Table2[[#This Row],[Remain Votes]]/Table2[[#This Row],[Residents Age &gt;=20]]</f>
        <v>0.35492739926110489</v>
      </c>
      <c r="AC102" s="10">
        <f>Table2[[#This Row],[Leave Votes]]/Table2[[#This Row],[Residents Age &gt;=20]]</f>
        <v>0.48260159807543601</v>
      </c>
    </row>
    <row r="103" spans="1:29" x14ac:dyDescent="0.45">
      <c r="A103" t="s">
        <v>837</v>
      </c>
      <c r="B103" t="s">
        <v>717</v>
      </c>
      <c r="C103" t="s">
        <v>718</v>
      </c>
      <c r="D103" s="1">
        <v>105000</v>
      </c>
      <c r="E103" s="1">
        <v>5200</v>
      </c>
      <c r="F103" s="1">
        <v>5700</v>
      </c>
      <c r="G103" s="1">
        <v>6400</v>
      </c>
      <c r="H103" s="1">
        <v>7000</v>
      </c>
      <c r="I103" s="1">
        <v>6000</v>
      </c>
      <c r="J103" s="1">
        <v>4300</v>
      </c>
      <c r="K103" s="1">
        <v>4500</v>
      </c>
      <c r="L103" s="1">
        <v>5900</v>
      </c>
      <c r="M103" s="1">
        <v>7800</v>
      </c>
      <c r="N103" s="1">
        <v>8900</v>
      </c>
      <c r="O103" s="1">
        <v>8400</v>
      </c>
      <c r="P103" s="1">
        <v>7300</v>
      </c>
      <c r="Q103" s="1">
        <v>7300</v>
      </c>
      <c r="R103" s="1">
        <v>5800</v>
      </c>
      <c r="S103" s="1">
        <v>5200</v>
      </c>
      <c r="T103" s="1">
        <v>4300</v>
      </c>
      <c r="U103" s="1">
        <v>5200</v>
      </c>
      <c r="X103" s="9">
        <f>SUM(Table2[[#This Row],[Age 20 to 24]:[Age 90 and Over]])</f>
        <v>80900</v>
      </c>
      <c r="Y103" s="9">
        <f>_xlfn.XLOOKUP(Table2[[#This Row],[Area]],Referendum!E:E,Referendum!L:L,"")</f>
        <v>44534</v>
      </c>
      <c r="Z103" s="9">
        <f>_xlfn.XLOOKUP(Table2[[#This Row],[Area]],Referendum!E:E,Referendum!M:M,"")</f>
        <v>17840</v>
      </c>
      <c r="AA103" s="10">
        <f>(Table2[[#This Row],[Leave Votes]]+Table2[[#This Row],[Remain Votes]])/Table2[[#This Row],[Residents Age &gt;=20]]</f>
        <v>0.77100123609394311</v>
      </c>
      <c r="AB103" s="10">
        <f>Table2[[#This Row],[Remain Votes]]/Table2[[#This Row],[Residents Age &gt;=20]]</f>
        <v>0.55048207663782445</v>
      </c>
      <c r="AC103" s="10">
        <f>Table2[[#This Row],[Leave Votes]]/Table2[[#This Row],[Residents Age &gt;=20]]</f>
        <v>0.22051915945611866</v>
      </c>
    </row>
    <row r="104" spans="1:29" x14ac:dyDescent="0.45">
      <c r="A104" t="s">
        <v>830</v>
      </c>
      <c r="B104" t="s">
        <v>525</v>
      </c>
      <c r="C104" t="s">
        <v>526</v>
      </c>
      <c r="D104" s="1">
        <v>115608</v>
      </c>
      <c r="E104" s="1">
        <v>6209</v>
      </c>
      <c r="F104" s="1">
        <v>6512</v>
      </c>
      <c r="G104" s="1">
        <v>7305</v>
      </c>
      <c r="H104" s="1">
        <v>7331</v>
      </c>
      <c r="I104" s="1">
        <v>5382</v>
      </c>
      <c r="J104" s="1">
        <v>5101</v>
      </c>
      <c r="K104" s="1">
        <v>5497</v>
      </c>
      <c r="L104" s="1">
        <v>7006</v>
      </c>
      <c r="M104" s="1">
        <v>8762</v>
      </c>
      <c r="N104" s="1">
        <v>9639</v>
      </c>
      <c r="O104" s="1">
        <v>8772</v>
      </c>
      <c r="P104" s="1">
        <v>7553</v>
      </c>
      <c r="Q104" s="1">
        <v>8236</v>
      </c>
      <c r="R104" s="1">
        <v>6647</v>
      </c>
      <c r="S104" s="1">
        <v>5159</v>
      </c>
      <c r="T104" s="1">
        <v>4122</v>
      </c>
      <c r="U104" s="1">
        <v>3191</v>
      </c>
      <c r="V104" s="1">
        <v>2045</v>
      </c>
      <c r="W104" s="1">
        <v>1139</v>
      </c>
      <c r="X104" s="9">
        <f>SUM(Table2[[#This Row],[Age 20 to 24]:[Age 90 and Over]])</f>
        <v>88251</v>
      </c>
      <c r="Y104" s="9">
        <f>_xlfn.XLOOKUP(Table2[[#This Row],[Area]],Referendum!E:E,Referendum!L:L,"")</f>
        <v>37346</v>
      </c>
      <c r="Z104" s="9">
        <f>_xlfn.XLOOKUP(Table2[[#This Row],[Area]],Referendum!E:E,Referendum!M:M,"")</f>
        <v>36576</v>
      </c>
      <c r="AA104" s="10">
        <f>(Table2[[#This Row],[Leave Votes]]+Table2[[#This Row],[Remain Votes]])/Table2[[#This Row],[Residents Age &gt;=20]]</f>
        <v>0.83763356789158194</v>
      </c>
      <c r="AB104" s="10">
        <f>Table2[[#This Row],[Remain Votes]]/Table2[[#This Row],[Residents Age &gt;=20]]</f>
        <v>0.42317934074401425</v>
      </c>
      <c r="AC104" s="10">
        <f>Table2[[#This Row],[Leave Votes]]/Table2[[#This Row],[Residents Age &gt;=20]]</f>
        <v>0.41445422714756774</v>
      </c>
    </row>
    <row r="105" spans="1:29" x14ac:dyDescent="0.45">
      <c r="A105" t="s">
        <v>830</v>
      </c>
      <c r="B105" t="s">
        <v>832</v>
      </c>
      <c r="C105" t="s">
        <v>368</v>
      </c>
      <c r="D105" s="1">
        <v>137687</v>
      </c>
      <c r="E105" s="1">
        <v>8299</v>
      </c>
      <c r="F105" s="1">
        <v>8257</v>
      </c>
      <c r="G105" s="1">
        <v>9096</v>
      </c>
      <c r="H105" s="1">
        <v>8638</v>
      </c>
      <c r="I105" s="1">
        <v>6411</v>
      </c>
      <c r="J105" s="1">
        <v>7328</v>
      </c>
      <c r="K105" s="1">
        <v>8688</v>
      </c>
      <c r="L105" s="1">
        <v>10155</v>
      </c>
      <c r="M105" s="1">
        <v>11608</v>
      </c>
      <c r="N105" s="1">
        <v>11835</v>
      </c>
      <c r="O105" s="1">
        <v>9780</v>
      </c>
      <c r="P105" s="1">
        <v>7993</v>
      </c>
      <c r="Q105" s="1">
        <v>8346</v>
      </c>
      <c r="R105" s="1">
        <v>6236</v>
      </c>
      <c r="S105" s="1">
        <v>4971</v>
      </c>
      <c r="T105" s="1">
        <v>4204</v>
      </c>
      <c r="U105" s="1">
        <v>3044</v>
      </c>
      <c r="V105" s="1">
        <v>1824</v>
      </c>
      <c r="W105">
        <v>974</v>
      </c>
      <c r="X105" s="9">
        <f>SUM(Table2[[#This Row],[Age 20 to 24]:[Age 90 and Over]])</f>
        <v>103397</v>
      </c>
      <c r="Y105" s="9">
        <f>_xlfn.XLOOKUP(Table2[[#This Row],[Area]],Referendum!E:E,Referendum!L:L,"")</f>
        <v>42372</v>
      </c>
      <c r="Z105" s="9">
        <f>_xlfn.XLOOKUP(Table2[[#This Row],[Area]],Referendum!E:E,Referendum!M:M,"")</f>
        <v>42994</v>
      </c>
      <c r="AA105" s="10">
        <f>(Table2[[#This Row],[Leave Votes]]+Table2[[#This Row],[Remain Votes]])/Table2[[#This Row],[Residents Age &gt;=20]]</f>
        <v>0.82561389595442802</v>
      </c>
      <c r="AB105" s="10">
        <f>Table2[[#This Row],[Remain Votes]]/Table2[[#This Row],[Residents Age &gt;=20]]</f>
        <v>0.40979912376567984</v>
      </c>
      <c r="AC105" s="10">
        <f>Table2[[#This Row],[Leave Votes]]/Table2[[#This Row],[Residents Age &gt;=20]]</f>
        <v>0.41581477218874824</v>
      </c>
    </row>
    <row r="106" spans="1:29" x14ac:dyDescent="0.45">
      <c r="A106" t="s">
        <v>830</v>
      </c>
      <c r="B106" t="s">
        <v>213</v>
      </c>
      <c r="C106" t="s">
        <v>214</v>
      </c>
      <c r="D106" s="1">
        <v>136401</v>
      </c>
      <c r="E106" s="1">
        <v>6202</v>
      </c>
      <c r="F106" s="1">
        <v>5999</v>
      </c>
      <c r="G106" s="1">
        <v>7168</v>
      </c>
      <c r="H106" s="1">
        <v>7540</v>
      </c>
      <c r="I106" s="1">
        <v>6433</v>
      </c>
      <c r="J106" s="1">
        <v>5876</v>
      </c>
      <c r="K106" s="1">
        <v>5496</v>
      </c>
      <c r="L106" s="1">
        <v>6672</v>
      </c>
      <c r="M106" s="1">
        <v>8605</v>
      </c>
      <c r="N106" s="1">
        <v>9644</v>
      </c>
      <c r="O106" s="1">
        <v>9447</v>
      </c>
      <c r="P106" s="1">
        <v>9570</v>
      </c>
      <c r="Q106" s="1">
        <v>12310</v>
      </c>
      <c r="R106" s="1">
        <v>11212</v>
      </c>
      <c r="S106" s="1">
        <v>8737</v>
      </c>
      <c r="T106" s="1">
        <v>6683</v>
      </c>
      <c r="U106" s="1">
        <v>4753</v>
      </c>
      <c r="V106" s="1">
        <v>2703</v>
      </c>
      <c r="W106" s="1">
        <v>1351</v>
      </c>
      <c r="X106" s="9">
        <f>SUM(Table2[[#This Row],[Age 20 to 24]:[Age 90 and Over]])</f>
        <v>109492</v>
      </c>
      <c r="Y106" s="9">
        <f>_xlfn.XLOOKUP(Table2[[#This Row],[Area]],Referendum!E:E,Referendum!L:L,"")</f>
        <v>23515</v>
      </c>
      <c r="Z106" s="9">
        <f>_xlfn.XLOOKUP(Table2[[#This Row],[Area]],Referendum!E:E,Referendum!M:M,"")</f>
        <v>56613</v>
      </c>
      <c r="AA106" s="10">
        <f>(Table2[[#This Row],[Leave Votes]]+Table2[[#This Row],[Remain Votes]])/Table2[[#This Row],[Residents Age &gt;=20]]</f>
        <v>0.73181602308844484</v>
      </c>
      <c r="AB106" s="10">
        <f>Table2[[#This Row],[Remain Votes]]/Table2[[#This Row],[Residents Age &gt;=20]]</f>
        <v>0.2147645490081467</v>
      </c>
      <c r="AC106" s="10">
        <f>Table2[[#This Row],[Leave Votes]]/Table2[[#This Row],[Residents Age &gt;=20]]</f>
        <v>0.51705147408029806</v>
      </c>
    </row>
    <row r="107" spans="1:29" x14ac:dyDescent="0.45">
      <c r="A107" t="s">
        <v>837</v>
      </c>
      <c r="B107" t="s">
        <v>719</v>
      </c>
      <c r="C107" t="s">
        <v>720</v>
      </c>
      <c r="D107" s="1">
        <v>99700</v>
      </c>
      <c r="E107" s="1">
        <v>5900</v>
      </c>
      <c r="F107" s="1">
        <v>5500</v>
      </c>
      <c r="G107" s="1">
        <v>5900</v>
      </c>
      <c r="H107" s="1">
        <v>6400</v>
      </c>
      <c r="I107" s="1">
        <v>5300</v>
      </c>
      <c r="J107" s="1">
        <v>4800</v>
      </c>
      <c r="K107" s="1">
        <v>5000</v>
      </c>
      <c r="L107" s="1">
        <v>6500</v>
      </c>
      <c r="M107" s="1">
        <v>8000</v>
      </c>
      <c r="N107" s="1">
        <v>8200</v>
      </c>
      <c r="O107" s="1">
        <v>7600</v>
      </c>
      <c r="P107" s="1">
        <v>6300</v>
      </c>
      <c r="Q107" s="1">
        <v>6400</v>
      </c>
      <c r="R107" s="1">
        <v>5200</v>
      </c>
      <c r="S107" s="1">
        <v>4300</v>
      </c>
      <c r="T107" s="1">
        <v>3500</v>
      </c>
      <c r="U107" s="1">
        <v>4700</v>
      </c>
      <c r="X107" s="9">
        <f>SUM(Table2[[#This Row],[Age 20 to 24]:[Age 90 and Over]])</f>
        <v>75800</v>
      </c>
      <c r="Y107" s="9">
        <f>_xlfn.XLOOKUP(Table2[[#This Row],[Area]],Referendum!E:E,Referendum!L:L,"")</f>
        <v>36026</v>
      </c>
      <c r="Z107" s="9">
        <f>_xlfn.XLOOKUP(Table2[[#This Row],[Area]],Referendum!E:E,Referendum!M:M,"")</f>
        <v>19738</v>
      </c>
      <c r="AA107" s="10">
        <f>(Table2[[#This Row],[Leave Votes]]+Table2[[#This Row],[Remain Votes]])/Table2[[#This Row],[Residents Age &gt;=20]]</f>
        <v>0.73567282321899741</v>
      </c>
      <c r="AB107" s="10">
        <f>Table2[[#This Row],[Remain Votes]]/Table2[[#This Row],[Residents Age &gt;=20]]</f>
        <v>0.47527704485488126</v>
      </c>
      <c r="AC107" s="10">
        <f>Table2[[#This Row],[Leave Votes]]/Table2[[#This Row],[Residents Age &gt;=20]]</f>
        <v>0.26039577836411609</v>
      </c>
    </row>
    <row r="108" spans="1:29" x14ac:dyDescent="0.45">
      <c r="A108" t="s">
        <v>830</v>
      </c>
      <c r="B108" t="s">
        <v>229</v>
      </c>
      <c r="C108" t="s">
        <v>230</v>
      </c>
      <c r="D108" s="1">
        <v>86765</v>
      </c>
      <c r="E108" s="1">
        <v>5233</v>
      </c>
      <c r="F108" s="1">
        <v>5138</v>
      </c>
      <c r="G108" s="1">
        <v>5589</v>
      </c>
      <c r="H108" s="1">
        <v>5670</v>
      </c>
      <c r="I108" s="1">
        <v>4028</v>
      </c>
      <c r="J108" s="1">
        <v>4250</v>
      </c>
      <c r="K108" s="1">
        <v>4753</v>
      </c>
      <c r="L108" s="1">
        <v>5985</v>
      </c>
      <c r="M108" s="1">
        <v>7163</v>
      </c>
      <c r="N108" s="1">
        <v>6864</v>
      </c>
      <c r="O108" s="1">
        <v>5858</v>
      </c>
      <c r="P108" s="1">
        <v>5385</v>
      </c>
      <c r="Q108" s="1">
        <v>6244</v>
      </c>
      <c r="R108" s="1">
        <v>4614</v>
      </c>
      <c r="S108" s="1">
        <v>3421</v>
      </c>
      <c r="T108" s="1">
        <v>2626</v>
      </c>
      <c r="U108" s="1">
        <v>1963</v>
      </c>
      <c r="V108" s="1">
        <v>1280</v>
      </c>
      <c r="W108">
        <v>701</v>
      </c>
      <c r="X108" s="9">
        <f>SUM(Table2[[#This Row],[Age 20 to 24]:[Age 90 and Over]])</f>
        <v>65135</v>
      </c>
      <c r="Y108" s="9">
        <f>_xlfn.XLOOKUP(Table2[[#This Row],[Area]],Referendum!E:E,Referendum!L:L,"")</f>
        <v>21680</v>
      </c>
      <c r="Z108" s="9">
        <f>_xlfn.XLOOKUP(Table2[[#This Row],[Area]],Referendum!E:E,Referendum!M:M,"")</f>
        <v>30894</v>
      </c>
      <c r="AA108" s="10">
        <f>(Table2[[#This Row],[Leave Votes]]+Table2[[#This Row],[Remain Votes]])/Table2[[#This Row],[Residents Age &gt;=20]]</f>
        <v>0.80715437168956783</v>
      </c>
      <c r="AB108" s="10">
        <f>Table2[[#This Row],[Remain Votes]]/Table2[[#This Row],[Residents Age &gt;=20]]</f>
        <v>0.33284716358332694</v>
      </c>
      <c r="AC108" s="10">
        <f>Table2[[#This Row],[Leave Votes]]/Table2[[#This Row],[Residents Age &gt;=20]]</f>
        <v>0.47430720810624089</v>
      </c>
    </row>
    <row r="109" spans="1:29" x14ac:dyDescent="0.45">
      <c r="A109" t="s">
        <v>837</v>
      </c>
      <c r="B109" t="s">
        <v>721</v>
      </c>
      <c r="C109" t="s">
        <v>722</v>
      </c>
      <c r="D109" s="1">
        <v>90600</v>
      </c>
      <c r="E109" s="1">
        <v>5000</v>
      </c>
      <c r="F109" s="1">
        <v>5600</v>
      </c>
      <c r="G109" s="1">
        <v>6100</v>
      </c>
      <c r="H109" s="1">
        <v>6100</v>
      </c>
      <c r="I109" s="1">
        <v>5100</v>
      </c>
      <c r="J109" s="1">
        <v>3500</v>
      </c>
      <c r="K109" s="1">
        <v>4100</v>
      </c>
      <c r="L109" s="1">
        <v>5300</v>
      </c>
      <c r="M109" s="1">
        <v>7000</v>
      </c>
      <c r="N109" s="1">
        <v>7700</v>
      </c>
      <c r="O109" s="1">
        <v>7200</v>
      </c>
      <c r="P109" s="1">
        <v>6000</v>
      </c>
      <c r="Q109" s="1">
        <v>5700</v>
      </c>
      <c r="R109" s="1">
        <v>4500</v>
      </c>
      <c r="S109" s="1">
        <v>3900</v>
      </c>
      <c r="T109" s="1">
        <v>3400</v>
      </c>
      <c r="U109" s="1">
        <v>4600</v>
      </c>
      <c r="X109" s="9">
        <f>SUM(Table2[[#This Row],[Age 20 to 24]:[Age 90 and Over]])</f>
        <v>68000</v>
      </c>
      <c r="Y109" s="9">
        <f>_xlfn.XLOOKUP(Table2[[#This Row],[Area]],Referendum!E:E,Referendum!L:L,"")</f>
        <v>39345</v>
      </c>
      <c r="Z109" s="9">
        <f>_xlfn.XLOOKUP(Table2[[#This Row],[Area]],Referendum!E:E,Referendum!M:M,"")</f>
        <v>13596</v>
      </c>
      <c r="AA109" s="10">
        <f>(Table2[[#This Row],[Leave Votes]]+Table2[[#This Row],[Remain Votes]])/Table2[[#This Row],[Residents Age &gt;=20]]</f>
        <v>0.77854411764705878</v>
      </c>
      <c r="AB109" s="10">
        <f>Table2[[#This Row],[Remain Votes]]/Table2[[#This Row],[Residents Age &gt;=20]]</f>
        <v>0.5786029411764706</v>
      </c>
      <c r="AC109" s="10">
        <f>Table2[[#This Row],[Leave Votes]]/Table2[[#This Row],[Residents Age &gt;=20]]</f>
        <v>0.19994117647058823</v>
      </c>
    </row>
    <row r="110" spans="1:29" x14ac:dyDescent="0.45">
      <c r="A110" t="s">
        <v>830</v>
      </c>
      <c r="B110" t="s">
        <v>149</v>
      </c>
      <c r="C110" t="s">
        <v>150</v>
      </c>
      <c r="D110" s="1">
        <v>334179</v>
      </c>
      <c r="E110" s="1">
        <v>16400</v>
      </c>
      <c r="F110" s="1">
        <v>16630</v>
      </c>
      <c r="G110" s="1">
        <v>18625</v>
      </c>
      <c r="H110" s="1">
        <v>20396</v>
      </c>
      <c r="I110" s="1">
        <v>15779</v>
      </c>
      <c r="J110" s="1">
        <v>15073</v>
      </c>
      <c r="K110" s="1">
        <v>15931</v>
      </c>
      <c r="L110" s="1">
        <v>20033</v>
      </c>
      <c r="M110" s="1">
        <v>24381</v>
      </c>
      <c r="N110" s="1">
        <v>26056</v>
      </c>
      <c r="O110" s="1">
        <v>23938</v>
      </c>
      <c r="P110" s="1">
        <v>22412</v>
      </c>
      <c r="Q110" s="1">
        <v>27070</v>
      </c>
      <c r="R110" s="1">
        <v>21068</v>
      </c>
      <c r="S110" s="1">
        <v>17648</v>
      </c>
      <c r="T110" s="1">
        <v>13951</v>
      </c>
      <c r="U110" s="1">
        <v>9769</v>
      </c>
      <c r="V110" s="1">
        <v>5947</v>
      </c>
      <c r="W110" s="1">
        <v>3072</v>
      </c>
      <c r="X110" s="9">
        <f>SUM(Table2[[#This Row],[Age 20 to 24]:[Age 90 and Over]])</f>
        <v>262128</v>
      </c>
      <c r="Y110" s="9">
        <f>_xlfn.XLOOKUP(Table2[[#This Row],[Area]],Referendum!E:E,Referendum!L:L,"")</f>
        <v>78779</v>
      </c>
      <c r="Z110" s="9">
        <f>_xlfn.XLOOKUP(Table2[[#This Row],[Area]],Referendum!E:E,Referendum!M:M,"")</f>
        <v>120136</v>
      </c>
      <c r="AA110" s="10">
        <f>(Table2[[#This Row],[Leave Votes]]+Table2[[#This Row],[Remain Votes]])/Table2[[#This Row],[Residents Age &gt;=20]]</f>
        <v>0.75884682292620398</v>
      </c>
      <c r="AB110" s="10">
        <f>Table2[[#This Row],[Remain Votes]]/Table2[[#This Row],[Residents Age &gt;=20]]</f>
        <v>0.30053637917353354</v>
      </c>
      <c r="AC110" s="10">
        <f>Table2[[#This Row],[Leave Votes]]/Table2[[#This Row],[Residents Age &gt;=20]]</f>
        <v>0.45831044375267044</v>
      </c>
    </row>
    <row r="111" spans="1:29" x14ac:dyDescent="0.45">
      <c r="A111" t="s">
        <v>830</v>
      </c>
      <c r="B111" t="s">
        <v>279</v>
      </c>
      <c r="C111" t="s">
        <v>280</v>
      </c>
      <c r="D111" s="1">
        <v>113583</v>
      </c>
      <c r="E111" s="1">
        <v>7002</v>
      </c>
      <c r="F111" s="1">
        <v>6556</v>
      </c>
      <c r="G111" s="1">
        <v>6694</v>
      </c>
      <c r="H111" s="1">
        <v>7184</v>
      </c>
      <c r="I111" s="1">
        <v>6722</v>
      </c>
      <c r="J111" s="1">
        <v>7199</v>
      </c>
      <c r="K111" s="1">
        <v>6846</v>
      </c>
      <c r="L111" s="1">
        <v>7349</v>
      </c>
      <c r="M111" s="1">
        <v>8657</v>
      </c>
      <c r="N111" s="1">
        <v>8838</v>
      </c>
      <c r="O111" s="1">
        <v>7780</v>
      </c>
      <c r="P111" s="1">
        <v>6630</v>
      </c>
      <c r="Q111" s="1">
        <v>6995</v>
      </c>
      <c r="R111" s="1">
        <v>5740</v>
      </c>
      <c r="S111" s="1">
        <v>4629</v>
      </c>
      <c r="T111" s="1">
        <v>3713</v>
      </c>
      <c r="U111" s="1">
        <v>2729</v>
      </c>
      <c r="V111" s="1">
        <v>1554</v>
      </c>
      <c r="W111">
        <v>766</v>
      </c>
      <c r="X111" s="9">
        <f>SUM(Table2[[#This Row],[Age 20 to 24]:[Age 90 and Over]])</f>
        <v>86147</v>
      </c>
      <c r="Y111" s="9">
        <f>_xlfn.XLOOKUP(Table2[[#This Row],[Area]],Referendum!E:E,Referendum!L:L,"")</f>
        <v>22850</v>
      </c>
      <c r="Z111" s="9">
        <f>_xlfn.XLOOKUP(Table2[[#This Row],[Area]],Referendum!E:E,Referendum!M:M,"")</f>
        <v>39266</v>
      </c>
      <c r="AA111" s="10">
        <f>(Table2[[#This Row],[Leave Votes]]+Table2[[#This Row],[Remain Votes]])/Table2[[#This Row],[Residents Age &gt;=20]]</f>
        <v>0.72104658316598369</v>
      </c>
      <c r="AB111" s="10">
        <f>Table2[[#This Row],[Remain Votes]]/Table2[[#This Row],[Residents Age &gt;=20]]</f>
        <v>0.26524429173389669</v>
      </c>
      <c r="AC111" s="10">
        <f>Table2[[#This Row],[Leave Votes]]/Table2[[#This Row],[Residents Age &gt;=20]]</f>
        <v>0.455802291432087</v>
      </c>
    </row>
    <row r="112" spans="1:29" x14ac:dyDescent="0.45">
      <c r="A112" t="s">
        <v>830</v>
      </c>
      <c r="B112" t="s">
        <v>513</v>
      </c>
      <c r="C112" t="s">
        <v>514</v>
      </c>
      <c r="D112" s="1">
        <v>99412</v>
      </c>
      <c r="E112" s="1">
        <v>5327</v>
      </c>
      <c r="F112" s="1">
        <v>4867</v>
      </c>
      <c r="G112" s="1">
        <v>5380</v>
      </c>
      <c r="H112" s="1">
        <v>6251</v>
      </c>
      <c r="I112" s="1">
        <v>6093</v>
      </c>
      <c r="J112" s="1">
        <v>6063</v>
      </c>
      <c r="K112" s="1">
        <v>5712</v>
      </c>
      <c r="L112" s="1">
        <v>5924</v>
      </c>
      <c r="M112" s="1">
        <v>6559</v>
      </c>
      <c r="N112" s="1">
        <v>6742</v>
      </c>
      <c r="O112" s="1">
        <v>6008</v>
      </c>
      <c r="P112" s="1">
        <v>5544</v>
      </c>
      <c r="Q112" s="1">
        <v>6639</v>
      </c>
      <c r="R112" s="1">
        <v>5350</v>
      </c>
      <c r="S112" s="1">
        <v>4735</v>
      </c>
      <c r="T112" s="1">
        <v>4223</v>
      </c>
      <c r="U112" s="1">
        <v>3797</v>
      </c>
      <c r="V112" s="1">
        <v>2586</v>
      </c>
      <c r="W112" s="1">
        <v>1612</v>
      </c>
      <c r="X112" s="9">
        <f>SUM(Table2[[#This Row],[Age 20 to 24]:[Age 90 and Over]])</f>
        <v>77587</v>
      </c>
      <c r="Y112" s="9">
        <f>_xlfn.XLOOKUP(Table2[[#This Row],[Area]],Referendum!E:E,Referendum!L:L,"")</f>
        <v>22845</v>
      </c>
      <c r="Z112" s="9">
        <f>_xlfn.XLOOKUP(Table2[[#This Row],[Area]],Referendum!E:E,Referendum!M:M,"")</f>
        <v>30700</v>
      </c>
      <c r="AA112" s="10">
        <f>(Table2[[#This Row],[Leave Votes]]+Table2[[#This Row],[Remain Votes]])/Table2[[#This Row],[Residents Age &gt;=20]]</f>
        <v>0.69012850090865741</v>
      </c>
      <c r="AB112" s="10">
        <f>Table2[[#This Row],[Remain Votes]]/Table2[[#This Row],[Residents Age &gt;=20]]</f>
        <v>0.29444365679817497</v>
      </c>
      <c r="AC112" s="10">
        <f>Table2[[#This Row],[Leave Votes]]/Table2[[#This Row],[Residents Age &gt;=20]]</f>
        <v>0.39568484411048244</v>
      </c>
    </row>
    <row r="113" spans="1:29" x14ac:dyDescent="0.45">
      <c r="A113" t="s">
        <v>830</v>
      </c>
      <c r="B113" t="s">
        <v>527</v>
      </c>
      <c r="C113" t="s">
        <v>528</v>
      </c>
      <c r="D113" s="1">
        <v>125199</v>
      </c>
      <c r="E113" s="1">
        <v>7737</v>
      </c>
      <c r="F113" s="1">
        <v>6983</v>
      </c>
      <c r="G113" s="1">
        <v>7399</v>
      </c>
      <c r="H113" s="1">
        <v>7527</v>
      </c>
      <c r="I113" s="1">
        <v>7269</v>
      </c>
      <c r="J113" s="1">
        <v>7295</v>
      </c>
      <c r="K113" s="1">
        <v>7848</v>
      </c>
      <c r="L113" s="1">
        <v>8645</v>
      </c>
      <c r="M113" s="1">
        <v>9351</v>
      </c>
      <c r="N113" s="1">
        <v>9750</v>
      </c>
      <c r="O113" s="1">
        <v>8843</v>
      </c>
      <c r="P113" s="1">
        <v>7647</v>
      </c>
      <c r="Q113" s="1">
        <v>8074</v>
      </c>
      <c r="R113" s="1">
        <v>5980</v>
      </c>
      <c r="S113" s="1">
        <v>4951</v>
      </c>
      <c r="T113" s="1">
        <v>3974</v>
      </c>
      <c r="U113" s="1">
        <v>3136</v>
      </c>
      <c r="V113" s="1">
        <v>1838</v>
      </c>
      <c r="W113">
        <v>952</v>
      </c>
      <c r="X113" s="9">
        <f>SUM(Table2[[#This Row],[Age 20 to 24]:[Age 90 and Over]])</f>
        <v>95553</v>
      </c>
      <c r="Y113" s="9">
        <f>_xlfn.XLOOKUP(Table2[[#This Row],[Area]],Referendum!E:E,Referendum!L:L,"")</f>
        <v>36172</v>
      </c>
      <c r="Z113" s="9">
        <f>_xlfn.XLOOKUP(Table2[[#This Row],[Area]],Referendum!E:E,Referendum!M:M,"")</f>
        <v>39902</v>
      </c>
      <c r="AA113" s="10">
        <f>(Table2[[#This Row],[Leave Votes]]+Table2[[#This Row],[Remain Votes]])/Table2[[#This Row],[Residents Age &gt;=20]]</f>
        <v>0.79614454805186652</v>
      </c>
      <c r="AB113" s="10">
        <f>Table2[[#This Row],[Remain Votes]]/Table2[[#This Row],[Residents Age &gt;=20]]</f>
        <v>0.37855431017341162</v>
      </c>
      <c r="AC113" s="10">
        <f>Table2[[#This Row],[Leave Votes]]/Table2[[#This Row],[Residents Age &gt;=20]]</f>
        <v>0.4175902378784549</v>
      </c>
    </row>
    <row r="114" spans="1:29" x14ac:dyDescent="0.45">
      <c r="A114" t="s">
        <v>830</v>
      </c>
      <c r="B114" t="s">
        <v>99</v>
      </c>
      <c r="C114" t="s">
        <v>100</v>
      </c>
      <c r="D114" s="1">
        <v>52564</v>
      </c>
      <c r="E114" s="1">
        <v>2383</v>
      </c>
      <c r="F114" s="1">
        <v>2599</v>
      </c>
      <c r="G114" s="1">
        <v>2947</v>
      </c>
      <c r="H114" s="1">
        <v>2975</v>
      </c>
      <c r="I114" s="1">
        <v>2442</v>
      </c>
      <c r="J114" s="1">
        <v>2323</v>
      </c>
      <c r="K114" s="1">
        <v>2355</v>
      </c>
      <c r="L114" s="1">
        <v>2888</v>
      </c>
      <c r="M114" s="1">
        <v>3973</v>
      </c>
      <c r="N114" s="1">
        <v>4194</v>
      </c>
      <c r="O114" s="1">
        <v>3869</v>
      </c>
      <c r="P114" s="1">
        <v>3744</v>
      </c>
      <c r="Q114" s="1">
        <v>4343</v>
      </c>
      <c r="R114" s="1">
        <v>3480</v>
      </c>
      <c r="S114" s="1">
        <v>2808</v>
      </c>
      <c r="T114" s="1">
        <v>2143</v>
      </c>
      <c r="U114" s="1">
        <v>1660</v>
      </c>
      <c r="V114">
        <v>978</v>
      </c>
      <c r="W114">
        <v>460</v>
      </c>
      <c r="X114" s="9">
        <f>SUM(Table2[[#This Row],[Age 20 to 24]:[Age 90 and Over]])</f>
        <v>41660</v>
      </c>
      <c r="Y114" s="9">
        <f>_xlfn.XLOOKUP(Table2[[#This Row],[Area]],Referendum!E:E,Referendum!L:L,"")</f>
        <v>14807</v>
      </c>
      <c r="Z114" s="9">
        <f>_xlfn.XLOOKUP(Table2[[#This Row],[Area]],Referendum!E:E,Referendum!M:M,"")</f>
        <v>16911</v>
      </c>
      <c r="AA114" s="10">
        <f>(Table2[[#This Row],[Leave Votes]]+Table2[[#This Row],[Remain Votes]])/Table2[[#This Row],[Residents Age &gt;=20]]</f>
        <v>0.76135381661065771</v>
      </c>
      <c r="AB114" s="10">
        <f>Table2[[#This Row],[Remain Votes]]/Table2[[#This Row],[Residents Age &gt;=20]]</f>
        <v>0.35542486797887662</v>
      </c>
      <c r="AC114" s="10">
        <f>Table2[[#This Row],[Leave Votes]]/Table2[[#This Row],[Residents Age &gt;=20]]</f>
        <v>0.40592894863178108</v>
      </c>
    </row>
    <row r="115" spans="1:29" x14ac:dyDescent="0.45">
      <c r="A115" t="s">
        <v>837</v>
      </c>
      <c r="B115" t="s">
        <v>759</v>
      </c>
      <c r="C115" t="s">
        <v>760</v>
      </c>
      <c r="D115" s="1">
        <v>27700</v>
      </c>
      <c r="E115" s="1">
        <v>1400</v>
      </c>
      <c r="F115" s="1">
        <v>1400</v>
      </c>
      <c r="G115" s="1">
        <v>1500</v>
      </c>
      <c r="H115" s="1">
        <v>1600</v>
      </c>
      <c r="I115" s="1">
        <v>1200</v>
      </c>
      <c r="J115" s="1">
        <v>1300</v>
      </c>
      <c r="K115" s="1">
        <v>1400</v>
      </c>
      <c r="L115" s="1">
        <v>1600</v>
      </c>
      <c r="M115" s="1">
        <v>2100</v>
      </c>
      <c r="N115" s="1">
        <v>2100</v>
      </c>
      <c r="O115" s="1">
        <v>2000</v>
      </c>
      <c r="P115" s="1">
        <v>2000</v>
      </c>
      <c r="Q115" s="1">
        <v>2200</v>
      </c>
      <c r="R115" s="1">
        <v>1700</v>
      </c>
      <c r="S115" s="1">
        <v>1500</v>
      </c>
      <c r="T115" s="1">
        <v>1100</v>
      </c>
      <c r="U115" s="1">
        <v>1600</v>
      </c>
      <c r="X115" s="9">
        <f>SUM(Table2[[#This Row],[Age 20 to 24]:[Age 90 and Over]])</f>
        <v>21800</v>
      </c>
      <c r="Y115" s="9">
        <f>_xlfn.XLOOKUP(Table2[[#This Row],[Area]],Referendum!E:E,Referendum!L:L,"")</f>
        <v>8232</v>
      </c>
      <c r="Z115" s="9">
        <f>_xlfn.XLOOKUP(Table2[[#This Row],[Area]],Referendum!E:E,Referendum!M:M,"")</f>
        <v>6671</v>
      </c>
      <c r="AA115" s="10">
        <f>(Table2[[#This Row],[Leave Votes]]+Table2[[#This Row],[Remain Votes]])/Table2[[#This Row],[Residents Age &gt;=20]]</f>
        <v>0.68362385321100916</v>
      </c>
      <c r="AB115" s="10">
        <f>Table2[[#This Row],[Remain Votes]]/Table2[[#This Row],[Residents Age &gt;=20]]</f>
        <v>0.37761467889908257</v>
      </c>
      <c r="AC115" s="10">
        <f>Table2[[#This Row],[Leave Votes]]/Table2[[#This Row],[Residents Age &gt;=20]]</f>
        <v>0.30600917431192659</v>
      </c>
    </row>
    <row r="116" spans="1:29" x14ac:dyDescent="0.45">
      <c r="A116" t="s">
        <v>830</v>
      </c>
      <c r="B116" t="s">
        <v>579</v>
      </c>
      <c r="C116" t="s">
        <v>580</v>
      </c>
      <c r="D116" s="1">
        <v>130875</v>
      </c>
      <c r="E116" s="1">
        <v>9358</v>
      </c>
      <c r="F116" s="1">
        <v>8639</v>
      </c>
      <c r="G116" s="1">
        <v>8315</v>
      </c>
      <c r="H116" s="1">
        <v>7155</v>
      </c>
      <c r="I116" s="1">
        <v>5109</v>
      </c>
      <c r="J116" s="1">
        <v>6036</v>
      </c>
      <c r="K116" s="1">
        <v>8430</v>
      </c>
      <c r="L116" s="1">
        <v>10219</v>
      </c>
      <c r="M116" s="1">
        <v>10958</v>
      </c>
      <c r="N116" s="1">
        <v>11045</v>
      </c>
      <c r="O116" s="1">
        <v>9006</v>
      </c>
      <c r="P116" s="1">
        <v>7419</v>
      </c>
      <c r="Q116" s="1">
        <v>7668</v>
      </c>
      <c r="R116" s="1">
        <v>5818</v>
      </c>
      <c r="S116" s="1">
        <v>4722</v>
      </c>
      <c r="T116" s="1">
        <v>4043</v>
      </c>
      <c r="U116" s="1">
        <v>3273</v>
      </c>
      <c r="V116" s="1">
        <v>2344</v>
      </c>
      <c r="W116" s="1">
        <v>1318</v>
      </c>
      <c r="X116" s="9">
        <f>SUM(Table2[[#This Row],[Age 20 to 24]:[Age 90 and Over]])</f>
        <v>97408</v>
      </c>
      <c r="Y116" s="9">
        <f>_xlfn.XLOOKUP(Table2[[#This Row],[Area]],Referendum!E:E,Referendum!L:L,"")</f>
        <v>45841</v>
      </c>
      <c r="Z116" s="9">
        <f>_xlfn.XLOOKUP(Table2[[#This Row],[Area]],Referendum!E:E,Referendum!M:M,"")</f>
        <v>31162</v>
      </c>
      <c r="AA116" s="10">
        <f>(Table2[[#This Row],[Leave Votes]]+Table2[[#This Row],[Remain Votes]])/Table2[[#This Row],[Residents Age &gt;=20]]</f>
        <v>0.79052028580814715</v>
      </c>
      <c r="AB116" s="10">
        <f>Table2[[#This Row],[Remain Votes]]/Table2[[#This Row],[Residents Age &gt;=20]]</f>
        <v>0.4706081636005256</v>
      </c>
      <c r="AC116" s="10">
        <f>Table2[[#This Row],[Leave Votes]]/Table2[[#This Row],[Residents Age &gt;=20]]</f>
        <v>0.31991212220762155</v>
      </c>
    </row>
    <row r="117" spans="1:29" x14ac:dyDescent="0.45">
      <c r="A117" t="s">
        <v>830</v>
      </c>
      <c r="B117" t="s">
        <v>431</v>
      </c>
      <c r="C117" t="s">
        <v>432</v>
      </c>
      <c r="D117" s="1">
        <v>312466</v>
      </c>
      <c r="E117" s="1">
        <v>24513</v>
      </c>
      <c r="F117" s="1">
        <v>20930</v>
      </c>
      <c r="G117" s="1">
        <v>20305</v>
      </c>
      <c r="H117" s="1">
        <v>20511</v>
      </c>
      <c r="I117" s="1">
        <v>21726</v>
      </c>
      <c r="J117" s="1">
        <v>24957</v>
      </c>
      <c r="K117" s="1">
        <v>24129</v>
      </c>
      <c r="L117" s="1">
        <v>22210</v>
      </c>
      <c r="M117" s="1">
        <v>23846</v>
      </c>
      <c r="N117" s="1">
        <v>22897</v>
      </c>
      <c r="O117" s="1">
        <v>18969</v>
      </c>
      <c r="P117" s="1">
        <v>14988</v>
      </c>
      <c r="Q117" s="1">
        <v>13652</v>
      </c>
      <c r="R117" s="1">
        <v>11164</v>
      </c>
      <c r="S117" s="1">
        <v>9228</v>
      </c>
      <c r="T117" s="1">
        <v>7620</v>
      </c>
      <c r="U117" s="1">
        <v>5539</v>
      </c>
      <c r="V117" s="1">
        <v>3449</v>
      </c>
      <c r="W117" s="1">
        <v>1833</v>
      </c>
      <c r="X117" s="9">
        <f>SUM(Table2[[#This Row],[Age 20 to 24]:[Age 90 and Over]])</f>
        <v>226207</v>
      </c>
      <c r="Y117" s="9">
        <f>_xlfn.XLOOKUP(Table2[[#This Row],[Area]],Referendum!E:E,Referendum!L:L,"")</f>
        <v>76425</v>
      </c>
      <c r="Z117" s="9">
        <f>_xlfn.XLOOKUP(Table2[[#This Row],[Area]],Referendum!E:E,Referendum!M:M,"")</f>
        <v>60481</v>
      </c>
      <c r="AA117" s="10">
        <f>(Table2[[#This Row],[Leave Votes]]+Table2[[#This Row],[Remain Votes]])/Table2[[#This Row],[Residents Age &gt;=20]]</f>
        <v>0.60522441834249163</v>
      </c>
      <c r="AB117" s="10">
        <f>Table2[[#This Row],[Remain Votes]]/Table2[[#This Row],[Residents Age &gt;=20]]</f>
        <v>0.33785426622518311</v>
      </c>
      <c r="AC117" s="10">
        <f>Table2[[#This Row],[Leave Votes]]/Table2[[#This Row],[Residents Age &gt;=20]]</f>
        <v>0.26737015211730847</v>
      </c>
    </row>
    <row r="118" spans="1:29" x14ac:dyDescent="0.45">
      <c r="A118" t="s">
        <v>830</v>
      </c>
      <c r="B118" t="s">
        <v>351</v>
      </c>
      <c r="C118" t="s">
        <v>352</v>
      </c>
      <c r="D118" s="1">
        <v>124659</v>
      </c>
      <c r="E118" s="1">
        <v>7366</v>
      </c>
      <c r="F118" s="1">
        <v>6831</v>
      </c>
      <c r="G118" s="1">
        <v>7235</v>
      </c>
      <c r="H118" s="1">
        <v>7384</v>
      </c>
      <c r="I118" s="1">
        <v>6663</v>
      </c>
      <c r="J118" s="1">
        <v>6624</v>
      </c>
      <c r="K118" s="1">
        <v>7517</v>
      </c>
      <c r="L118" s="1">
        <v>8378</v>
      </c>
      <c r="M118" s="1">
        <v>9647</v>
      </c>
      <c r="N118" s="1">
        <v>9925</v>
      </c>
      <c r="O118" s="1">
        <v>8625</v>
      </c>
      <c r="P118" s="1">
        <v>7619</v>
      </c>
      <c r="Q118" s="1">
        <v>8295</v>
      </c>
      <c r="R118" s="1">
        <v>6426</v>
      </c>
      <c r="S118" s="1">
        <v>5038</v>
      </c>
      <c r="T118" s="1">
        <v>4274</v>
      </c>
      <c r="U118" s="1">
        <v>3469</v>
      </c>
      <c r="V118" s="1">
        <v>2178</v>
      </c>
      <c r="W118" s="1">
        <v>1165</v>
      </c>
      <c r="X118" s="9">
        <f>SUM(Table2[[#This Row],[Age 20 to 24]:[Age 90 and Over]])</f>
        <v>95843</v>
      </c>
      <c r="Y118" s="9">
        <f>_xlfn.XLOOKUP(Table2[[#This Row],[Area]],Referendum!E:E,Referendum!L:L,"")</f>
        <v>28676</v>
      </c>
      <c r="Z118" s="9">
        <f>_xlfn.XLOOKUP(Table2[[#This Row],[Area]],Referendum!E:E,Referendum!M:M,"")</f>
        <v>48176</v>
      </c>
      <c r="AA118" s="10">
        <f>(Table2[[#This Row],[Leave Votes]]+Table2[[#This Row],[Remain Votes]])/Table2[[#This Row],[Residents Age &gt;=20]]</f>
        <v>0.8018530304769258</v>
      </c>
      <c r="AB118" s="10">
        <f>Table2[[#This Row],[Remain Votes]]/Table2[[#This Row],[Residents Age &gt;=20]]</f>
        <v>0.29919764615047528</v>
      </c>
      <c r="AC118" s="10">
        <f>Table2[[#This Row],[Leave Votes]]/Table2[[#This Row],[Residents Age &gt;=20]]</f>
        <v>0.50265538432645052</v>
      </c>
    </row>
    <row r="119" spans="1:29" x14ac:dyDescent="0.45">
      <c r="A119" t="s">
        <v>830</v>
      </c>
      <c r="B119" t="s">
        <v>581</v>
      </c>
      <c r="C119" t="s">
        <v>582</v>
      </c>
      <c r="D119" s="1">
        <v>75102</v>
      </c>
      <c r="E119" s="1">
        <v>4628</v>
      </c>
      <c r="F119" s="1">
        <v>4415</v>
      </c>
      <c r="G119" s="1">
        <v>4737</v>
      </c>
      <c r="H119" s="1">
        <v>4684</v>
      </c>
      <c r="I119" s="1">
        <v>4182</v>
      </c>
      <c r="J119" s="1">
        <v>3952</v>
      </c>
      <c r="K119" s="1">
        <v>4640</v>
      </c>
      <c r="L119" s="1">
        <v>5368</v>
      </c>
      <c r="M119" s="1">
        <v>5904</v>
      </c>
      <c r="N119" s="1">
        <v>6005</v>
      </c>
      <c r="O119" s="1">
        <v>4972</v>
      </c>
      <c r="P119" s="1">
        <v>4274</v>
      </c>
      <c r="Q119" s="1">
        <v>4766</v>
      </c>
      <c r="R119" s="1">
        <v>3502</v>
      </c>
      <c r="S119" s="1">
        <v>2872</v>
      </c>
      <c r="T119" s="1">
        <v>2416</v>
      </c>
      <c r="U119" s="1">
        <v>1851</v>
      </c>
      <c r="V119" s="1">
        <v>1249</v>
      </c>
      <c r="W119">
        <v>685</v>
      </c>
      <c r="X119" s="9">
        <f>SUM(Table2[[#This Row],[Age 20 to 24]:[Age 90 and Over]])</f>
        <v>56638</v>
      </c>
      <c r="Y119" s="9">
        <f>_xlfn.XLOOKUP(Table2[[#This Row],[Area]],Referendum!E:E,Referendum!L:L,"")</f>
        <v>23596</v>
      </c>
      <c r="Z119" s="9">
        <f>_xlfn.XLOOKUP(Table2[[#This Row],[Area]],Referendum!E:E,Referendum!M:M,"")</f>
        <v>21707</v>
      </c>
      <c r="AA119" s="10">
        <f>(Table2[[#This Row],[Leave Votes]]+Table2[[#This Row],[Remain Votes]])/Table2[[#This Row],[Residents Age &gt;=20]]</f>
        <v>0.79986934566898549</v>
      </c>
      <c r="AB119" s="10">
        <f>Table2[[#This Row],[Remain Votes]]/Table2[[#This Row],[Residents Age &gt;=20]]</f>
        <v>0.4166107560295208</v>
      </c>
      <c r="AC119" s="10">
        <f>Table2[[#This Row],[Leave Votes]]/Table2[[#This Row],[Residents Age &gt;=20]]</f>
        <v>0.38325858963946469</v>
      </c>
    </row>
    <row r="120" spans="1:29" x14ac:dyDescent="0.45">
      <c r="A120" t="s">
        <v>830</v>
      </c>
      <c r="B120" t="s">
        <v>189</v>
      </c>
      <c r="C120" t="s">
        <v>190</v>
      </c>
      <c r="D120" s="1">
        <v>112081</v>
      </c>
      <c r="E120" s="1">
        <v>6527</v>
      </c>
      <c r="F120" s="1">
        <v>5935</v>
      </c>
      <c r="G120" s="1">
        <v>6188</v>
      </c>
      <c r="H120" s="1">
        <v>7028</v>
      </c>
      <c r="I120" s="1">
        <v>6714</v>
      </c>
      <c r="J120" s="1">
        <v>6407</v>
      </c>
      <c r="K120" s="1">
        <v>6480</v>
      </c>
      <c r="L120" s="1">
        <v>7395</v>
      </c>
      <c r="M120" s="1">
        <v>9001</v>
      </c>
      <c r="N120" s="1">
        <v>9057</v>
      </c>
      <c r="O120" s="1">
        <v>7498</v>
      </c>
      <c r="P120" s="1">
        <v>6644</v>
      </c>
      <c r="Q120" s="1">
        <v>7211</v>
      </c>
      <c r="R120" s="1">
        <v>5954</v>
      </c>
      <c r="S120" s="1">
        <v>4703</v>
      </c>
      <c r="T120" s="1">
        <v>3947</v>
      </c>
      <c r="U120" s="1">
        <v>2757</v>
      </c>
      <c r="V120" s="1">
        <v>1714</v>
      </c>
      <c r="W120">
        <v>921</v>
      </c>
      <c r="X120" s="9">
        <f>SUM(Table2[[#This Row],[Age 20 to 24]:[Age 90 and Over]])</f>
        <v>86403</v>
      </c>
      <c r="Y120" s="9">
        <f>_xlfn.XLOOKUP(Table2[[#This Row],[Area]],Referendum!E:E,Referendum!L:L,"")</f>
        <v>25791</v>
      </c>
      <c r="Z120" s="9">
        <f>_xlfn.XLOOKUP(Table2[[#This Row],[Area]],Referendum!E:E,Referendum!M:M,"")</f>
        <v>40739</v>
      </c>
      <c r="AA120" s="10">
        <f>(Table2[[#This Row],[Leave Votes]]+Table2[[#This Row],[Remain Votes]])/Table2[[#This Row],[Residents Age &gt;=20]]</f>
        <v>0.76999641216161474</v>
      </c>
      <c r="AB120" s="10">
        <f>Table2[[#This Row],[Remain Votes]]/Table2[[#This Row],[Residents Age &gt;=20]]</f>
        <v>0.29849657997986179</v>
      </c>
      <c r="AC120" s="10">
        <f>Table2[[#This Row],[Leave Votes]]/Table2[[#This Row],[Residents Age &gt;=20]]</f>
        <v>0.47149983218175295</v>
      </c>
    </row>
    <row r="121" spans="1:29" x14ac:dyDescent="0.45">
      <c r="A121" t="s">
        <v>830</v>
      </c>
      <c r="B121" t="s">
        <v>643</v>
      </c>
      <c r="C121" t="s">
        <v>644</v>
      </c>
      <c r="D121" s="1">
        <v>117773</v>
      </c>
      <c r="E121" s="1">
        <v>6747</v>
      </c>
      <c r="F121" s="1">
        <v>5535</v>
      </c>
      <c r="G121" s="1">
        <v>5329</v>
      </c>
      <c r="H121" s="1">
        <v>9396</v>
      </c>
      <c r="I121" s="1">
        <v>14155</v>
      </c>
      <c r="J121" s="1">
        <v>9027</v>
      </c>
      <c r="K121" s="1">
        <v>8066</v>
      </c>
      <c r="L121" s="1">
        <v>7333</v>
      </c>
      <c r="M121" s="1">
        <v>7603</v>
      </c>
      <c r="N121" s="1">
        <v>7593</v>
      </c>
      <c r="O121" s="1">
        <v>6683</v>
      </c>
      <c r="P121" s="1">
        <v>5890</v>
      </c>
      <c r="Q121" s="1">
        <v>6147</v>
      </c>
      <c r="R121" s="1">
        <v>4750</v>
      </c>
      <c r="S121" s="1">
        <v>3997</v>
      </c>
      <c r="T121" s="1">
        <v>3427</v>
      </c>
      <c r="U121" s="1">
        <v>3009</v>
      </c>
      <c r="V121" s="1">
        <v>2011</v>
      </c>
      <c r="W121" s="1">
        <v>1075</v>
      </c>
      <c r="X121" s="9">
        <f>SUM(Table2[[#This Row],[Age 20 to 24]:[Age 90 and Over]])</f>
        <v>90766</v>
      </c>
      <c r="Y121" s="9">
        <f>_xlfn.XLOOKUP(Table2[[#This Row],[Area]],Referendum!E:E,Referendum!L:L,"")</f>
        <v>35270</v>
      </c>
      <c r="Z121" s="9">
        <f>_xlfn.XLOOKUP(Table2[[#This Row],[Area]],Referendum!E:E,Referendum!M:M,"")</f>
        <v>28533</v>
      </c>
      <c r="AA121" s="10">
        <f>(Table2[[#This Row],[Leave Votes]]+Table2[[#This Row],[Remain Votes]])/Table2[[#This Row],[Residents Age &gt;=20]]</f>
        <v>0.70293942665755904</v>
      </c>
      <c r="AB121" s="10">
        <f>Table2[[#This Row],[Remain Votes]]/Table2[[#This Row],[Residents Age &gt;=20]]</f>
        <v>0.38858162748165614</v>
      </c>
      <c r="AC121" s="10">
        <f>Table2[[#This Row],[Leave Votes]]/Table2[[#This Row],[Residents Age &gt;=20]]</f>
        <v>0.3143577991759029</v>
      </c>
    </row>
    <row r="122" spans="1:29" x14ac:dyDescent="0.45">
      <c r="A122" t="s">
        <v>837</v>
      </c>
      <c r="B122" t="s">
        <v>725</v>
      </c>
      <c r="C122" t="s">
        <v>726</v>
      </c>
      <c r="D122" s="1">
        <v>156000</v>
      </c>
      <c r="E122" s="1">
        <v>9300</v>
      </c>
      <c r="F122" s="1">
        <v>8400</v>
      </c>
      <c r="G122" s="1">
        <v>8900</v>
      </c>
      <c r="H122" s="1">
        <v>9300</v>
      </c>
      <c r="I122" s="1">
        <v>8800</v>
      </c>
      <c r="J122" s="1">
        <v>9300</v>
      </c>
      <c r="K122" s="1">
        <v>9800</v>
      </c>
      <c r="L122" s="1">
        <v>11300</v>
      </c>
      <c r="M122" s="1">
        <v>12600</v>
      </c>
      <c r="N122" s="1">
        <v>12400</v>
      </c>
      <c r="O122" s="1">
        <v>11000</v>
      </c>
      <c r="P122" s="1">
        <v>9500</v>
      </c>
      <c r="Q122" s="1">
        <v>10100</v>
      </c>
      <c r="R122" s="1">
        <v>7600</v>
      </c>
      <c r="S122" s="1">
        <v>6500</v>
      </c>
      <c r="T122" s="1">
        <v>5100</v>
      </c>
      <c r="U122" s="1">
        <v>6200</v>
      </c>
      <c r="X122" s="9">
        <f>SUM(Table2[[#This Row],[Age 20 to 24]:[Age 90 and Over]])</f>
        <v>120200</v>
      </c>
      <c r="Y122" s="9">
        <f>_xlfn.XLOOKUP(Table2[[#This Row],[Area]],Referendum!E:E,Referendum!L:L,"")</f>
        <v>44987</v>
      </c>
      <c r="Z122" s="9">
        <f>_xlfn.XLOOKUP(Table2[[#This Row],[Area]],Referendum!E:E,Referendum!M:M,"")</f>
        <v>34271</v>
      </c>
      <c r="AA122" s="10">
        <f>(Table2[[#This Row],[Leave Votes]]+Table2[[#This Row],[Remain Votes]])/Table2[[#This Row],[Residents Age &gt;=20]]</f>
        <v>0.65938435940099838</v>
      </c>
      <c r="AB122" s="10">
        <f>Table2[[#This Row],[Remain Votes]]/Table2[[#This Row],[Residents Age &gt;=20]]</f>
        <v>0.37426788685524126</v>
      </c>
      <c r="AC122" s="10">
        <f>Table2[[#This Row],[Leave Votes]]/Table2[[#This Row],[Residents Age &gt;=20]]</f>
        <v>0.28511647254575706</v>
      </c>
    </row>
    <row r="123" spans="1:29" x14ac:dyDescent="0.45">
      <c r="A123" t="s">
        <v>830</v>
      </c>
      <c r="B123" t="s">
        <v>529</v>
      </c>
      <c r="C123" t="s">
        <v>530</v>
      </c>
      <c r="D123" s="1">
        <v>111581</v>
      </c>
      <c r="E123" s="1">
        <v>5578</v>
      </c>
      <c r="F123" s="1">
        <v>5798</v>
      </c>
      <c r="G123" s="1">
        <v>6696</v>
      </c>
      <c r="H123" s="1">
        <v>6683</v>
      </c>
      <c r="I123" s="1">
        <v>5761</v>
      </c>
      <c r="J123" s="1">
        <v>5406</v>
      </c>
      <c r="K123" s="1">
        <v>5474</v>
      </c>
      <c r="L123" s="1">
        <v>6985</v>
      </c>
      <c r="M123" s="1">
        <v>8584</v>
      </c>
      <c r="N123" s="1">
        <v>8990</v>
      </c>
      <c r="O123" s="1">
        <v>8053</v>
      </c>
      <c r="P123" s="1">
        <v>6961</v>
      </c>
      <c r="Q123" s="1">
        <v>7836</v>
      </c>
      <c r="R123" s="1">
        <v>6577</v>
      </c>
      <c r="S123" s="1">
        <v>5244</v>
      </c>
      <c r="T123" s="1">
        <v>4491</v>
      </c>
      <c r="U123" s="1">
        <v>3387</v>
      </c>
      <c r="V123" s="1">
        <v>2024</v>
      </c>
      <c r="W123" s="1">
        <v>1053</v>
      </c>
      <c r="X123" s="9">
        <f>SUM(Table2[[#This Row],[Age 20 to 24]:[Age 90 and Over]])</f>
        <v>86826</v>
      </c>
      <c r="Y123" s="9">
        <f>_xlfn.XLOOKUP(Table2[[#This Row],[Area]],Referendum!E:E,Referendum!L:L,"")</f>
        <v>32210</v>
      </c>
      <c r="Z123" s="9">
        <f>_xlfn.XLOOKUP(Table2[[#This Row],[Area]],Referendum!E:E,Referendum!M:M,"")</f>
        <v>39525</v>
      </c>
      <c r="AA123" s="10">
        <f>(Table2[[#This Row],[Leave Votes]]+Table2[[#This Row],[Remain Votes]])/Table2[[#This Row],[Residents Age &gt;=20]]</f>
        <v>0.82619261511528808</v>
      </c>
      <c r="AB123" s="10">
        <f>Table2[[#This Row],[Remain Votes]]/Table2[[#This Row],[Residents Age &gt;=20]]</f>
        <v>0.37097182871490109</v>
      </c>
      <c r="AC123" s="10">
        <f>Table2[[#This Row],[Leave Votes]]/Table2[[#This Row],[Residents Age &gt;=20]]</f>
        <v>0.45522078640038699</v>
      </c>
    </row>
    <row r="124" spans="1:29" x14ac:dyDescent="0.45">
      <c r="A124" t="s">
        <v>830</v>
      </c>
      <c r="B124" t="s">
        <v>333</v>
      </c>
      <c r="C124" t="s">
        <v>334</v>
      </c>
      <c r="D124" s="1">
        <v>95262</v>
      </c>
      <c r="E124" s="1">
        <v>5221</v>
      </c>
      <c r="F124" s="1">
        <v>4841</v>
      </c>
      <c r="G124" s="1">
        <v>5525</v>
      </c>
      <c r="H124" s="1">
        <v>5608</v>
      </c>
      <c r="I124" s="1">
        <v>5353</v>
      </c>
      <c r="J124" s="1">
        <v>5597</v>
      </c>
      <c r="K124" s="1">
        <v>5224</v>
      </c>
      <c r="L124" s="1">
        <v>5745</v>
      </c>
      <c r="M124" s="1">
        <v>6881</v>
      </c>
      <c r="N124" s="1">
        <v>6999</v>
      </c>
      <c r="O124" s="1">
        <v>6221</v>
      </c>
      <c r="P124" s="1">
        <v>6112</v>
      </c>
      <c r="Q124" s="1">
        <v>6616</v>
      </c>
      <c r="R124" s="1">
        <v>5523</v>
      </c>
      <c r="S124" s="1">
        <v>4572</v>
      </c>
      <c r="T124" s="1">
        <v>3779</v>
      </c>
      <c r="U124" s="1">
        <v>2919</v>
      </c>
      <c r="V124" s="1">
        <v>1690</v>
      </c>
      <c r="W124">
        <v>836</v>
      </c>
      <c r="X124" s="9">
        <f>SUM(Table2[[#This Row],[Age 20 to 24]:[Age 90 and Over]])</f>
        <v>74067</v>
      </c>
      <c r="Y124" s="9">
        <f>_xlfn.XLOOKUP(Table2[[#This Row],[Area]],Referendum!E:E,Referendum!L:L,"")</f>
        <v>15055</v>
      </c>
      <c r="Z124" s="9">
        <f>_xlfn.XLOOKUP(Table2[[#This Row],[Area]],Referendum!E:E,Referendum!M:M,"")</f>
        <v>37571</v>
      </c>
      <c r="AA124" s="10">
        <f>(Table2[[#This Row],[Leave Votes]]+Table2[[#This Row],[Remain Votes]])/Table2[[#This Row],[Residents Age &gt;=20]]</f>
        <v>0.71051885455060959</v>
      </c>
      <c r="AB124" s="10">
        <f>Table2[[#This Row],[Remain Votes]]/Table2[[#This Row],[Residents Age &gt;=20]]</f>
        <v>0.20326191151254944</v>
      </c>
      <c r="AC124" s="10">
        <f>Table2[[#This Row],[Leave Votes]]/Table2[[#This Row],[Residents Age &gt;=20]]</f>
        <v>0.50725694303806013</v>
      </c>
    </row>
    <row r="125" spans="1:29" x14ac:dyDescent="0.45">
      <c r="A125" t="s">
        <v>837</v>
      </c>
      <c r="B125" t="s">
        <v>727</v>
      </c>
      <c r="C125" t="s">
        <v>728</v>
      </c>
      <c r="D125" s="1">
        <v>365200</v>
      </c>
      <c r="E125" s="1">
        <v>20800</v>
      </c>
      <c r="F125" s="1">
        <v>19100</v>
      </c>
      <c r="G125" s="1">
        <v>20200</v>
      </c>
      <c r="H125" s="1">
        <v>22700</v>
      </c>
      <c r="I125" s="1">
        <v>24100</v>
      </c>
      <c r="J125" s="1">
        <v>20800</v>
      </c>
      <c r="K125" s="1">
        <v>20800</v>
      </c>
      <c r="L125" s="1">
        <v>23000</v>
      </c>
      <c r="M125" s="1">
        <v>27400</v>
      </c>
      <c r="N125" s="1">
        <v>28000</v>
      </c>
      <c r="O125" s="1">
        <v>26100</v>
      </c>
      <c r="P125" s="1">
        <v>23000</v>
      </c>
      <c r="Q125" s="1">
        <v>25000</v>
      </c>
      <c r="R125" s="1">
        <v>19500</v>
      </c>
      <c r="S125" s="1">
        <v>15700</v>
      </c>
      <c r="T125" s="1">
        <v>12400</v>
      </c>
      <c r="U125" s="1">
        <v>16500</v>
      </c>
      <c r="X125" s="9">
        <f>SUM(Table2[[#This Row],[Age 20 to 24]:[Age 90 and Over]])</f>
        <v>282300</v>
      </c>
      <c r="Y125" s="9">
        <f>_xlfn.XLOOKUP(Table2[[#This Row],[Area]],Referendum!E:E,Referendum!L:L,"")</f>
        <v>106754</v>
      </c>
      <c r="Z125" s="9">
        <f>_xlfn.XLOOKUP(Table2[[#This Row],[Area]],Referendum!E:E,Referendum!M:M,"")</f>
        <v>75466</v>
      </c>
      <c r="AA125" s="10">
        <f>(Table2[[#This Row],[Leave Votes]]+Table2[[#This Row],[Remain Votes]])/Table2[[#This Row],[Residents Age &gt;=20]]</f>
        <v>0.64548352816153032</v>
      </c>
      <c r="AB125" s="10">
        <f>Table2[[#This Row],[Remain Votes]]/Table2[[#This Row],[Residents Age &gt;=20]]</f>
        <v>0.37815798795607508</v>
      </c>
      <c r="AC125" s="10">
        <f>Table2[[#This Row],[Leave Votes]]/Table2[[#This Row],[Residents Age &gt;=20]]</f>
        <v>0.26732554020545518</v>
      </c>
    </row>
    <row r="126" spans="1:29" x14ac:dyDescent="0.45">
      <c r="A126" t="s">
        <v>830</v>
      </c>
      <c r="B126" t="s">
        <v>771</v>
      </c>
      <c r="C126" t="s">
        <v>772</v>
      </c>
      <c r="D126" s="1">
        <v>152506</v>
      </c>
      <c r="E126" s="1">
        <v>9349</v>
      </c>
      <c r="F126" s="1">
        <v>8373</v>
      </c>
      <c r="G126" s="1">
        <v>8997</v>
      </c>
      <c r="H126" s="1">
        <v>9497</v>
      </c>
      <c r="I126" s="1">
        <v>8970</v>
      </c>
      <c r="J126" s="1">
        <v>8547</v>
      </c>
      <c r="K126" s="1">
        <v>8377</v>
      </c>
      <c r="L126" s="1">
        <v>9724</v>
      </c>
      <c r="M126" s="1">
        <v>11475</v>
      </c>
      <c r="N126" s="1">
        <v>11715</v>
      </c>
      <c r="O126" s="1">
        <v>10113</v>
      </c>
      <c r="P126" s="1">
        <v>9504</v>
      </c>
      <c r="Q126" s="1">
        <v>11029</v>
      </c>
      <c r="R126" s="1">
        <v>8455</v>
      </c>
      <c r="S126" s="1">
        <v>6844</v>
      </c>
      <c r="T126" s="1">
        <v>4929</v>
      </c>
      <c r="U126" s="1">
        <v>3455</v>
      </c>
      <c r="V126" s="1">
        <v>2060</v>
      </c>
      <c r="W126" s="1">
        <v>1093</v>
      </c>
      <c r="X126" s="9">
        <f>SUM(Table2[[#This Row],[Age 20 to 24]:[Age 90 and Over]])</f>
        <v>116290</v>
      </c>
      <c r="Y126" s="9">
        <f>_xlfn.XLOOKUP(Table2[[#This Row],[Area]],Referendum!E:E,Referendum!L:L,"")</f>
        <v>37867</v>
      </c>
      <c r="Z126" s="9">
        <f>_xlfn.XLOOKUP(Table2[[#This Row],[Area]],Referendum!E:E,Referendum!M:M,"")</f>
        <v>48930</v>
      </c>
      <c r="AA126" s="10">
        <f>(Table2[[#This Row],[Leave Votes]]+Table2[[#This Row],[Remain Votes]])/Table2[[#This Row],[Residents Age &gt;=20]]</f>
        <v>0.74638403990024937</v>
      </c>
      <c r="AB126" s="10">
        <f>Table2[[#This Row],[Remain Votes]]/Table2[[#This Row],[Residents Age &gt;=20]]</f>
        <v>0.32562559119442774</v>
      </c>
      <c r="AC126" s="10">
        <f>Table2[[#This Row],[Leave Votes]]/Table2[[#This Row],[Residents Age &gt;=20]]</f>
        <v>0.42075844870582163</v>
      </c>
    </row>
    <row r="127" spans="1:29" x14ac:dyDescent="0.45">
      <c r="A127" t="s">
        <v>830</v>
      </c>
      <c r="B127" t="s">
        <v>399</v>
      </c>
      <c r="C127" t="s">
        <v>400</v>
      </c>
      <c r="D127" s="1">
        <v>59748</v>
      </c>
      <c r="E127" s="1">
        <v>4123</v>
      </c>
      <c r="F127" s="1">
        <v>3223</v>
      </c>
      <c r="G127" s="1">
        <v>3092</v>
      </c>
      <c r="H127" s="1">
        <v>2960</v>
      </c>
      <c r="I127" s="1">
        <v>4675</v>
      </c>
      <c r="J127" s="1">
        <v>5508</v>
      </c>
      <c r="K127" s="1">
        <v>4574</v>
      </c>
      <c r="L127" s="1">
        <v>3993</v>
      </c>
      <c r="M127" s="1">
        <v>3952</v>
      </c>
      <c r="N127" s="1">
        <v>3883</v>
      </c>
      <c r="O127" s="1">
        <v>3408</v>
      </c>
      <c r="P127" s="1">
        <v>3081</v>
      </c>
      <c r="Q127" s="1">
        <v>3582</v>
      </c>
      <c r="R127" s="1">
        <v>2756</v>
      </c>
      <c r="S127" s="1">
        <v>2307</v>
      </c>
      <c r="T127" s="1">
        <v>1882</v>
      </c>
      <c r="U127" s="1">
        <v>1450</v>
      </c>
      <c r="V127">
        <v>909</v>
      </c>
      <c r="W127">
        <v>390</v>
      </c>
      <c r="X127" s="9">
        <f>SUM(Table2[[#This Row],[Age 20 to 24]:[Age 90 and Over]])</f>
        <v>46350</v>
      </c>
      <c r="Y127" s="9">
        <f>_xlfn.XLOOKUP(Table2[[#This Row],[Area]],Referendum!E:E,Referendum!L:L,"")</f>
        <v>9791</v>
      </c>
      <c r="Z127" s="9">
        <f>_xlfn.XLOOKUP(Table2[[#This Row],[Area]],Referendum!E:E,Referendum!M:M,"")</f>
        <v>18160</v>
      </c>
      <c r="AA127" s="10">
        <f>(Table2[[#This Row],[Leave Votes]]+Table2[[#This Row],[Remain Votes]])/Table2[[#This Row],[Residents Age &gt;=20]]</f>
        <v>0.60304207119741104</v>
      </c>
      <c r="AB127" s="10">
        <f>Table2[[#This Row],[Remain Votes]]/Table2[[#This Row],[Residents Age &gt;=20]]</f>
        <v>0.2112405609492988</v>
      </c>
      <c r="AC127" s="10">
        <f>Table2[[#This Row],[Leave Votes]]/Table2[[#This Row],[Residents Age &gt;=20]]</f>
        <v>0.39180151024811222</v>
      </c>
    </row>
    <row r="128" spans="1:29" x14ac:dyDescent="0.45">
      <c r="A128" t="s">
        <v>830</v>
      </c>
      <c r="B128" t="s">
        <v>673</v>
      </c>
      <c r="C128" t="s">
        <v>674</v>
      </c>
      <c r="D128" s="1">
        <v>81961</v>
      </c>
      <c r="E128" s="1">
        <v>4055</v>
      </c>
      <c r="F128" s="1">
        <v>4119</v>
      </c>
      <c r="G128" s="1">
        <v>4779</v>
      </c>
      <c r="H128" s="1">
        <v>5518</v>
      </c>
      <c r="I128" s="1">
        <v>4200</v>
      </c>
      <c r="J128" s="1">
        <v>3601</v>
      </c>
      <c r="K128" s="1">
        <v>3530</v>
      </c>
      <c r="L128" s="1">
        <v>4687</v>
      </c>
      <c r="M128" s="1">
        <v>6120</v>
      </c>
      <c r="N128" s="1">
        <v>6353</v>
      </c>
      <c r="O128" s="1">
        <v>5932</v>
      </c>
      <c r="P128" s="1">
        <v>5700</v>
      </c>
      <c r="Q128" s="1">
        <v>6381</v>
      </c>
      <c r="R128" s="1">
        <v>5290</v>
      </c>
      <c r="S128" s="1">
        <v>4090</v>
      </c>
      <c r="T128" s="1">
        <v>3138</v>
      </c>
      <c r="U128" s="1">
        <v>2236</v>
      </c>
      <c r="V128" s="1">
        <v>1455</v>
      </c>
      <c r="W128">
        <v>777</v>
      </c>
      <c r="X128" s="9">
        <f>SUM(Table2[[#This Row],[Age 20 to 24]:[Age 90 and Over]])</f>
        <v>63490</v>
      </c>
      <c r="Y128" s="9">
        <f>_xlfn.XLOOKUP(Table2[[#This Row],[Area]],Referendum!E:E,Referendum!L:L,"")</f>
        <v>21392</v>
      </c>
      <c r="Z128" s="9">
        <f>_xlfn.XLOOKUP(Table2[[#This Row],[Area]],Referendum!E:E,Referendum!M:M,"")</f>
        <v>30251</v>
      </c>
      <c r="AA128" s="10">
        <f>(Table2[[#This Row],[Leave Votes]]+Table2[[#This Row],[Remain Votes]])/Table2[[#This Row],[Residents Age &gt;=20]]</f>
        <v>0.8134036856197826</v>
      </c>
      <c r="AB128" s="10">
        <f>Table2[[#This Row],[Remain Votes]]/Table2[[#This Row],[Residents Age &gt;=20]]</f>
        <v>0.33693495038588755</v>
      </c>
      <c r="AC128" s="10">
        <f>Table2[[#This Row],[Leave Votes]]/Table2[[#This Row],[Residents Age &gt;=20]]</f>
        <v>0.4764687352338951</v>
      </c>
    </row>
    <row r="129" spans="1:29" x14ac:dyDescent="0.45">
      <c r="A129" t="s">
        <v>830</v>
      </c>
      <c r="B129" t="s">
        <v>107</v>
      </c>
      <c r="C129" t="s">
        <v>108</v>
      </c>
      <c r="D129" s="1">
        <v>75757</v>
      </c>
      <c r="E129" s="1">
        <v>3612</v>
      </c>
      <c r="F129" s="1">
        <v>3577</v>
      </c>
      <c r="G129" s="1">
        <v>4008</v>
      </c>
      <c r="H129" s="1">
        <v>4087</v>
      </c>
      <c r="I129" s="1">
        <v>3393</v>
      </c>
      <c r="J129" s="1">
        <v>3591</v>
      </c>
      <c r="K129" s="1">
        <v>3452</v>
      </c>
      <c r="L129" s="1">
        <v>4165</v>
      </c>
      <c r="M129" s="1">
        <v>5361</v>
      </c>
      <c r="N129" s="1">
        <v>6009</v>
      </c>
      <c r="O129" s="1">
        <v>5548</v>
      </c>
      <c r="P129" s="1">
        <v>4916</v>
      </c>
      <c r="Q129" s="1">
        <v>5695</v>
      </c>
      <c r="R129" s="1">
        <v>5012</v>
      </c>
      <c r="S129" s="1">
        <v>4118</v>
      </c>
      <c r="T129" s="1">
        <v>3569</v>
      </c>
      <c r="U129" s="1">
        <v>2947</v>
      </c>
      <c r="V129" s="1">
        <v>1771</v>
      </c>
      <c r="W129">
        <v>926</v>
      </c>
      <c r="X129" s="9">
        <f>SUM(Table2[[#This Row],[Age 20 to 24]:[Age 90 and Over]])</f>
        <v>60473</v>
      </c>
      <c r="Y129" s="9">
        <f>_xlfn.XLOOKUP(Table2[[#This Row],[Area]],Referendum!E:E,Referendum!L:L,"")</f>
        <v>19889</v>
      </c>
      <c r="Z129" s="9">
        <f>_xlfn.XLOOKUP(Table2[[#This Row],[Area]],Referendum!E:E,Referendum!M:M,"")</f>
        <v>26317</v>
      </c>
      <c r="AA129" s="10">
        <f>(Table2[[#This Row],[Leave Votes]]+Table2[[#This Row],[Remain Votes]])/Table2[[#This Row],[Residents Age &gt;=20]]</f>
        <v>0.76407653002166254</v>
      </c>
      <c r="AB129" s="10">
        <f>Table2[[#This Row],[Remain Votes]]/Table2[[#This Row],[Residents Age &gt;=20]]</f>
        <v>0.32889057926678023</v>
      </c>
      <c r="AC129" s="10">
        <f>Table2[[#This Row],[Leave Votes]]/Table2[[#This Row],[Residents Age &gt;=20]]</f>
        <v>0.43518595075488237</v>
      </c>
    </row>
    <row r="130" spans="1:29" x14ac:dyDescent="0.45">
      <c r="A130" t="s">
        <v>830</v>
      </c>
      <c r="B130" t="s">
        <v>836</v>
      </c>
      <c r="C130" t="s">
        <v>24</v>
      </c>
      <c r="D130" s="1">
        <v>200214</v>
      </c>
      <c r="E130" s="1">
        <v>11869</v>
      </c>
      <c r="F130" s="1">
        <v>10310</v>
      </c>
      <c r="G130" s="1">
        <v>10880</v>
      </c>
      <c r="H130" s="1">
        <v>12170</v>
      </c>
      <c r="I130" s="1">
        <v>12104</v>
      </c>
      <c r="J130" s="1">
        <v>14059</v>
      </c>
      <c r="K130" s="1">
        <v>13110</v>
      </c>
      <c r="L130" s="1">
        <v>12880</v>
      </c>
      <c r="M130" s="1">
        <v>14476</v>
      </c>
      <c r="N130" s="1">
        <v>15053</v>
      </c>
      <c r="O130" s="1">
        <v>13790</v>
      </c>
      <c r="P130" s="1">
        <v>11672</v>
      </c>
      <c r="Q130" s="1">
        <v>12596</v>
      </c>
      <c r="R130" s="1">
        <v>9646</v>
      </c>
      <c r="S130" s="1">
        <v>8962</v>
      </c>
      <c r="T130" s="1">
        <v>7293</v>
      </c>
      <c r="U130" s="1">
        <v>5119</v>
      </c>
      <c r="V130" s="1">
        <v>2897</v>
      </c>
      <c r="W130" s="1">
        <v>1328</v>
      </c>
      <c r="X130" s="9">
        <f>SUM(Table2[[#This Row],[Age 20 to 24]:[Age 90 and Over]])</f>
        <v>154985</v>
      </c>
      <c r="Y130" s="9">
        <f>_xlfn.XLOOKUP(Table2[[#This Row],[Area]],Referendum!E:E,Referendum!L:L,"")</f>
        <v>44429</v>
      </c>
      <c r="Z130" s="9">
        <f>_xlfn.XLOOKUP(Table2[[#This Row],[Area]],Referendum!E:E,Referendum!M:M,"")</f>
        <v>58529</v>
      </c>
      <c r="AA130" s="10">
        <f>(Table2[[#This Row],[Leave Votes]]+Table2[[#This Row],[Remain Votes]])/Table2[[#This Row],[Residents Age &gt;=20]]</f>
        <v>0.66430944930154534</v>
      </c>
      <c r="AB130" s="10">
        <f>Table2[[#This Row],[Remain Votes]]/Table2[[#This Row],[Residents Age &gt;=20]]</f>
        <v>0.28666645159208953</v>
      </c>
      <c r="AC130" s="10">
        <f>Table2[[#This Row],[Leave Votes]]/Table2[[#This Row],[Residents Age &gt;=20]]</f>
        <v>0.37764299770945575</v>
      </c>
    </row>
    <row r="131" spans="1:29" x14ac:dyDescent="0.45">
      <c r="A131" t="s">
        <v>830</v>
      </c>
      <c r="B131" t="s">
        <v>245</v>
      </c>
      <c r="C131" t="s">
        <v>246</v>
      </c>
      <c r="D131" s="1">
        <v>113543</v>
      </c>
      <c r="E131" s="1">
        <v>6470</v>
      </c>
      <c r="F131" s="1">
        <v>5986</v>
      </c>
      <c r="G131" s="1">
        <v>6560</v>
      </c>
      <c r="H131" s="1">
        <v>6805</v>
      </c>
      <c r="I131" s="1">
        <v>6002</v>
      </c>
      <c r="J131" s="1">
        <v>6205</v>
      </c>
      <c r="K131" s="1">
        <v>6639</v>
      </c>
      <c r="L131" s="1">
        <v>7295</v>
      </c>
      <c r="M131" s="1">
        <v>8676</v>
      </c>
      <c r="N131" s="1">
        <v>8839</v>
      </c>
      <c r="O131" s="1">
        <v>8005</v>
      </c>
      <c r="P131" s="1">
        <v>7290</v>
      </c>
      <c r="Q131" s="1">
        <v>7755</v>
      </c>
      <c r="R131" s="1">
        <v>6024</v>
      </c>
      <c r="S131" s="1">
        <v>5090</v>
      </c>
      <c r="T131" s="1">
        <v>4133</v>
      </c>
      <c r="U131" s="1">
        <v>3042</v>
      </c>
      <c r="V131" s="1">
        <v>1891</v>
      </c>
      <c r="W131">
        <v>836</v>
      </c>
      <c r="X131" s="9">
        <f>SUM(Table2[[#This Row],[Age 20 to 24]:[Age 90 and Over]])</f>
        <v>87722</v>
      </c>
      <c r="Y131" s="9">
        <f>_xlfn.XLOOKUP(Table2[[#This Row],[Area]],Referendum!E:E,Referendum!L:L,"")</f>
        <v>30035</v>
      </c>
      <c r="Z131" s="9">
        <f>_xlfn.XLOOKUP(Table2[[#This Row],[Area]],Referendum!E:E,Referendum!M:M,"")</f>
        <v>37542</v>
      </c>
      <c r="AA131" s="10">
        <f>(Table2[[#This Row],[Leave Votes]]+Table2[[#This Row],[Remain Votes]])/Table2[[#This Row],[Residents Age &gt;=20]]</f>
        <v>0.77035407309454873</v>
      </c>
      <c r="AB131" s="10">
        <f>Table2[[#This Row],[Remain Votes]]/Table2[[#This Row],[Residents Age &gt;=20]]</f>
        <v>0.3423884544356034</v>
      </c>
      <c r="AC131" s="10">
        <f>Table2[[#This Row],[Leave Votes]]/Table2[[#This Row],[Residents Age &gt;=20]]</f>
        <v>0.42796561865894528</v>
      </c>
    </row>
    <row r="132" spans="1:29" x14ac:dyDescent="0.45">
      <c r="A132" t="s">
        <v>837</v>
      </c>
      <c r="B132" t="s">
        <v>729</v>
      </c>
      <c r="C132" t="s">
        <v>730</v>
      </c>
      <c r="D132" s="1">
        <v>593200</v>
      </c>
      <c r="E132" s="1">
        <v>33000</v>
      </c>
      <c r="F132" s="1">
        <v>27100</v>
      </c>
      <c r="G132" s="1">
        <v>29300</v>
      </c>
      <c r="H132" s="1">
        <v>39400</v>
      </c>
      <c r="I132" s="1">
        <v>56600</v>
      </c>
      <c r="J132" s="1">
        <v>55000</v>
      </c>
      <c r="K132" s="1">
        <v>46100</v>
      </c>
      <c r="L132" s="1">
        <v>40100</v>
      </c>
      <c r="M132" s="1">
        <v>43100</v>
      </c>
      <c r="N132" s="1">
        <v>43500</v>
      </c>
      <c r="O132" s="1">
        <v>38300</v>
      </c>
      <c r="P132" s="1">
        <v>31200</v>
      </c>
      <c r="Q132" s="1">
        <v>28400</v>
      </c>
      <c r="R132" s="1">
        <v>22100</v>
      </c>
      <c r="S132" s="1">
        <v>20300</v>
      </c>
      <c r="T132" s="1">
        <v>17300</v>
      </c>
      <c r="U132" s="1">
        <v>22400</v>
      </c>
      <c r="X132" s="9">
        <f>SUM(Table2[[#This Row],[Age 20 to 24]:[Age 90 and Over]])</f>
        <v>464400</v>
      </c>
      <c r="Y132" s="9">
        <f>_xlfn.XLOOKUP(Table2[[#This Row],[Area]],Referendum!E:E,Referendum!L:L,"")</f>
        <v>168335</v>
      </c>
      <c r="Z132" s="9">
        <f>_xlfn.XLOOKUP(Table2[[#This Row],[Area]],Referendum!E:E,Referendum!M:M,"")</f>
        <v>84474</v>
      </c>
      <c r="AA132" s="10">
        <f>(Table2[[#This Row],[Leave Votes]]+Table2[[#This Row],[Remain Votes]])/Table2[[#This Row],[Residents Age &gt;=20]]</f>
        <v>0.5443776916451335</v>
      </c>
      <c r="AB132" s="10">
        <f>Table2[[#This Row],[Remain Votes]]/Table2[[#This Row],[Residents Age &gt;=20]]</f>
        <v>0.36247846683893198</v>
      </c>
      <c r="AC132" s="10">
        <f>Table2[[#This Row],[Leave Votes]]/Table2[[#This Row],[Residents Age &gt;=20]]</f>
        <v>0.18189922480620155</v>
      </c>
    </row>
    <row r="133" spans="1:29" x14ac:dyDescent="0.45">
      <c r="A133" t="s">
        <v>830</v>
      </c>
      <c r="B133" t="s">
        <v>675</v>
      </c>
      <c r="C133" t="s">
        <v>676</v>
      </c>
      <c r="D133" s="1">
        <v>121688</v>
      </c>
      <c r="E133" s="1">
        <v>8239</v>
      </c>
      <c r="F133" s="1">
        <v>7113</v>
      </c>
      <c r="G133" s="1">
        <v>7274</v>
      </c>
      <c r="H133" s="1">
        <v>7903</v>
      </c>
      <c r="I133" s="1">
        <v>8402</v>
      </c>
      <c r="J133" s="1">
        <v>8720</v>
      </c>
      <c r="K133" s="1">
        <v>8181</v>
      </c>
      <c r="L133" s="1">
        <v>8200</v>
      </c>
      <c r="M133" s="1">
        <v>9232</v>
      </c>
      <c r="N133" s="1">
        <v>9188</v>
      </c>
      <c r="O133" s="1">
        <v>7997</v>
      </c>
      <c r="P133" s="1">
        <v>6589</v>
      </c>
      <c r="Q133" s="1">
        <v>6585</v>
      </c>
      <c r="R133" s="1">
        <v>5324</v>
      </c>
      <c r="S133" s="1">
        <v>4152</v>
      </c>
      <c r="T133" s="1">
        <v>3360</v>
      </c>
      <c r="U133" s="1">
        <v>2732</v>
      </c>
      <c r="V133" s="1">
        <v>1708</v>
      </c>
      <c r="W133">
        <v>789</v>
      </c>
      <c r="X133" s="9">
        <f>SUM(Table2[[#This Row],[Age 20 to 24]:[Age 90 and Over]])</f>
        <v>91159</v>
      </c>
      <c r="Y133" s="9">
        <f>_xlfn.XLOOKUP(Table2[[#This Row],[Area]],Referendum!E:E,Referendum!L:L,"")</f>
        <v>26801</v>
      </c>
      <c r="Z133" s="9">
        <f>_xlfn.XLOOKUP(Table2[[#This Row],[Area]],Referendum!E:E,Referendum!M:M,"")</f>
        <v>37776</v>
      </c>
      <c r="AA133" s="10">
        <f>(Table2[[#This Row],[Leave Votes]]+Table2[[#This Row],[Remain Votes]])/Table2[[#This Row],[Residents Age &gt;=20]]</f>
        <v>0.70839960947355718</v>
      </c>
      <c r="AB133" s="10">
        <f>Table2[[#This Row],[Remain Votes]]/Table2[[#This Row],[Residents Age &gt;=20]]</f>
        <v>0.29400278634035037</v>
      </c>
      <c r="AC133" s="10">
        <f>Table2[[#This Row],[Leave Votes]]/Table2[[#This Row],[Residents Age &gt;=20]]</f>
        <v>0.4143968231332068</v>
      </c>
    </row>
    <row r="134" spans="1:29" x14ac:dyDescent="0.45">
      <c r="A134" t="s">
        <v>830</v>
      </c>
      <c r="B134" t="s">
        <v>531</v>
      </c>
      <c r="C134" t="s">
        <v>532</v>
      </c>
      <c r="D134" s="1">
        <v>82622</v>
      </c>
      <c r="E134" s="1">
        <v>5425</v>
      </c>
      <c r="F134" s="1">
        <v>4725</v>
      </c>
      <c r="G134" s="1">
        <v>4936</v>
      </c>
      <c r="H134" s="1">
        <v>5110</v>
      </c>
      <c r="I134" s="1">
        <v>4979</v>
      </c>
      <c r="J134" s="1">
        <v>5405</v>
      </c>
      <c r="K134" s="1">
        <v>4954</v>
      </c>
      <c r="L134" s="1">
        <v>5430</v>
      </c>
      <c r="M134" s="1">
        <v>5942</v>
      </c>
      <c r="N134" s="1">
        <v>6147</v>
      </c>
      <c r="O134" s="1">
        <v>5688</v>
      </c>
      <c r="P134" s="1">
        <v>4603</v>
      </c>
      <c r="Q134" s="1">
        <v>5172</v>
      </c>
      <c r="R134" s="1">
        <v>3948</v>
      </c>
      <c r="S134" s="1">
        <v>3255</v>
      </c>
      <c r="T134" s="1">
        <v>2858</v>
      </c>
      <c r="U134" s="1">
        <v>2054</v>
      </c>
      <c r="V134" s="1">
        <v>1327</v>
      </c>
      <c r="W134">
        <v>664</v>
      </c>
      <c r="X134" s="9">
        <f>SUM(Table2[[#This Row],[Age 20 to 24]:[Age 90 and Over]])</f>
        <v>62426</v>
      </c>
      <c r="Y134" s="9">
        <f>_xlfn.XLOOKUP(Table2[[#This Row],[Area]],Referendum!E:E,Referendum!L:L,"")</f>
        <v>16671</v>
      </c>
      <c r="Z134" s="9">
        <f>_xlfn.XLOOKUP(Table2[[#This Row],[Area]],Referendum!E:E,Referendum!M:M,"")</f>
        <v>29456</v>
      </c>
      <c r="AA134" s="10">
        <f>(Table2[[#This Row],[Leave Votes]]+Table2[[#This Row],[Remain Votes]])/Table2[[#This Row],[Residents Age &gt;=20]]</f>
        <v>0.7389068657290232</v>
      </c>
      <c r="AB134" s="10">
        <f>Table2[[#This Row],[Remain Votes]]/Table2[[#This Row],[Residents Age &gt;=20]]</f>
        <v>0.26705218979271456</v>
      </c>
      <c r="AC134" s="10">
        <f>Table2[[#This Row],[Leave Votes]]/Table2[[#This Row],[Residents Age &gt;=20]]</f>
        <v>0.47185467593630859</v>
      </c>
    </row>
    <row r="135" spans="1:29" x14ac:dyDescent="0.45">
      <c r="A135" t="s">
        <v>830</v>
      </c>
      <c r="B135" t="s">
        <v>553</v>
      </c>
      <c r="C135" t="s">
        <v>554</v>
      </c>
      <c r="D135" s="1">
        <v>101720</v>
      </c>
      <c r="E135" s="1">
        <v>6647</v>
      </c>
      <c r="F135" s="1">
        <v>6275</v>
      </c>
      <c r="G135" s="1">
        <v>6529</v>
      </c>
      <c r="H135" s="1">
        <v>6723</v>
      </c>
      <c r="I135" s="1">
        <v>6502</v>
      </c>
      <c r="J135" s="1">
        <v>6618</v>
      </c>
      <c r="K135" s="1">
        <v>6369</v>
      </c>
      <c r="L135" s="1">
        <v>6638</v>
      </c>
      <c r="M135" s="1">
        <v>7666</v>
      </c>
      <c r="N135" s="1">
        <v>7584</v>
      </c>
      <c r="O135" s="1">
        <v>6437</v>
      </c>
      <c r="P135" s="1">
        <v>5568</v>
      </c>
      <c r="Q135" s="1">
        <v>5874</v>
      </c>
      <c r="R135" s="1">
        <v>4631</v>
      </c>
      <c r="S135" s="1">
        <v>3886</v>
      </c>
      <c r="T135" s="1">
        <v>3350</v>
      </c>
      <c r="U135" s="1">
        <v>2375</v>
      </c>
      <c r="V135" s="1">
        <v>1348</v>
      </c>
      <c r="W135">
        <v>700</v>
      </c>
      <c r="X135" s="9">
        <f>SUM(Table2[[#This Row],[Age 20 to 24]:[Age 90 and Over]])</f>
        <v>75546</v>
      </c>
      <c r="Y135" s="9">
        <f>_xlfn.XLOOKUP(Table2[[#This Row],[Area]],Referendum!E:E,Referendum!L:L,"")</f>
        <v>18876</v>
      </c>
      <c r="Z135" s="9">
        <f>_xlfn.XLOOKUP(Table2[[#This Row],[Area]],Referendum!E:E,Referendum!M:M,"")</f>
        <v>35643</v>
      </c>
      <c r="AA135" s="10">
        <f>(Table2[[#This Row],[Leave Votes]]+Table2[[#This Row],[Remain Votes]])/Table2[[#This Row],[Residents Age &gt;=20]]</f>
        <v>0.72166626955762048</v>
      </c>
      <c r="AB135" s="10">
        <f>Table2[[#This Row],[Remain Votes]]/Table2[[#This Row],[Residents Age &gt;=20]]</f>
        <v>0.24986101183384957</v>
      </c>
      <c r="AC135" s="10">
        <f>Table2[[#This Row],[Leave Votes]]/Table2[[#This Row],[Residents Age &gt;=20]]</f>
        <v>0.47180525772377097</v>
      </c>
    </row>
    <row r="136" spans="1:29" x14ac:dyDescent="0.45">
      <c r="A136" t="s">
        <v>830</v>
      </c>
      <c r="B136" t="s">
        <v>387</v>
      </c>
      <c r="C136" t="s">
        <v>388</v>
      </c>
      <c r="D136" s="1">
        <v>97277</v>
      </c>
      <c r="E136" s="1">
        <v>5528</v>
      </c>
      <c r="F136" s="1">
        <v>4930</v>
      </c>
      <c r="G136" s="1">
        <v>5584</v>
      </c>
      <c r="H136" s="1">
        <v>6241</v>
      </c>
      <c r="I136" s="1">
        <v>5942</v>
      </c>
      <c r="J136" s="1">
        <v>5731</v>
      </c>
      <c r="K136" s="1">
        <v>4879</v>
      </c>
      <c r="L136" s="1">
        <v>5261</v>
      </c>
      <c r="M136" s="1">
        <v>6533</v>
      </c>
      <c r="N136" s="1">
        <v>6826</v>
      </c>
      <c r="O136" s="1">
        <v>6162</v>
      </c>
      <c r="P136" s="1">
        <v>6061</v>
      </c>
      <c r="Q136" s="1">
        <v>7228</v>
      </c>
      <c r="R136" s="1">
        <v>6111</v>
      </c>
      <c r="S136" s="1">
        <v>4746</v>
      </c>
      <c r="T136" s="1">
        <v>3861</v>
      </c>
      <c r="U136" s="1">
        <v>2951</v>
      </c>
      <c r="V136" s="1">
        <v>1812</v>
      </c>
      <c r="W136">
        <v>890</v>
      </c>
      <c r="X136" s="9">
        <f>SUM(Table2[[#This Row],[Age 20 to 24]:[Age 90 and Over]])</f>
        <v>74994</v>
      </c>
      <c r="Y136" s="9">
        <f>_xlfn.XLOOKUP(Table2[[#This Row],[Area]],Referendum!E:E,Referendum!L:L,"")</f>
        <v>14284</v>
      </c>
      <c r="Z136" s="9">
        <f>_xlfn.XLOOKUP(Table2[[#This Row],[Area]],Referendum!E:E,Referendum!M:M,"")</f>
        <v>35844</v>
      </c>
      <c r="AA136" s="10">
        <f>(Table2[[#This Row],[Leave Votes]]+Table2[[#This Row],[Remain Votes]])/Table2[[#This Row],[Residents Age &gt;=20]]</f>
        <v>0.66842680747793159</v>
      </c>
      <c r="AB136" s="10">
        <f>Table2[[#This Row],[Remain Votes]]/Table2[[#This Row],[Residents Age &gt;=20]]</f>
        <v>0.19046857081899884</v>
      </c>
      <c r="AC136" s="10">
        <f>Table2[[#This Row],[Leave Votes]]/Table2[[#This Row],[Residents Age &gt;=20]]</f>
        <v>0.47795823665893272</v>
      </c>
    </row>
    <row r="137" spans="1:29" x14ac:dyDescent="0.45">
      <c r="A137" t="s">
        <v>830</v>
      </c>
      <c r="B137" t="s">
        <v>433</v>
      </c>
      <c r="C137" t="s">
        <v>434</v>
      </c>
      <c r="D137" s="1">
        <v>254557</v>
      </c>
      <c r="E137" s="1">
        <v>20945</v>
      </c>
      <c r="F137" s="1">
        <v>16325</v>
      </c>
      <c r="G137" s="1">
        <v>14984</v>
      </c>
      <c r="H137" s="1">
        <v>16061</v>
      </c>
      <c r="I137" s="1">
        <v>19987</v>
      </c>
      <c r="J137" s="1">
        <v>22113</v>
      </c>
      <c r="K137" s="1">
        <v>25213</v>
      </c>
      <c r="L137" s="1">
        <v>21254</v>
      </c>
      <c r="M137" s="1">
        <v>19118</v>
      </c>
      <c r="N137" s="1">
        <v>17134</v>
      </c>
      <c r="O137" s="1">
        <v>14052</v>
      </c>
      <c r="P137" s="1">
        <v>11083</v>
      </c>
      <c r="Q137" s="1">
        <v>10172</v>
      </c>
      <c r="R137" s="1">
        <v>7495</v>
      </c>
      <c r="S137" s="1">
        <v>6180</v>
      </c>
      <c r="T137" s="1">
        <v>4939</v>
      </c>
      <c r="U137" s="1">
        <v>3753</v>
      </c>
      <c r="V137" s="1">
        <v>2452</v>
      </c>
      <c r="W137" s="1">
        <v>1297</v>
      </c>
      <c r="X137" s="9">
        <f>SUM(Table2[[#This Row],[Age 20 to 24]:[Age 90 and Over]])</f>
        <v>186242</v>
      </c>
      <c r="Y137" s="9">
        <f>_xlfn.XLOOKUP(Table2[[#This Row],[Area]],Referendum!E:E,Referendum!L:L,"")</f>
        <v>65248</v>
      </c>
      <c r="Z137" s="9">
        <f>_xlfn.XLOOKUP(Table2[[#This Row],[Area]],Referendum!E:E,Referendum!M:M,"")</f>
        <v>52117</v>
      </c>
      <c r="AA137" s="10">
        <f>(Table2[[#This Row],[Leave Votes]]+Table2[[#This Row],[Remain Votes]])/Table2[[#This Row],[Residents Age &gt;=20]]</f>
        <v>0.63017471891410104</v>
      </c>
      <c r="AB137" s="10">
        <f>Table2[[#This Row],[Remain Votes]]/Table2[[#This Row],[Residents Age &gt;=20]]</f>
        <v>0.35033988037070046</v>
      </c>
      <c r="AC137" s="10">
        <f>Table2[[#This Row],[Leave Votes]]/Table2[[#This Row],[Residents Age &gt;=20]]</f>
        <v>0.27983483854340052</v>
      </c>
    </row>
    <row r="138" spans="1:29" x14ac:dyDescent="0.45">
      <c r="A138" t="s">
        <v>830</v>
      </c>
      <c r="B138" t="s">
        <v>583</v>
      </c>
      <c r="C138" t="s">
        <v>584</v>
      </c>
      <c r="D138" s="1">
        <v>137183</v>
      </c>
      <c r="E138" s="1">
        <v>8110</v>
      </c>
      <c r="F138" s="1">
        <v>7525</v>
      </c>
      <c r="G138" s="1">
        <v>7466</v>
      </c>
      <c r="H138" s="1">
        <v>8947</v>
      </c>
      <c r="I138" s="1">
        <v>11292</v>
      </c>
      <c r="J138" s="1">
        <v>9268</v>
      </c>
      <c r="K138" s="1">
        <v>9210</v>
      </c>
      <c r="L138" s="1">
        <v>9752</v>
      </c>
      <c r="M138" s="1">
        <v>9795</v>
      </c>
      <c r="N138" s="1">
        <v>10063</v>
      </c>
      <c r="O138" s="1">
        <v>8779</v>
      </c>
      <c r="P138" s="1">
        <v>7652</v>
      </c>
      <c r="Q138" s="1">
        <v>7931</v>
      </c>
      <c r="R138" s="1">
        <v>5966</v>
      </c>
      <c r="S138" s="1">
        <v>4892</v>
      </c>
      <c r="T138" s="1">
        <v>4134</v>
      </c>
      <c r="U138" s="1">
        <v>3195</v>
      </c>
      <c r="V138" s="1">
        <v>2020</v>
      </c>
      <c r="W138" s="1">
        <v>1186</v>
      </c>
      <c r="X138" s="9">
        <f>SUM(Table2[[#This Row],[Age 20 to 24]:[Age 90 and Over]])</f>
        <v>105135</v>
      </c>
      <c r="Y138" s="9">
        <f>_xlfn.XLOOKUP(Table2[[#This Row],[Area]],Referendum!E:E,Referendum!L:L,"")</f>
        <v>44155</v>
      </c>
      <c r="Z138" s="9">
        <f>_xlfn.XLOOKUP(Table2[[#This Row],[Area]],Referendum!E:E,Referendum!M:M,"")</f>
        <v>34458</v>
      </c>
      <c r="AA138" s="10">
        <f>(Table2[[#This Row],[Leave Votes]]+Table2[[#This Row],[Remain Votes]])/Table2[[#This Row],[Residents Age &gt;=20]]</f>
        <v>0.74773386598183289</v>
      </c>
      <c r="AB138" s="10">
        <f>Table2[[#This Row],[Remain Votes]]/Table2[[#This Row],[Residents Age &gt;=20]]</f>
        <v>0.41998383031340658</v>
      </c>
      <c r="AC138" s="10">
        <f>Table2[[#This Row],[Leave Votes]]/Table2[[#This Row],[Residents Age &gt;=20]]</f>
        <v>0.32775003566842631</v>
      </c>
    </row>
    <row r="139" spans="1:29" x14ac:dyDescent="0.45">
      <c r="A139" t="s">
        <v>830</v>
      </c>
      <c r="B139" t="s">
        <v>765</v>
      </c>
      <c r="C139" t="s">
        <v>766</v>
      </c>
      <c r="D139" s="1">
        <v>121874</v>
      </c>
      <c r="E139" s="1">
        <v>6819</v>
      </c>
      <c r="F139" s="1">
        <v>6178</v>
      </c>
      <c r="G139" s="1">
        <v>6610</v>
      </c>
      <c r="H139" s="1">
        <v>8348</v>
      </c>
      <c r="I139" s="1">
        <v>9719</v>
      </c>
      <c r="J139" s="1">
        <v>6472</v>
      </c>
      <c r="K139" s="1">
        <v>6060</v>
      </c>
      <c r="L139" s="1">
        <v>6736</v>
      </c>
      <c r="M139" s="1">
        <v>7918</v>
      </c>
      <c r="N139" s="1">
        <v>8154</v>
      </c>
      <c r="O139" s="1">
        <v>7864</v>
      </c>
      <c r="P139" s="1">
        <v>7323</v>
      </c>
      <c r="Q139" s="1">
        <v>8533</v>
      </c>
      <c r="R139" s="1">
        <v>7391</v>
      </c>
      <c r="S139" s="1">
        <v>5739</v>
      </c>
      <c r="T139" s="1">
        <v>4802</v>
      </c>
      <c r="U139" s="1">
        <v>3763</v>
      </c>
      <c r="V139" s="1">
        <v>2278</v>
      </c>
      <c r="W139" s="1">
        <v>1167</v>
      </c>
      <c r="X139" s="9">
        <f>SUM(Table2[[#This Row],[Age 20 to 24]:[Age 90 and Over]])</f>
        <v>93919</v>
      </c>
      <c r="Y139" s="9">
        <f>_xlfn.XLOOKUP(Table2[[#This Row],[Area]],Referendum!E:E,Referendum!L:L,"")</f>
        <v>35517</v>
      </c>
      <c r="Z139" s="9">
        <f>_xlfn.XLOOKUP(Table2[[#This Row],[Area]],Referendum!E:E,Referendum!M:M,"")</f>
        <v>25665</v>
      </c>
      <c r="AA139" s="10">
        <f>(Table2[[#This Row],[Leave Votes]]+Table2[[#This Row],[Remain Votes]])/Table2[[#This Row],[Residents Age &gt;=20]]</f>
        <v>0.65143368221552611</v>
      </c>
      <c r="AB139" s="10">
        <f>Table2[[#This Row],[Remain Votes]]/Table2[[#This Row],[Residents Age &gt;=20]]</f>
        <v>0.3781662922305391</v>
      </c>
      <c r="AC139" s="10">
        <f>Table2[[#This Row],[Leave Votes]]/Table2[[#This Row],[Residents Age &gt;=20]]</f>
        <v>0.27326738998498706</v>
      </c>
    </row>
    <row r="140" spans="1:29" x14ac:dyDescent="0.45">
      <c r="A140" t="s">
        <v>830</v>
      </c>
      <c r="B140" t="s">
        <v>435</v>
      </c>
      <c r="C140" t="s">
        <v>436</v>
      </c>
      <c r="D140" s="1">
        <v>246270</v>
      </c>
      <c r="E140" s="1">
        <v>19149</v>
      </c>
      <c r="F140" s="1">
        <v>15360</v>
      </c>
      <c r="G140" s="1">
        <v>13878</v>
      </c>
      <c r="H140" s="1">
        <v>13410</v>
      </c>
      <c r="I140" s="1">
        <v>21685</v>
      </c>
      <c r="J140" s="1">
        <v>33838</v>
      </c>
      <c r="K140" s="1">
        <v>30077</v>
      </c>
      <c r="L140" s="1">
        <v>21335</v>
      </c>
      <c r="M140" s="1">
        <v>17393</v>
      </c>
      <c r="N140" s="1">
        <v>15098</v>
      </c>
      <c r="O140" s="1">
        <v>11525</v>
      </c>
      <c r="P140" s="1">
        <v>8856</v>
      </c>
      <c r="Q140" s="1">
        <v>7271</v>
      </c>
      <c r="R140" s="1">
        <v>5303</v>
      </c>
      <c r="S140" s="1">
        <v>4370</v>
      </c>
      <c r="T140" s="1">
        <v>3430</v>
      </c>
      <c r="U140" s="1">
        <v>2345</v>
      </c>
      <c r="V140" s="1">
        <v>1324</v>
      </c>
      <c r="W140">
        <v>623</v>
      </c>
      <c r="X140" s="9">
        <f>SUM(Table2[[#This Row],[Age 20 to 24]:[Age 90 and Over]])</f>
        <v>184473</v>
      </c>
      <c r="Y140" s="9">
        <f>_xlfn.XLOOKUP(Table2[[#This Row],[Area]],Referendum!E:E,Referendum!L:L,"")</f>
        <v>83398</v>
      </c>
      <c r="Z140" s="9">
        <f>_xlfn.XLOOKUP(Table2[[#This Row],[Area]],Referendum!E:E,Referendum!M:M,"")</f>
        <v>22868</v>
      </c>
      <c r="AA140" s="10">
        <f>(Table2[[#This Row],[Leave Votes]]+Table2[[#This Row],[Remain Votes]])/Table2[[#This Row],[Residents Age &gt;=20]]</f>
        <v>0.57605177993527512</v>
      </c>
      <c r="AB140" s="10">
        <f>Table2[[#This Row],[Remain Votes]]/Table2[[#This Row],[Residents Age &gt;=20]]</f>
        <v>0.45208783941281377</v>
      </c>
      <c r="AC140" s="10">
        <f>Table2[[#This Row],[Leave Votes]]/Table2[[#This Row],[Residents Age &gt;=20]]</f>
        <v>0.12396394052246128</v>
      </c>
    </row>
    <row r="141" spans="1:29" x14ac:dyDescent="0.45">
      <c r="A141" t="s">
        <v>830</v>
      </c>
      <c r="B141" t="s">
        <v>81</v>
      </c>
      <c r="C141" t="s">
        <v>82</v>
      </c>
      <c r="D141" s="1">
        <v>125746</v>
      </c>
      <c r="E141" s="1">
        <v>8354</v>
      </c>
      <c r="F141" s="1">
        <v>7383</v>
      </c>
      <c r="G141" s="1">
        <v>7577</v>
      </c>
      <c r="H141" s="1">
        <v>8082</v>
      </c>
      <c r="I141" s="1">
        <v>8024</v>
      </c>
      <c r="J141" s="1">
        <v>8141</v>
      </c>
      <c r="K141" s="1">
        <v>7666</v>
      </c>
      <c r="L141" s="1">
        <v>8304</v>
      </c>
      <c r="M141" s="1">
        <v>9034</v>
      </c>
      <c r="N141" s="1">
        <v>9280</v>
      </c>
      <c r="O141" s="1">
        <v>8768</v>
      </c>
      <c r="P141" s="1">
        <v>8144</v>
      </c>
      <c r="Q141" s="1">
        <v>8508</v>
      </c>
      <c r="R141" s="1">
        <v>5765</v>
      </c>
      <c r="S141" s="1">
        <v>4605</v>
      </c>
      <c r="T141" s="1">
        <v>3600</v>
      </c>
      <c r="U141" s="1">
        <v>2532</v>
      </c>
      <c r="V141" s="1">
        <v>1349</v>
      </c>
      <c r="W141">
        <v>630</v>
      </c>
      <c r="X141" s="9">
        <f>SUM(Table2[[#This Row],[Age 20 to 24]:[Age 90 and Over]])</f>
        <v>94350</v>
      </c>
      <c r="Y141" s="9">
        <f>_xlfn.XLOOKUP(Table2[[#This Row],[Area]],Referendum!E:E,Referendum!L:L,"")</f>
        <v>27678</v>
      </c>
      <c r="Z141" s="9">
        <f>_xlfn.XLOOKUP(Table2[[#This Row],[Area]],Referendum!E:E,Referendum!M:M,"")</f>
        <v>37327</v>
      </c>
      <c r="AA141" s="10">
        <f>(Table2[[#This Row],[Leave Votes]]+Table2[[#This Row],[Remain Votes]])/Table2[[#This Row],[Residents Age &gt;=20]]</f>
        <v>0.68897721250662425</v>
      </c>
      <c r="AB141" s="10">
        <f>Table2[[#This Row],[Remain Votes]]/Table2[[#This Row],[Residents Age &gt;=20]]</f>
        <v>0.29335453100158981</v>
      </c>
      <c r="AC141" s="10">
        <f>Table2[[#This Row],[Leave Votes]]/Table2[[#This Row],[Residents Age &gt;=20]]</f>
        <v>0.39562268150503443</v>
      </c>
    </row>
    <row r="142" spans="1:29" x14ac:dyDescent="0.45">
      <c r="A142" t="s">
        <v>830</v>
      </c>
      <c r="B142" t="s">
        <v>159</v>
      </c>
      <c r="C142" t="s">
        <v>160</v>
      </c>
      <c r="D142" s="1">
        <v>89140</v>
      </c>
      <c r="E142" s="1">
        <v>4348</v>
      </c>
      <c r="F142" s="1">
        <v>4536</v>
      </c>
      <c r="G142" s="1">
        <v>5118</v>
      </c>
      <c r="H142" s="1">
        <v>5177</v>
      </c>
      <c r="I142" s="1">
        <v>4431</v>
      </c>
      <c r="J142" s="1">
        <v>4197</v>
      </c>
      <c r="K142" s="1">
        <v>3954</v>
      </c>
      <c r="L142" s="1">
        <v>4870</v>
      </c>
      <c r="M142" s="1">
        <v>6419</v>
      </c>
      <c r="N142" s="1">
        <v>7394</v>
      </c>
      <c r="O142" s="1">
        <v>6466</v>
      </c>
      <c r="P142" s="1">
        <v>6102</v>
      </c>
      <c r="Q142" s="1">
        <v>6887</v>
      </c>
      <c r="R142" s="1">
        <v>5748</v>
      </c>
      <c r="S142" s="1">
        <v>4709</v>
      </c>
      <c r="T142" s="1">
        <v>3647</v>
      </c>
      <c r="U142" s="1">
        <v>2720</v>
      </c>
      <c r="V142" s="1">
        <v>1599</v>
      </c>
      <c r="W142">
        <v>818</v>
      </c>
      <c r="X142" s="9">
        <f>SUM(Table2[[#This Row],[Age 20 to 24]:[Age 90 and Over]])</f>
        <v>69961</v>
      </c>
      <c r="Y142" s="9">
        <f>_xlfn.XLOOKUP(Table2[[#This Row],[Area]],Referendum!E:E,Referendum!L:L,"")</f>
        <v>25480</v>
      </c>
      <c r="Z142" s="9">
        <f>_xlfn.XLOOKUP(Table2[[#This Row],[Area]],Referendum!E:E,Referendum!M:M,"")</f>
        <v>29502</v>
      </c>
      <c r="AA142" s="10">
        <f>(Table2[[#This Row],[Leave Votes]]+Table2[[#This Row],[Remain Votes]])/Table2[[#This Row],[Residents Age &gt;=20]]</f>
        <v>0.78589499864210055</v>
      </c>
      <c r="AB142" s="10">
        <f>Table2[[#This Row],[Remain Votes]]/Table2[[#This Row],[Residents Age &gt;=20]]</f>
        <v>0.36420291305155728</v>
      </c>
      <c r="AC142" s="10">
        <f>Table2[[#This Row],[Leave Votes]]/Table2[[#This Row],[Residents Age &gt;=20]]</f>
        <v>0.42169208559054328</v>
      </c>
    </row>
    <row r="143" spans="1:29" x14ac:dyDescent="0.45">
      <c r="A143" t="s">
        <v>830</v>
      </c>
      <c r="B143" t="s">
        <v>437</v>
      </c>
      <c r="C143" t="s">
        <v>438</v>
      </c>
      <c r="D143" s="1">
        <v>182493</v>
      </c>
      <c r="E143" s="1">
        <v>11900</v>
      </c>
      <c r="F143" s="1">
        <v>8559</v>
      </c>
      <c r="G143" s="1">
        <v>7621</v>
      </c>
      <c r="H143" s="1">
        <v>7916</v>
      </c>
      <c r="I143" s="1">
        <v>17279</v>
      </c>
      <c r="J143" s="1">
        <v>26021</v>
      </c>
      <c r="K143" s="1">
        <v>22008</v>
      </c>
      <c r="L143" s="1">
        <v>17182</v>
      </c>
      <c r="M143" s="1">
        <v>13669</v>
      </c>
      <c r="N143" s="1">
        <v>11414</v>
      </c>
      <c r="O143" s="1">
        <v>8703</v>
      </c>
      <c r="P143" s="1">
        <v>7131</v>
      </c>
      <c r="Q143" s="1">
        <v>6677</v>
      </c>
      <c r="R143" s="1">
        <v>5011</v>
      </c>
      <c r="S143" s="1">
        <v>4091</v>
      </c>
      <c r="T143" s="1">
        <v>3035</v>
      </c>
      <c r="U143" s="1">
        <v>2265</v>
      </c>
      <c r="V143" s="1">
        <v>1297</v>
      </c>
      <c r="W143">
        <v>714</v>
      </c>
      <c r="X143" s="9">
        <f>SUM(Table2[[#This Row],[Age 20 to 24]:[Age 90 and Over]])</f>
        <v>146497</v>
      </c>
      <c r="Y143" s="9">
        <f>_xlfn.XLOOKUP(Table2[[#This Row],[Area]],Referendum!E:E,Referendum!L:L,"")</f>
        <v>56188</v>
      </c>
      <c r="Z143" s="9">
        <f>_xlfn.XLOOKUP(Table2[[#This Row],[Area]],Referendum!E:E,Referendum!M:M,"")</f>
        <v>24054</v>
      </c>
      <c r="AA143" s="10">
        <f>(Table2[[#This Row],[Leave Votes]]+Table2[[#This Row],[Remain Votes]])/Table2[[#This Row],[Residents Age &gt;=20]]</f>
        <v>0.54773817893881782</v>
      </c>
      <c r="AB143" s="10">
        <f>Table2[[#This Row],[Remain Votes]]/Table2[[#This Row],[Residents Age &gt;=20]]</f>
        <v>0.38354369031447744</v>
      </c>
      <c r="AC143" s="10">
        <f>Table2[[#This Row],[Leave Votes]]/Table2[[#This Row],[Residents Age &gt;=20]]</f>
        <v>0.16419448862434044</v>
      </c>
    </row>
    <row r="144" spans="1:29" x14ac:dyDescent="0.45">
      <c r="A144" t="s">
        <v>830</v>
      </c>
      <c r="B144" t="s">
        <v>201</v>
      </c>
      <c r="C144" t="s">
        <v>202</v>
      </c>
      <c r="D144" s="1">
        <v>85382</v>
      </c>
      <c r="E144" s="1">
        <v>4665</v>
      </c>
      <c r="F144" s="1">
        <v>5015</v>
      </c>
      <c r="G144" s="1">
        <v>5527</v>
      </c>
      <c r="H144" s="1">
        <v>5156</v>
      </c>
      <c r="I144" s="1">
        <v>3701</v>
      </c>
      <c r="J144" s="1">
        <v>3700</v>
      </c>
      <c r="K144" s="1">
        <v>4143</v>
      </c>
      <c r="L144" s="1">
        <v>5565</v>
      </c>
      <c r="M144" s="1">
        <v>7119</v>
      </c>
      <c r="N144" s="1">
        <v>7310</v>
      </c>
      <c r="O144" s="1">
        <v>6179</v>
      </c>
      <c r="P144" s="1">
        <v>5650</v>
      </c>
      <c r="Q144" s="1">
        <v>6061</v>
      </c>
      <c r="R144" s="1">
        <v>4829</v>
      </c>
      <c r="S144" s="1">
        <v>3641</v>
      </c>
      <c r="T144" s="1">
        <v>2872</v>
      </c>
      <c r="U144" s="1">
        <v>2147</v>
      </c>
      <c r="V144" s="1">
        <v>1389</v>
      </c>
      <c r="W144">
        <v>713</v>
      </c>
      <c r="X144" s="9">
        <f>SUM(Table2[[#This Row],[Age 20 to 24]:[Age 90 and Over]])</f>
        <v>65019</v>
      </c>
      <c r="Y144" s="9">
        <f>_xlfn.XLOOKUP(Table2[[#This Row],[Area]],Referendum!E:E,Referendum!L:L,"")</f>
        <v>27028</v>
      </c>
      <c r="Z144" s="9">
        <f>_xlfn.XLOOKUP(Table2[[#This Row],[Area]],Referendum!E:E,Referendum!M:M,"")</f>
        <v>27850</v>
      </c>
      <c r="AA144" s="10">
        <f>(Table2[[#This Row],[Leave Votes]]+Table2[[#This Row],[Remain Votes]])/Table2[[#This Row],[Residents Age &gt;=20]]</f>
        <v>0.84403020655500705</v>
      </c>
      <c r="AB144" s="10">
        <f>Table2[[#This Row],[Remain Votes]]/Table2[[#This Row],[Residents Age &gt;=20]]</f>
        <v>0.41569387409834047</v>
      </c>
      <c r="AC144" s="10">
        <f>Table2[[#This Row],[Leave Votes]]/Table2[[#This Row],[Residents Age &gt;=20]]</f>
        <v>0.42833633245666652</v>
      </c>
    </row>
    <row r="145" spans="1:29" x14ac:dyDescent="0.45">
      <c r="A145" t="s">
        <v>830</v>
      </c>
      <c r="B145" t="s">
        <v>439</v>
      </c>
      <c r="C145" t="s">
        <v>440</v>
      </c>
      <c r="D145" s="1">
        <v>254926</v>
      </c>
      <c r="E145" s="1">
        <v>18112</v>
      </c>
      <c r="F145" s="1">
        <v>15775</v>
      </c>
      <c r="G145" s="1">
        <v>15234</v>
      </c>
      <c r="H145" s="1">
        <v>14253</v>
      </c>
      <c r="I145" s="1">
        <v>18835</v>
      </c>
      <c r="J145" s="1">
        <v>28062</v>
      </c>
      <c r="K145" s="1">
        <v>28539</v>
      </c>
      <c r="L145" s="1">
        <v>22684</v>
      </c>
      <c r="M145" s="1">
        <v>20135</v>
      </c>
      <c r="N145" s="1">
        <v>17656</v>
      </c>
      <c r="O145" s="1">
        <v>13416</v>
      </c>
      <c r="P145" s="1">
        <v>10613</v>
      </c>
      <c r="Q145" s="1">
        <v>9243</v>
      </c>
      <c r="R145" s="1">
        <v>6680</v>
      </c>
      <c r="S145" s="1">
        <v>5895</v>
      </c>
      <c r="T145" s="1">
        <v>4506</v>
      </c>
      <c r="U145" s="1">
        <v>2867</v>
      </c>
      <c r="V145" s="1">
        <v>1576</v>
      </c>
      <c r="W145">
        <v>845</v>
      </c>
      <c r="X145" s="9">
        <f>SUM(Table2[[#This Row],[Age 20 to 24]:[Age 90 and Over]])</f>
        <v>191552</v>
      </c>
      <c r="Y145" s="9">
        <f>_xlfn.XLOOKUP(Table2[[#This Row],[Area]],Referendum!E:E,Referendum!L:L,"")</f>
        <v>79991</v>
      </c>
      <c r="Z145" s="9">
        <f>_xlfn.XLOOKUP(Table2[[#This Row],[Area]],Referendum!E:E,Referendum!M:M,"")</f>
        <v>25855</v>
      </c>
      <c r="AA145" s="10">
        <f>(Table2[[#This Row],[Leave Votes]]+Table2[[#This Row],[Remain Votes]])/Table2[[#This Row],[Residents Age &gt;=20]]</f>
        <v>0.5525705813564985</v>
      </c>
      <c r="AB145" s="10">
        <f>Table2[[#This Row],[Remain Votes]]/Table2[[#This Row],[Residents Age &gt;=20]]</f>
        <v>0.41759417808219179</v>
      </c>
      <c r="AC145" s="10">
        <f>Table2[[#This Row],[Leave Votes]]/Table2[[#This Row],[Residents Age &gt;=20]]</f>
        <v>0.13497640327430671</v>
      </c>
    </row>
    <row r="146" spans="1:29" x14ac:dyDescent="0.45">
      <c r="A146" t="s">
        <v>830</v>
      </c>
      <c r="B146" t="s">
        <v>353</v>
      </c>
      <c r="C146" t="s">
        <v>354</v>
      </c>
      <c r="D146" s="1">
        <v>81944</v>
      </c>
      <c r="E146" s="1">
        <v>6020</v>
      </c>
      <c r="F146" s="1">
        <v>4917</v>
      </c>
      <c r="G146" s="1">
        <v>4929</v>
      </c>
      <c r="H146" s="1">
        <v>5044</v>
      </c>
      <c r="I146" s="1">
        <v>4858</v>
      </c>
      <c r="J146" s="1">
        <v>5970</v>
      </c>
      <c r="K146" s="1">
        <v>5942</v>
      </c>
      <c r="L146" s="1">
        <v>5706</v>
      </c>
      <c r="M146" s="1">
        <v>6051</v>
      </c>
      <c r="N146" s="1">
        <v>5984</v>
      </c>
      <c r="O146" s="1">
        <v>5442</v>
      </c>
      <c r="P146" s="1">
        <v>4633</v>
      </c>
      <c r="Q146" s="1">
        <v>4143</v>
      </c>
      <c r="R146" s="1">
        <v>3136</v>
      </c>
      <c r="S146" s="1">
        <v>2777</v>
      </c>
      <c r="T146" s="1">
        <v>2644</v>
      </c>
      <c r="U146" s="1">
        <v>2139</v>
      </c>
      <c r="V146" s="1">
        <v>1085</v>
      </c>
      <c r="W146">
        <v>524</v>
      </c>
      <c r="X146" s="9">
        <f>SUM(Table2[[#This Row],[Age 20 to 24]:[Age 90 and Over]])</f>
        <v>61034</v>
      </c>
      <c r="Y146" s="9">
        <f>_xlfn.XLOOKUP(Table2[[#This Row],[Area]],Referendum!E:E,Referendum!L:L,"")</f>
        <v>13867</v>
      </c>
      <c r="Z146" s="9">
        <f>_xlfn.XLOOKUP(Table2[[#This Row],[Area]],Referendum!E:E,Referendum!M:M,"")</f>
        <v>29602</v>
      </c>
      <c r="AA146" s="10">
        <f>(Table2[[#This Row],[Leave Votes]]+Table2[[#This Row],[Remain Votes]])/Table2[[#This Row],[Residents Age &gt;=20]]</f>
        <v>0.71220958809843693</v>
      </c>
      <c r="AB146" s="10">
        <f>Table2[[#This Row],[Remain Votes]]/Table2[[#This Row],[Residents Age &gt;=20]]</f>
        <v>0.2272012321001409</v>
      </c>
      <c r="AC146" s="10">
        <f>Table2[[#This Row],[Leave Votes]]/Table2[[#This Row],[Residents Age &gt;=20]]</f>
        <v>0.48500835599829606</v>
      </c>
    </row>
    <row r="147" spans="1:29" x14ac:dyDescent="0.45">
      <c r="A147" t="s">
        <v>830</v>
      </c>
      <c r="B147" t="s">
        <v>161</v>
      </c>
      <c r="C147" t="s">
        <v>162</v>
      </c>
      <c r="D147" s="1">
        <v>157869</v>
      </c>
      <c r="E147" s="1">
        <v>8677</v>
      </c>
      <c r="F147" s="1">
        <v>8708</v>
      </c>
      <c r="G147" s="1">
        <v>9432</v>
      </c>
      <c r="H147" s="1">
        <v>9389</v>
      </c>
      <c r="I147" s="1">
        <v>7384</v>
      </c>
      <c r="J147" s="1">
        <v>8169</v>
      </c>
      <c r="K147" s="1">
        <v>8379</v>
      </c>
      <c r="L147" s="1">
        <v>9948</v>
      </c>
      <c r="M147" s="1">
        <v>12228</v>
      </c>
      <c r="N147" s="1">
        <v>12830</v>
      </c>
      <c r="O147" s="1">
        <v>11307</v>
      </c>
      <c r="P147" s="1">
        <v>9850</v>
      </c>
      <c r="Q147" s="1">
        <v>10674</v>
      </c>
      <c r="R147" s="1">
        <v>8694</v>
      </c>
      <c r="S147" s="1">
        <v>7202</v>
      </c>
      <c r="T147" s="1">
        <v>5889</v>
      </c>
      <c r="U147" s="1">
        <v>4493</v>
      </c>
      <c r="V147" s="1">
        <v>2927</v>
      </c>
      <c r="W147" s="1">
        <v>1689</v>
      </c>
      <c r="X147" s="9">
        <f>SUM(Table2[[#This Row],[Age 20 to 24]:[Age 90 and Over]])</f>
        <v>121663</v>
      </c>
      <c r="Y147" s="9">
        <f>_xlfn.XLOOKUP(Table2[[#This Row],[Area]],Referendum!E:E,Referendum!L:L,"")</f>
        <v>48211</v>
      </c>
      <c r="Z147" s="9">
        <f>_xlfn.XLOOKUP(Table2[[#This Row],[Area]],Referendum!E:E,Referendum!M:M,"")</f>
        <v>46374</v>
      </c>
      <c r="AA147" s="10">
        <f>(Table2[[#This Row],[Leave Votes]]+Table2[[#This Row],[Remain Votes]])/Table2[[#This Row],[Residents Age &gt;=20]]</f>
        <v>0.777434388433624</v>
      </c>
      <c r="AB147" s="10">
        <f>Table2[[#This Row],[Remain Votes]]/Table2[[#This Row],[Residents Age &gt;=20]]</f>
        <v>0.39626673680576674</v>
      </c>
      <c r="AC147" s="10">
        <f>Table2[[#This Row],[Leave Votes]]/Table2[[#This Row],[Residents Age &gt;=20]]</f>
        <v>0.38116765162785726</v>
      </c>
    </row>
    <row r="148" spans="1:29" x14ac:dyDescent="0.45">
      <c r="A148" t="s">
        <v>830</v>
      </c>
      <c r="B148" t="s">
        <v>441</v>
      </c>
      <c r="C148" t="s">
        <v>442</v>
      </c>
      <c r="D148" s="1">
        <v>239056</v>
      </c>
      <c r="E148" s="1">
        <v>15916</v>
      </c>
      <c r="F148" s="1">
        <v>14421</v>
      </c>
      <c r="G148" s="1">
        <v>14590</v>
      </c>
      <c r="H148" s="1">
        <v>15104</v>
      </c>
      <c r="I148" s="1">
        <v>16066</v>
      </c>
      <c r="J148" s="1">
        <v>19345</v>
      </c>
      <c r="K148" s="1">
        <v>19608</v>
      </c>
      <c r="L148" s="1">
        <v>17112</v>
      </c>
      <c r="M148" s="1">
        <v>16638</v>
      </c>
      <c r="N148" s="1">
        <v>16338</v>
      </c>
      <c r="O148" s="1">
        <v>15157</v>
      </c>
      <c r="P148" s="1">
        <v>13084</v>
      </c>
      <c r="Q148" s="1">
        <v>12010</v>
      </c>
      <c r="R148" s="1">
        <v>9372</v>
      </c>
      <c r="S148" s="1">
        <v>8048</v>
      </c>
      <c r="T148" s="1">
        <v>6726</v>
      </c>
      <c r="U148" s="1">
        <v>4933</v>
      </c>
      <c r="V148" s="1">
        <v>2982</v>
      </c>
      <c r="W148" s="1">
        <v>1606</v>
      </c>
      <c r="X148" s="9">
        <f>SUM(Table2[[#This Row],[Age 20 to 24]:[Age 90 and Over]])</f>
        <v>179025</v>
      </c>
      <c r="Y148" s="9">
        <f>_xlfn.XLOOKUP(Table2[[#This Row],[Area]],Referendum!E:E,Referendum!L:L,"")</f>
        <v>64042</v>
      </c>
      <c r="Z148" s="9">
        <f>_xlfn.XLOOKUP(Table2[[#This Row],[Area]],Referendum!E:E,Referendum!M:M,"")</f>
        <v>53183</v>
      </c>
      <c r="AA148" s="10">
        <f>(Table2[[#This Row],[Leave Votes]]+Table2[[#This Row],[Remain Votes]])/Table2[[#This Row],[Residents Age &gt;=20]]</f>
        <v>0.65479681608713869</v>
      </c>
      <c r="AB148" s="10">
        <f>Table2[[#This Row],[Remain Votes]]/Table2[[#This Row],[Residents Age &gt;=20]]</f>
        <v>0.35772657450076806</v>
      </c>
      <c r="AC148" s="10">
        <f>Table2[[#This Row],[Leave Votes]]/Table2[[#This Row],[Residents Age &gt;=20]]</f>
        <v>0.29707024158637063</v>
      </c>
    </row>
    <row r="149" spans="1:29" x14ac:dyDescent="0.45">
      <c r="A149" t="s">
        <v>830</v>
      </c>
      <c r="B149" t="s">
        <v>533</v>
      </c>
      <c r="C149" t="s">
        <v>534</v>
      </c>
      <c r="D149" s="1">
        <v>91033</v>
      </c>
      <c r="E149" s="1">
        <v>5663</v>
      </c>
      <c r="F149" s="1">
        <v>5734</v>
      </c>
      <c r="G149" s="1">
        <v>5795</v>
      </c>
      <c r="H149" s="1">
        <v>5188</v>
      </c>
      <c r="I149" s="1">
        <v>4261</v>
      </c>
      <c r="J149" s="1">
        <v>4542</v>
      </c>
      <c r="K149" s="1">
        <v>5296</v>
      </c>
      <c r="L149" s="1">
        <v>6959</v>
      </c>
      <c r="M149" s="1">
        <v>7373</v>
      </c>
      <c r="N149" s="1">
        <v>7653</v>
      </c>
      <c r="O149" s="1">
        <v>6316</v>
      </c>
      <c r="P149" s="1">
        <v>5354</v>
      </c>
      <c r="Q149" s="1">
        <v>5881</v>
      </c>
      <c r="R149" s="1">
        <v>4732</v>
      </c>
      <c r="S149" s="1">
        <v>3692</v>
      </c>
      <c r="T149" s="1">
        <v>2782</v>
      </c>
      <c r="U149" s="1">
        <v>1970</v>
      </c>
      <c r="V149" s="1">
        <v>1209</v>
      </c>
      <c r="W149">
        <v>633</v>
      </c>
      <c r="X149" s="9">
        <f>SUM(Table2[[#This Row],[Age 20 to 24]:[Age 90 and Over]])</f>
        <v>68653</v>
      </c>
      <c r="Y149" s="9">
        <f>_xlfn.XLOOKUP(Table2[[#This Row],[Area]],Referendum!E:E,Referendum!L:L,"")</f>
        <v>30282</v>
      </c>
      <c r="Z149" s="9">
        <f>_xlfn.XLOOKUP(Table2[[#This Row],[Area]],Referendum!E:E,Referendum!M:M,"")</f>
        <v>27513</v>
      </c>
      <c r="AA149" s="10">
        <f>(Table2[[#This Row],[Leave Votes]]+Table2[[#This Row],[Remain Votes]])/Table2[[#This Row],[Residents Age &gt;=20]]</f>
        <v>0.84184230842060803</v>
      </c>
      <c r="AB149" s="10">
        <f>Table2[[#This Row],[Remain Votes]]/Table2[[#This Row],[Residents Age &gt;=20]]</f>
        <v>0.44108778931729131</v>
      </c>
      <c r="AC149" s="10">
        <f>Table2[[#This Row],[Leave Votes]]/Table2[[#This Row],[Residents Age &gt;=20]]</f>
        <v>0.40075451910331666</v>
      </c>
    </row>
    <row r="150" spans="1:29" x14ac:dyDescent="0.45">
      <c r="A150" t="s">
        <v>830</v>
      </c>
      <c r="B150" t="s">
        <v>33</v>
      </c>
      <c r="C150" t="s">
        <v>34</v>
      </c>
      <c r="D150" s="1">
        <v>92028</v>
      </c>
      <c r="E150" s="1">
        <v>5698</v>
      </c>
      <c r="F150" s="1">
        <v>5192</v>
      </c>
      <c r="G150" s="1">
        <v>5653</v>
      </c>
      <c r="H150" s="1">
        <v>6278</v>
      </c>
      <c r="I150" s="1">
        <v>5955</v>
      </c>
      <c r="J150" s="1">
        <v>5622</v>
      </c>
      <c r="K150" s="1">
        <v>5033</v>
      </c>
      <c r="L150" s="1">
        <v>5373</v>
      </c>
      <c r="M150" s="1">
        <v>6463</v>
      </c>
      <c r="N150" s="1">
        <v>7267</v>
      </c>
      <c r="O150" s="1">
        <v>6464</v>
      </c>
      <c r="P150" s="1">
        <v>5595</v>
      </c>
      <c r="Q150" s="1">
        <v>5837</v>
      </c>
      <c r="R150" s="1">
        <v>4236</v>
      </c>
      <c r="S150" s="1">
        <v>3938</v>
      </c>
      <c r="T150" s="1">
        <v>3327</v>
      </c>
      <c r="U150" s="1">
        <v>2241</v>
      </c>
      <c r="V150" s="1">
        <v>1323</v>
      </c>
      <c r="W150">
        <v>533</v>
      </c>
      <c r="X150" s="9">
        <f>SUM(Table2[[#This Row],[Age 20 to 24]:[Age 90 and Over]])</f>
        <v>69207</v>
      </c>
      <c r="Y150" s="9">
        <f>_xlfn.XLOOKUP(Table2[[#This Row],[Area]],Referendum!E:E,Referendum!L:L,"")</f>
        <v>14029</v>
      </c>
      <c r="Z150" s="9">
        <f>_xlfn.XLOOKUP(Table2[[#This Row],[Area]],Referendum!E:E,Referendum!M:M,"")</f>
        <v>32071</v>
      </c>
      <c r="AA150" s="10">
        <f>(Table2[[#This Row],[Leave Votes]]+Table2[[#This Row],[Remain Votes]])/Table2[[#This Row],[Residents Age &gt;=20]]</f>
        <v>0.6661175892612019</v>
      </c>
      <c r="AB150" s="10">
        <f>Table2[[#This Row],[Remain Votes]]/Table2[[#This Row],[Residents Age &gt;=20]]</f>
        <v>0.2027107084543471</v>
      </c>
      <c r="AC150" s="10">
        <f>Table2[[#This Row],[Leave Votes]]/Table2[[#This Row],[Residents Age &gt;=20]]</f>
        <v>0.46340688080685477</v>
      </c>
    </row>
    <row r="151" spans="1:29" x14ac:dyDescent="0.45">
      <c r="A151" t="s">
        <v>830</v>
      </c>
      <c r="B151" t="s">
        <v>515</v>
      </c>
      <c r="C151" t="s">
        <v>516</v>
      </c>
      <c r="D151" s="1">
        <v>90254</v>
      </c>
      <c r="E151" s="1">
        <v>5570</v>
      </c>
      <c r="F151" s="1">
        <v>4772</v>
      </c>
      <c r="G151" s="1">
        <v>5317</v>
      </c>
      <c r="H151" s="1">
        <v>5759</v>
      </c>
      <c r="I151" s="1">
        <v>5769</v>
      </c>
      <c r="J151" s="1">
        <v>5621</v>
      </c>
      <c r="K151" s="1">
        <v>5217</v>
      </c>
      <c r="L151" s="1">
        <v>5732</v>
      </c>
      <c r="M151" s="1">
        <v>6728</v>
      </c>
      <c r="N151" s="1">
        <v>6772</v>
      </c>
      <c r="O151" s="1">
        <v>6109</v>
      </c>
      <c r="P151" s="1">
        <v>5395</v>
      </c>
      <c r="Q151" s="1">
        <v>6092</v>
      </c>
      <c r="R151" s="1">
        <v>4525</v>
      </c>
      <c r="S151" s="1">
        <v>3424</v>
      </c>
      <c r="T151" s="1">
        <v>2824</v>
      </c>
      <c r="U151" s="1">
        <v>2212</v>
      </c>
      <c r="V151" s="1">
        <v>1515</v>
      </c>
      <c r="W151">
        <v>901</v>
      </c>
      <c r="X151" s="9">
        <f>SUM(Table2[[#This Row],[Age 20 to 24]:[Age 90 and Over]])</f>
        <v>68836</v>
      </c>
      <c r="Y151" s="9">
        <f>_xlfn.XLOOKUP(Table2[[#This Row],[Area]],Referendum!E:E,Referendum!L:L,"")</f>
        <v>20011</v>
      </c>
      <c r="Z151" s="9">
        <f>_xlfn.XLOOKUP(Table2[[#This Row],[Area]],Referendum!E:E,Referendum!M:M,"")</f>
        <v>24339</v>
      </c>
      <c r="AA151" s="10">
        <f>(Table2[[#This Row],[Leave Votes]]+Table2[[#This Row],[Remain Votes]])/Table2[[#This Row],[Residents Age &gt;=20]]</f>
        <v>0.64428496716834216</v>
      </c>
      <c r="AB151" s="10">
        <f>Table2[[#This Row],[Remain Votes]]/Table2[[#This Row],[Residents Age &gt;=20]]</f>
        <v>0.29070544482538208</v>
      </c>
      <c r="AC151" s="10">
        <f>Table2[[#This Row],[Leave Votes]]/Table2[[#This Row],[Residents Age &gt;=20]]</f>
        <v>0.35357952234296008</v>
      </c>
    </row>
    <row r="152" spans="1:29" x14ac:dyDescent="0.45">
      <c r="A152" t="s">
        <v>830</v>
      </c>
      <c r="B152" t="s">
        <v>535</v>
      </c>
      <c r="C152" t="s">
        <v>536</v>
      </c>
      <c r="D152" s="1">
        <v>120684</v>
      </c>
      <c r="E152" s="1">
        <v>6710</v>
      </c>
      <c r="F152" s="1">
        <v>6392</v>
      </c>
      <c r="G152" s="1">
        <v>7195</v>
      </c>
      <c r="H152" s="1">
        <v>7615</v>
      </c>
      <c r="I152" s="1">
        <v>6798</v>
      </c>
      <c r="J152" s="1">
        <v>6444</v>
      </c>
      <c r="K152" s="1">
        <v>5891</v>
      </c>
      <c r="L152" s="1">
        <v>6676</v>
      </c>
      <c r="M152" s="1">
        <v>8434</v>
      </c>
      <c r="N152" s="1">
        <v>8906</v>
      </c>
      <c r="O152" s="1">
        <v>8485</v>
      </c>
      <c r="P152" s="1">
        <v>7517</v>
      </c>
      <c r="Q152" s="1">
        <v>8196</v>
      </c>
      <c r="R152" s="1">
        <v>7011</v>
      </c>
      <c r="S152" s="1">
        <v>5854</v>
      </c>
      <c r="T152" s="1">
        <v>5147</v>
      </c>
      <c r="U152" s="1">
        <v>3987</v>
      </c>
      <c r="V152" s="1">
        <v>2254</v>
      </c>
      <c r="W152" s="1">
        <v>1172</v>
      </c>
      <c r="X152" s="9">
        <f>SUM(Table2[[#This Row],[Age 20 to 24]:[Age 90 and Over]])</f>
        <v>92772</v>
      </c>
      <c r="Y152" s="9">
        <f>_xlfn.XLOOKUP(Table2[[#This Row],[Area]],Referendum!E:E,Referendum!L:L,"")</f>
        <v>26582</v>
      </c>
      <c r="Z152" s="9">
        <f>_xlfn.XLOOKUP(Table2[[#This Row],[Area]],Referendum!E:E,Referendum!M:M,"")</f>
        <v>44047</v>
      </c>
      <c r="AA152" s="10">
        <f>(Table2[[#This Row],[Leave Votes]]+Table2[[#This Row],[Remain Votes]])/Table2[[#This Row],[Residents Age &gt;=20]]</f>
        <v>0.76131807010735997</v>
      </c>
      <c r="AB152" s="10">
        <f>Table2[[#This Row],[Remain Votes]]/Table2[[#This Row],[Residents Age &gt;=20]]</f>
        <v>0.28653041866080281</v>
      </c>
      <c r="AC152" s="10">
        <f>Table2[[#This Row],[Leave Votes]]/Table2[[#This Row],[Residents Age &gt;=20]]</f>
        <v>0.47478765144655716</v>
      </c>
    </row>
    <row r="153" spans="1:29" x14ac:dyDescent="0.45">
      <c r="A153" t="s">
        <v>830</v>
      </c>
      <c r="B153" t="s">
        <v>443</v>
      </c>
      <c r="C153" t="s">
        <v>444</v>
      </c>
      <c r="D153" s="1">
        <v>237232</v>
      </c>
      <c r="E153" s="1">
        <v>13661</v>
      </c>
      <c r="F153" s="1">
        <v>13230</v>
      </c>
      <c r="G153" s="1">
        <v>14365</v>
      </c>
      <c r="H153" s="1">
        <v>15358</v>
      </c>
      <c r="I153" s="1">
        <v>14976</v>
      </c>
      <c r="J153" s="1">
        <v>14662</v>
      </c>
      <c r="K153" s="1">
        <v>14484</v>
      </c>
      <c r="L153" s="1">
        <v>14734</v>
      </c>
      <c r="M153" s="1">
        <v>17071</v>
      </c>
      <c r="N153" s="1">
        <v>17659</v>
      </c>
      <c r="O153" s="1">
        <v>16520</v>
      </c>
      <c r="P153" s="1">
        <v>13674</v>
      </c>
      <c r="Q153" s="1">
        <v>14561</v>
      </c>
      <c r="R153" s="1">
        <v>11053</v>
      </c>
      <c r="S153" s="1">
        <v>9508</v>
      </c>
      <c r="T153" s="1">
        <v>8719</v>
      </c>
      <c r="U153" s="1">
        <v>6941</v>
      </c>
      <c r="V153" s="1">
        <v>4196</v>
      </c>
      <c r="W153" s="1">
        <v>1860</v>
      </c>
      <c r="X153" s="9">
        <f>SUM(Table2[[#This Row],[Age 20 to 24]:[Age 90 and Over]])</f>
        <v>180618</v>
      </c>
      <c r="Y153" s="9">
        <f>_xlfn.XLOOKUP(Table2[[#This Row],[Area]],Referendum!E:E,Referendum!L:L,"")</f>
        <v>42201</v>
      </c>
      <c r="Z153" s="9">
        <f>_xlfn.XLOOKUP(Table2[[#This Row],[Area]],Referendum!E:E,Referendum!M:M,"")</f>
        <v>96885</v>
      </c>
      <c r="AA153" s="10">
        <f>(Table2[[#This Row],[Leave Votes]]+Table2[[#This Row],[Remain Votes]])/Table2[[#This Row],[Residents Age &gt;=20]]</f>
        <v>0.77005614058399496</v>
      </c>
      <c r="AB153" s="10">
        <f>Table2[[#This Row],[Remain Votes]]/Table2[[#This Row],[Residents Age &gt;=20]]</f>
        <v>0.23364780918845299</v>
      </c>
      <c r="AC153" s="10">
        <f>Table2[[#This Row],[Leave Votes]]/Table2[[#This Row],[Residents Age &gt;=20]]</f>
        <v>0.536408331395542</v>
      </c>
    </row>
    <row r="154" spans="1:29" x14ac:dyDescent="0.45">
      <c r="A154" t="s">
        <v>830</v>
      </c>
      <c r="B154" t="s">
        <v>269</v>
      </c>
      <c r="C154" t="s">
        <v>270</v>
      </c>
      <c r="D154" s="1">
        <v>183477</v>
      </c>
      <c r="E154" s="1">
        <v>9580</v>
      </c>
      <c r="F154" s="1">
        <v>9180</v>
      </c>
      <c r="G154" s="1">
        <v>10494</v>
      </c>
      <c r="H154" s="1">
        <v>10684</v>
      </c>
      <c r="I154" s="1">
        <v>9431</v>
      </c>
      <c r="J154" s="1">
        <v>9681</v>
      </c>
      <c r="K154" s="1">
        <v>9606</v>
      </c>
      <c r="L154" s="1">
        <v>10411</v>
      </c>
      <c r="M154" s="1">
        <v>12832</v>
      </c>
      <c r="N154" s="1">
        <v>14020</v>
      </c>
      <c r="O154" s="1">
        <v>12677</v>
      </c>
      <c r="P154" s="1">
        <v>12261</v>
      </c>
      <c r="Q154" s="1">
        <v>13604</v>
      </c>
      <c r="R154" s="1">
        <v>11418</v>
      </c>
      <c r="S154" s="1">
        <v>9078</v>
      </c>
      <c r="T154" s="1">
        <v>7559</v>
      </c>
      <c r="U154" s="1">
        <v>5637</v>
      </c>
      <c r="V154" s="1">
        <v>3535</v>
      </c>
      <c r="W154" s="1">
        <v>1789</v>
      </c>
      <c r="X154" s="9">
        <f>SUM(Table2[[#This Row],[Age 20 to 24]:[Age 90 and Over]])</f>
        <v>143539</v>
      </c>
      <c r="Y154" s="9">
        <f>_xlfn.XLOOKUP(Table2[[#This Row],[Area]],Referendum!E:E,Referendum!L:L,"")</f>
        <v>44148</v>
      </c>
      <c r="Z154" s="9">
        <f>_xlfn.XLOOKUP(Table2[[#This Row],[Area]],Referendum!E:E,Referendum!M:M,"")</f>
        <v>64122</v>
      </c>
      <c r="AA154" s="10">
        <f>(Table2[[#This Row],[Leave Votes]]+Table2[[#This Row],[Remain Votes]])/Table2[[#This Row],[Residents Age &gt;=20]]</f>
        <v>0.75428977490438143</v>
      </c>
      <c r="AB154" s="10">
        <f>Table2[[#This Row],[Remain Votes]]/Table2[[#This Row],[Residents Age &gt;=20]]</f>
        <v>0.30756797804081121</v>
      </c>
      <c r="AC154" s="10">
        <f>Table2[[#This Row],[Leave Votes]]/Table2[[#This Row],[Residents Age &gt;=20]]</f>
        <v>0.44672179686357016</v>
      </c>
    </row>
    <row r="155" spans="1:29" x14ac:dyDescent="0.45">
      <c r="A155" t="s">
        <v>830</v>
      </c>
      <c r="B155" t="s">
        <v>369</v>
      </c>
      <c r="C155" t="s">
        <v>370</v>
      </c>
      <c r="D155" s="1">
        <v>100031</v>
      </c>
      <c r="E155" s="1">
        <v>6707</v>
      </c>
      <c r="F155" s="1">
        <v>5969</v>
      </c>
      <c r="G155" s="1">
        <v>6212</v>
      </c>
      <c r="H155" s="1">
        <v>6117</v>
      </c>
      <c r="I155" s="1">
        <v>5869</v>
      </c>
      <c r="J155" s="1">
        <v>6099</v>
      </c>
      <c r="K155" s="1">
        <v>6309</v>
      </c>
      <c r="L155" s="1">
        <v>6908</v>
      </c>
      <c r="M155" s="1">
        <v>7466</v>
      </c>
      <c r="N155" s="1">
        <v>7899</v>
      </c>
      <c r="O155" s="1">
        <v>6690</v>
      </c>
      <c r="P155" s="1">
        <v>5680</v>
      </c>
      <c r="Q155" s="1">
        <v>5778</v>
      </c>
      <c r="R155" s="1">
        <v>4475</v>
      </c>
      <c r="S155" s="1">
        <v>3523</v>
      </c>
      <c r="T155" s="1">
        <v>3096</v>
      </c>
      <c r="U155" s="1">
        <v>2578</v>
      </c>
      <c r="V155" s="1">
        <v>1748</v>
      </c>
      <c r="W155">
        <v>908</v>
      </c>
      <c r="X155" s="9">
        <f>SUM(Table2[[#This Row],[Age 20 to 24]:[Age 90 and Over]])</f>
        <v>75026</v>
      </c>
      <c r="Y155" s="9">
        <f>_xlfn.XLOOKUP(Table2[[#This Row],[Area]],Referendum!E:E,Referendum!L:L,"")</f>
        <v>27593</v>
      </c>
      <c r="Z155" s="9">
        <f>_xlfn.XLOOKUP(Table2[[#This Row],[Area]],Referendum!E:E,Referendum!M:M,"")</f>
        <v>28532</v>
      </c>
      <c r="AA155" s="10">
        <f>(Table2[[#This Row],[Leave Votes]]+Table2[[#This Row],[Remain Votes]])/Table2[[#This Row],[Residents Age &gt;=20]]</f>
        <v>0.74807400101298216</v>
      </c>
      <c r="AB155" s="10">
        <f>Table2[[#This Row],[Remain Votes]]/Table2[[#This Row],[Residents Age &gt;=20]]</f>
        <v>0.36777916988777226</v>
      </c>
      <c r="AC155" s="10">
        <f>Table2[[#This Row],[Leave Votes]]/Table2[[#This Row],[Residents Age &gt;=20]]</f>
        <v>0.38029483112520995</v>
      </c>
    </row>
    <row r="156" spans="1:29" x14ac:dyDescent="0.45">
      <c r="A156" t="s">
        <v>830</v>
      </c>
      <c r="B156" t="s">
        <v>191</v>
      </c>
      <c r="C156" t="s">
        <v>192</v>
      </c>
      <c r="D156" s="1">
        <v>90892</v>
      </c>
      <c r="E156" s="1">
        <v>4961</v>
      </c>
      <c r="F156" s="1">
        <v>4891</v>
      </c>
      <c r="G156" s="1">
        <v>5487</v>
      </c>
      <c r="H156" s="1">
        <v>5755</v>
      </c>
      <c r="I156" s="1">
        <v>5059</v>
      </c>
      <c r="J156" s="1">
        <v>4643</v>
      </c>
      <c r="K156" s="1">
        <v>4635</v>
      </c>
      <c r="L156" s="1">
        <v>5627</v>
      </c>
      <c r="M156" s="1">
        <v>7329</v>
      </c>
      <c r="N156" s="1">
        <v>7668</v>
      </c>
      <c r="O156" s="1">
        <v>6758</v>
      </c>
      <c r="P156" s="1">
        <v>5979</v>
      </c>
      <c r="Q156" s="1">
        <v>6431</v>
      </c>
      <c r="R156" s="1">
        <v>4945</v>
      </c>
      <c r="S156" s="1">
        <v>3697</v>
      </c>
      <c r="T156" s="1">
        <v>2905</v>
      </c>
      <c r="U156" s="1">
        <v>2154</v>
      </c>
      <c r="V156" s="1">
        <v>1262</v>
      </c>
      <c r="W156">
        <v>706</v>
      </c>
      <c r="X156" s="9">
        <f>SUM(Table2[[#This Row],[Age 20 to 24]:[Age 90 and Over]])</f>
        <v>69798</v>
      </c>
      <c r="Y156" s="9">
        <f>_xlfn.XLOOKUP(Table2[[#This Row],[Area]],Referendum!E:E,Referendum!L:L,"")</f>
        <v>27116</v>
      </c>
      <c r="Z156" s="9">
        <f>_xlfn.XLOOKUP(Table2[[#This Row],[Area]],Referendum!E:E,Referendum!M:M,"")</f>
        <v>27717</v>
      </c>
      <c r="AA156" s="10">
        <f>(Table2[[#This Row],[Leave Votes]]+Table2[[#This Row],[Remain Votes]])/Table2[[#This Row],[Residents Age &gt;=20]]</f>
        <v>0.78559557580446426</v>
      </c>
      <c r="AB156" s="10">
        <f>Table2[[#This Row],[Remain Votes]]/Table2[[#This Row],[Residents Age &gt;=20]]</f>
        <v>0.3884925069486232</v>
      </c>
      <c r="AC156" s="10">
        <f>Table2[[#This Row],[Leave Votes]]/Table2[[#This Row],[Residents Age &gt;=20]]</f>
        <v>0.39710306885584112</v>
      </c>
    </row>
    <row r="157" spans="1:29" x14ac:dyDescent="0.45">
      <c r="A157" t="s">
        <v>837</v>
      </c>
      <c r="B157" t="s">
        <v>731</v>
      </c>
      <c r="C157" t="s">
        <v>732</v>
      </c>
      <c r="D157" s="1">
        <v>232100</v>
      </c>
      <c r="E157" s="1">
        <v>12700</v>
      </c>
      <c r="F157" s="1">
        <v>12400</v>
      </c>
      <c r="G157" s="1">
        <v>13400</v>
      </c>
      <c r="H157" s="1">
        <v>13300</v>
      </c>
      <c r="I157" s="1">
        <v>11600</v>
      </c>
      <c r="J157" s="1">
        <v>12800</v>
      </c>
      <c r="K157" s="1">
        <v>12500</v>
      </c>
      <c r="L157" s="1">
        <v>13900</v>
      </c>
      <c r="M157" s="1">
        <v>16900</v>
      </c>
      <c r="N157" s="1">
        <v>18500</v>
      </c>
      <c r="O157" s="1">
        <v>17500</v>
      </c>
      <c r="P157" s="1">
        <v>16600</v>
      </c>
      <c r="Q157" s="1">
        <v>17000</v>
      </c>
      <c r="R157" s="1">
        <v>13300</v>
      </c>
      <c r="S157" s="1">
        <v>10600</v>
      </c>
      <c r="T157" s="1">
        <v>8400</v>
      </c>
      <c r="U157" s="1">
        <v>10800</v>
      </c>
      <c r="X157" s="9">
        <f>SUM(Table2[[#This Row],[Age 20 to 24]:[Age 90 and Over]])</f>
        <v>180400</v>
      </c>
      <c r="Y157" s="9">
        <f>_xlfn.XLOOKUP(Table2[[#This Row],[Area]],Referendum!E:E,Referendum!L:L,"")</f>
        <v>70308</v>
      </c>
      <c r="Z157" s="9">
        <f>_xlfn.XLOOKUP(Table2[[#This Row],[Area]],Referendum!E:E,Referendum!M:M,"")</f>
        <v>55349</v>
      </c>
      <c r="AA157" s="10">
        <f>(Table2[[#This Row],[Leave Votes]]+Table2[[#This Row],[Remain Votes]])/Table2[[#This Row],[Residents Age &gt;=20]]</f>
        <v>0.69654656319290464</v>
      </c>
      <c r="AB157" s="10">
        <f>Table2[[#This Row],[Remain Votes]]/Table2[[#This Row],[Residents Age &gt;=20]]</f>
        <v>0.38973392461197337</v>
      </c>
      <c r="AC157" s="10">
        <f>Table2[[#This Row],[Leave Votes]]/Table2[[#This Row],[Residents Age &gt;=20]]</f>
        <v>0.30681263858093127</v>
      </c>
    </row>
    <row r="158" spans="1:29" x14ac:dyDescent="0.45">
      <c r="A158" t="s">
        <v>830</v>
      </c>
      <c r="B158" t="s">
        <v>445</v>
      </c>
      <c r="C158" t="s">
        <v>446</v>
      </c>
      <c r="D158" s="1">
        <v>273936</v>
      </c>
      <c r="E158" s="1">
        <v>19704</v>
      </c>
      <c r="F158" s="1">
        <v>16915</v>
      </c>
      <c r="G158" s="1">
        <v>16877</v>
      </c>
      <c r="H158" s="1">
        <v>19033</v>
      </c>
      <c r="I158" s="1">
        <v>21934</v>
      </c>
      <c r="J158" s="1">
        <v>20878</v>
      </c>
      <c r="K158" s="1">
        <v>21507</v>
      </c>
      <c r="L158" s="1">
        <v>20012</v>
      </c>
      <c r="M158" s="1">
        <v>19679</v>
      </c>
      <c r="N158" s="1">
        <v>19341</v>
      </c>
      <c r="O158" s="1">
        <v>16567</v>
      </c>
      <c r="P158" s="1">
        <v>13525</v>
      </c>
      <c r="Q158" s="1">
        <v>12786</v>
      </c>
      <c r="R158" s="1">
        <v>9635</v>
      </c>
      <c r="S158" s="1">
        <v>8426</v>
      </c>
      <c r="T158" s="1">
        <v>7246</v>
      </c>
      <c r="U158" s="1">
        <v>5179</v>
      </c>
      <c r="V158" s="1">
        <v>3036</v>
      </c>
      <c r="W158" s="1">
        <v>1656</v>
      </c>
      <c r="X158" s="9">
        <f>SUM(Table2[[#This Row],[Age 20 to 24]:[Age 90 and Over]])</f>
        <v>201407</v>
      </c>
      <c r="Y158" s="9">
        <f>_xlfn.XLOOKUP(Table2[[#This Row],[Area]],Referendum!E:E,Referendum!L:L,"")</f>
        <v>58040</v>
      </c>
      <c r="Z158" s="9">
        <f>_xlfn.XLOOKUP(Table2[[#This Row],[Area]],Referendum!E:E,Referendum!M:M,"")</f>
        <v>74982</v>
      </c>
      <c r="AA158" s="10">
        <f>(Table2[[#This Row],[Leave Votes]]+Table2[[#This Row],[Remain Votes]])/Table2[[#This Row],[Residents Age &gt;=20]]</f>
        <v>0.6604636383045277</v>
      </c>
      <c r="AB158" s="10">
        <f>Table2[[#This Row],[Remain Votes]]/Table2[[#This Row],[Residents Age &gt;=20]]</f>
        <v>0.288172705020183</v>
      </c>
      <c r="AC158" s="10">
        <f>Table2[[#This Row],[Leave Votes]]/Table2[[#This Row],[Residents Age &gt;=20]]</f>
        <v>0.37229093328434465</v>
      </c>
    </row>
    <row r="159" spans="1:29" x14ac:dyDescent="0.45">
      <c r="A159" t="s">
        <v>830</v>
      </c>
      <c r="B159" t="s">
        <v>203</v>
      </c>
      <c r="C159" t="s">
        <v>204</v>
      </c>
      <c r="D159" s="1">
        <v>105078</v>
      </c>
      <c r="E159" s="1">
        <v>5778</v>
      </c>
      <c r="F159" s="1">
        <v>5519</v>
      </c>
      <c r="G159" s="1">
        <v>6014</v>
      </c>
      <c r="H159" s="1">
        <v>5984</v>
      </c>
      <c r="I159" s="1">
        <v>5376</v>
      </c>
      <c r="J159" s="1">
        <v>5767</v>
      </c>
      <c r="K159" s="1">
        <v>5922</v>
      </c>
      <c r="L159" s="1">
        <v>6818</v>
      </c>
      <c r="M159" s="1">
        <v>8085</v>
      </c>
      <c r="N159" s="1">
        <v>8290</v>
      </c>
      <c r="O159" s="1">
        <v>7316</v>
      </c>
      <c r="P159" s="1">
        <v>6966</v>
      </c>
      <c r="Q159" s="1">
        <v>7910</v>
      </c>
      <c r="R159" s="1">
        <v>6027</v>
      </c>
      <c r="S159" s="1">
        <v>4547</v>
      </c>
      <c r="T159" s="1">
        <v>3543</v>
      </c>
      <c r="U159" s="1">
        <v>2773</v>
      </c>
      <c r="V159" s="1">
        <v>1674</v>
      </c>
      <c r="W159">
        <v>769</v>
      </c>
      <c r="X159" s="9">
        <f>SUM(Table2[[#This Row],[Age 20 to 24]:[Age 90 and Over]])</f>
        <v>81783</v>
      </c>
      <c r="Y159" s="9">
        <f>_xlfn.XLOOKUP(Table2[[#This Row],[Area]],Referendum!E:E,Referendum!L:L,"")</f>
        <v>25969</v>
      </c>
      <c r="Z159" s="9">
        <f>_xlfn.XLOOKUP(Table2[[#This Row],[Area]],Referendum!E:E,Referendum!M:M,"")</f>
        <v>39501</v>
      </c>
      <c r="AA159" s="10">
        <f>(Table2[[#This Row],[Leave Votes]]+Table2[[#This Row],[Remain Votes]])/Table2[[#This Row],[Residents Age &gt;=20]]</f>
        <v>0.80053311812968464</v>
      </c>
      <c r="AB159" s="10">
        <f>Table2[[#This Row],[Remain Votes]]/Table2[[#This Row],[Residents Age &gt;=20]]</f>
        <v>0.31753542912341198</v>
      </c>
      <c r="AC159" s="10">
        <f>Table2[[#This Row],[Leave Votes]]/Table2[[#This Row],[Residents Age &gt;=20]]</f>
        <v>0.48299768900627271</v>
      </c>
    </row>
    <row r="160" spans="1:29" x14ac:dyDescent="0.45">
      <c r="A160" t="s">
        <v>830</v>
      </c>
      <c r="B160" t="s">
        <v>609</v>
      </c>
      <c r="C160" t="s">
        <v>610</v>
      </c>
      <c r="D160" s="1">
        <v>131301</v>
      </c>
      <c r="E160" s="1">
        <v>7151</v>
      </c>
      <c r="F160" s="1">
        <v>7251</v>
      </c>
      <c r="G160" s="1">
        <v>8469</v>
      </c>
      <c r="H160" s="1">
        <v>7876</v>
      </c>
      <c r="I160" s="1">
        <v>5660</v>
      </c>
      <c r="J160" s="1">
        <v>5858</v>
      </c>
      <c r="K160" s="1">
        <v>6732</v>
      </c>
      <c r="L160" s="1">
        <v>8200</v>
      </c>
      <c r="M160" s="1">
        <v>10310</v>
      </c>
      <c r="N160" s="1">
        <v>10978</v>
      </c>
      <c r="O160" s="1">
        <v>9784</v>
      </c>
      <c r="P160" s="1">
        <v>8353</v>
      </c>
      <c r="Q160" s="1">
        <v>9109</v>
      </c>
      <c r="R160" s="1">
        <v>7279</v>
      </c>
      <c r="S160" s="1">
        <v>5851</v>
      </c>
      <c r="T160" s="1">
        <v>4903</v>
      </c>
      <c r="U160" s="1">
        <v>3814</v>
      </c>
      <c r="V160" s="1">
        <v>2356</v>
      </c>
      <c r="W160" s="1">
        <v>1367</v>
      </c>
      <c r="X160" s="9">
        <f>SUM(Table2[[#This Row],[Age 20 to 24]:[Age 90 and Over]])</f>
        <v>100554</v>
      </c>
      <c r="Y160" s="9">
        <f>_xlfn.XLOOKUP(Table2[[#This Row],[Area]],Referendum!E:E,Referendum!L:L,"")</f>
        <v>43785</v>
      </c>
      <c r="Z160" s="9">
        <f>_xlfn.XLOOKUP(Table2[[#This Row],[Area]],Referendum!E:E,Referendum!M:M,"")</f>
        <v>41303</v>
      </c>
      <c r="AA160" s="10">
        <f>(Table2[[#This Row],[Leave Votes]]+Table2[[#This Row],[Remain Votes]])/Table2[[#This Row],[Residents Age &gt;=20]]</f>
        <v>0.84619209578932708</v>
      </c>
      <c r="AB160" s="10">
        <f>Table2[[#This Row],[Remain Votes]]/Table2[[#This Row],[Residents Age &gt;=20]]</f>
        <v>0.43543767527895461</v>
      </c>
      <c r="AC160" s="10">
        <f>Table2[[#This Row],[Leave Votes]]/Table2[[#This Row],[Residents Age &gt;=20]]</f>
        <v>0.41075442051037253</v>
      </c>
    </row>
    <row r="161" spans="1:29" x14ac:dyDescent="0.45">
      <c r="A161" t="s">
        <v>830</v>
      </c>
      <c r="B161" t="s">
        <v>447</v>
      </c>
      <c r="C161" t="s">
        <v>448</v>
      </c>
      <c r="D161" s="1">
        <v>253957</v>
      </c>
      <c r="E161" s="1">
        <v>19725</v>
      </c>
      <c r="F161" s="1">
        <v>14899</v>
      </c>
      <c r="G161" s="1">
        <v>13945</v>
      </c>
      <c r="H161" s="1">
        <v>14677</v>
      </c>
      <c r="I161" s="1">
        <v>18612</v>
      </c>
      <c r="J161" s="1">
        <v>26231</v>
      </c>
      <c r="K161" s="1">
        <v>25465</v>
      </c>
      <c r="L161" s="1">
        <v>21144</v>
      </c>
      <c r="M161" s="1">
        <v>18144</v>
      </c>
      <c r="N161" s="1">
        <v>16704</v>
      </c>
      <c r="O161" s="1">
        <v>14502</v>
      </c>
      <c r="P161" s="1">
        <v>12205</v>
      </c>
      <c r="Q161" s="1">
        <v>10845</v>
      </c>
      <c r="R161" s="1">
        <v>7916</v>
      </c>
      <c r="S161" s="1">
        <v>6676</v>
      </c>
      <c r="T161" s="1">
        <v>5297</v>
      </c>
      <c r="U161" s="1">
        <v>3685</v>
      </c>
      <c r="V161" s="1">
        <v>2220</v>
      </c>
      <c r="W161" s="1">
        <v>1065</v>
      </c>
      <c r="X161" s="9">
        <f>SUM(Table2[[#This Row],[Age 20 to 24]:[Age 90 and Over]])</f>
        <v>190711</v>
      </c>
      <c r="Y161" s="9">
        <f>_xlfn.XLOOKUP(Table2[[#This Row],[Area]],Referendum!E:E,Referendum!L:L,"")</f>
        <v>58755</v>
      </c>
      <c r="Z161" s="9">
        <f>_xlfn.XLOOKUP(Table2[[#This Row],[Area]],Referendum!E:E,Referendum!M:M,"")</f>
        <v>56321</v>
      </c>
      <c r="AA161" s="10">
        <f>(Table2[[#This Row],[Leave Votes]]+Table2[[#This Row],[Remain Votes]])/Table2[[#This Row],[Residents Age &gt;=20]]</f>
        <v>0.603405152298504</v>
      </c>
      <c r="AB161" s="10">
        <f>Table2[[#This Row],[Remain Votes]]/Table2[[#This Row],[Residents Age &gt;=20]]</f>
        <v>0.3080839594989277</v>
      </c>
      <c r="AC161" s="10">
        <f>Table2[[#This Row],[Leave Votes]]/Table2[[#This Row],[Residents Age &gt;=20]]</f>
        <v>0.2953211927995763</v>
      </c>
    </row>
    <row r="162" spans="1:29" x14ac:dyDescent="0.45">
      <c r="A162" t="s">
        <v>830</v>
      </c>
      <c r="B162" t="s">
        <v>335</v>
      </c>
      <c r="C162" t="s">
        <v>336</v>
      </c>
      <c r="D162" s="1">
        <v>169508</v>
      </c>
      <c r="E162" s="1">
        <v>10098</v>
      </c>
      <c r="F162" s="1">
        <v>9704</v>
      </c>
      <c r="G162" s="1">
        <v>10361</v>
      </c>
      <c r="H162" s="1">
        <v>10318</v>
      </c>
      <c r="I162" s="1">
        <v>9507</v>
      </c>
      <c r="J162" s="1">
        <v>9805</v>
      </c>
      <c r="K162" s="1">
        <v>10239</v>
      </c>
      <c r="L162" s="1">
        <v>11605</v>
      </c>
      <c r="M162" s="1">
        <v>13498</v>
      </c>
      <c r="N162" s="1">
        <v>13587</v>
      </c>
      <c r="O162" s="1">
        <v>11759</v>
      </c>
      <c r="P162" s="1">
        <v>10325</v>
      </c>
      <c r="Q162" s="1">
        <v>11402</v>
      </c>
      <c r="R162" s="1">
        <v>8875</v>
      </c>
      <c r="S162" s="1">
        <v>6614</v>
      </c>
      <c r="T162" s="1">
        <v>4890</v>
      </c>
      <c r="U162" s="1">
        <v>3567</v>
      </c>
      <c r="V162" s="1">
        <v>2186</v>
      </c>
      <c r="W162" s="1">
        <v>1168</v>
      </c>
      <c r="X162" s="9">
        <f>SUM(Table2[[#This Row],[Age 20 to 24]:[Age 90 and Over]])</f>
        <v>129027</v>
      </c>
      <c r="Y162" s="9">
        <f>_xlfn.XLOOKUP(Table2[[#This Row],[Area]],Referendum!E:E,Referendum!L:L,"")</f>
        <v>45729</v>
      </c>
      <c r="Z162" s="9">
        <f>_xlfn.XLOOKUP(Table2[[#This Row],[Area]],Referendum!E:E,Referendum!M:M,"")</f>
        <v>54198</v>
      </c>
      <c r="AA162" s="10">
        <f>(Table2[[#This Row],[Leave Votes]]+Table2[[#This Row],[Remain Votes]])/Table2[[#This Row],[Residents Age &gt;=20]]</f>
        <v>0.77446580948173638</v>
      </c>
      <c r="AB162" s="10">
        <f>Table2[[#This Row],[Remain Votes]]/Table2[[#This Row],[Residents Age &gt;=20]]</f>
        <v>0.35441419237833943</v>
      </c>
      <c r="AC162" s="10">
        <f>Table2[[#This Row],[Leave Votes]]/Table2[[#This Row],[Residents Age &gt;=20]]</f>
        <v>0.42005161710339695</v>
      </c>
    </row>
    <row r="163" spans="1:29" x14ac:dyDescent="0.45">
      <c r="A163" t="s">
        <v>830</v>
      </c>
      <c r="B163" t="s">
        <v>109</v>
      </c>
      <c r="C163" t="s">
        <v>110</v>
      </c>
      <c r="D163" s="1">
        <v>80734</v>
      </c>
      <c r="E163" s="1">
        <v>5427</v>
      </c>
      <c r="F163" s="1">
        <v>5002</v>
      </c>
      <c r="G163" s="1">
        <v>5057</v>
      </c>
      <c r="H163" s="1">
        <v>5280</v>
      </c>
      <c r="I163" s="1">
        <v>5041</v>
      </c>
      <c r="J163" s="1">
        <v>5287</v>
      </c>
      <c r="K163" s="1">
        <v>4972</v>
      </c>
      <c r="L163" s="1">
        <v>5268</v>
      </c>
      <c r="M163" s="1">
        <v>6089</v>
      </c>
      <c r="N163" s="1">
        <v>5822</v>
      </c>
      <c r="O163" s="1">
        <v>5057</v>
      </c>
      <c r="P163" s="1">
        <v>4569</v>
      </c>
      <c r="Q163" s="1">
        <v>5054</v>
      </c>
      <c r="R163" s="1">
        <v>4020</v>
      </c>
      <c r="S163" s="1">
        <v>3053</v>
      </c>
      <c r="T163" s="1">
        <v>2385</v>
      </c>
      <c r="U163" s="1">
        <v>1798</v>
      </c>
      <c r="V163" s="1">
        <v>1043</v>
      </c>
      <c r="W163">
        <v>510</v>
      </c>
      <c r="X163" s="9">
        <f>SUM(Table2[[#This Row],[Age 20 to 24]:[Age 90 and Over]])</f>
        <v>59968</v>
      </c>
      <c r="Y163" s="9">
        <f>_xlfn.XLOOKUP(Table2[[#This Row],[Area]],Referendum!E:E,Referendum!L:L,"")</f>
        <v>13569</v>
      </c>
      <c r="Z163" s="9">
        <f>_xlfn.XLOOKUP(Table2[[#This Row],[Area]],Referendum!E:E,Referendum!M:M,"")</f>
        <v>26568</v>
      </c>
      <c r="AA163" s="10">
        <f>(Table2[[#This Row],[Leave Votes]]+Table2[[#This Row],[Remain Votes]])/Table2[[#This Row],[Residents Age &gt;=20]]</f>
        <v>0.6693069637139808</v>
      </c>
      <c r="AB163" s="10">
        <f>Table2[[#This Row],[Remain Votes]]/Table2[[#This Row],[Residents Age &gt;=20]]</f>
        <v>0.22627067769477055</v>
      </c>
      <c r="AC163" s="10">
        <f>Table2[[#This Row],[Leave Votes]]/Table2[[#This Row],[Residents Age &gt;=20]]</f>
        <v>0.44303628601921025</v>
      </c>
    </row>
    <row r="164" spans="1:29" x14ac:dyDescent="0.45">
      <c r="A164" t="s">
        <v>837</v>
      </c>
      <c r="B164" t="s">
        <v>733</v>
      </c>
      <c r="C164" t="s">
        <v>734</v>
      </c>
      <c r="D164" s="1">
        <v>81500</v>
      </c>
      <c r="E164" s="1">
        <v>4200</v>
      </c>
      <c r="F164" s="1">
        <v>4000</v>
      </c>
      <c r="G164" s="1">
        <v>4500</v>
      </c>
      <c r="H164" s="1">
        <v>5100</v>
      </c>
      <c r="I164" s="1">
        <v>5000</v>
      </c>
      <c r="J164" s="1">
        <v>4700</v>
      </c>
      <c r="K164" s="1">
        <v>4300</v>
      </c>
      <c r="L164" s="1">
        <v>4800</v>
      </c>
      <c r="M164" s="1">
        <v>6100</v>
      </c>
      <c r="N164" s="1">
        <v>6900</v>
      </c>
      <c r="O164" s="1">
        <v>6300</v>
      </c>
      <c r="P164" s="1">
        <v>5300</v>
      </c>
      <c r="Q164" s="1">
        <v>5400</v>
      </c>
      <c r="R164" s="1">
        <v>4300</v>
      </c>
      <c r="S164" s="1">
        <v>3600</v>
      </c>
      <c r="T164" s="1">
        <v>3000</v>
      </c>
      <c r="U164" s="1">
        <v>3800</v>
      </c>
      <c r="X164" s="9">
        <f>SUM(Table2[[#This Row],[Age 20 to 24]:[Age 90 and Over]])</f>
        <v>63500</v>
      </c>
      <c r="Y164" s="9">
        <f>_xlfn.XLOOKUP(Table2[[#This Row],[Area]],Referendum!E:E,Referendum!L:L,"")</f>
        <v>24688</v>
      </c>
      <c r="Z164" s="9">
        <f>_xlfn.XLOOKUP(Table2[[#This Row],[Area]],Referendum!E:E,Referendum!M:M,"")</f>
        <v>14010</v>
      </c>
      <c r="AA164" s="10">
        <f>(Table2[[#This Row],[Leave Votes]]+Table2[[#This Row],[Remain Votes]])/Table2[[#This Row],[Residents Age &gt;=20]]</f>
        <v>0.60941732283464567</v>
      </c>
      <c r="AB164" s="10">
        <f>Table2[[#This Row],[Remain Votes]]/Table2[[#This Row],[Residents Age &gt;=20]]</f>
        <v>0.38878740157480313</v>
      </c>
      <c r="AC164" s="10">
        <f>Table2[[#This Row],[Leave Votes]]/Table2[[#This Row],[Residents Age &gt;=20]]</f>
        <v>0.22062992125984252</v>
      </c>
    </row>
    <row r="165" spans="1:29" x14ac:dyDescent="0.45">
      <c r="A165" t="s">
        <v>830</v>
      </c>
      <c r="B165" t="s">
        <v>401</v>
      </c>
      <c r="C165" t="s">
        <v>402</v>
      </c>
      <c r="D165" s="1">
        <v>133384</v>
      </c>
      <c r="E165" s="1">
        <v>9250</v>
      </c>
      <c r="F165" s="1">
        <v>7630</v>
      </c>
      <c r="G165" s="1">
        <v>7552</v>
      </c>
      <c r="H165" s="1">
        <v>8636</v>
      </c>
      <c r="I165" s="1">
        <v>9562</v>
      </c>
      <c r="J165" s="1">
        <v>10877</v>
      </c>
      <c r="K165" s="1">
        <v>9963</v>
      </c>
      <c r="L165" s="1">
        <v>9124</v>
      </c>
      <c r="M165" s="1">
        <v>9425</v>
      </c>
      <c r="N165" s="1">
        <v>8991</v>
      </c>
      <c r="O165" s="1">
        <v>8184</v>
      </c>
      <c r="P165" s="1">
        <v>7223</v>
      </c>
      <c r="Q165" s="1">
        <v>7137</v>
      </c>
      <c r="R165" s="1">
        <v>5239</v>
      </c>
      <c r="S165" s="1">
        <v>4362</v>
      </c>
      <c r="T165" s="1">
        <v>3880</v>
      </c>
      <c r="U165" s="1">
        <v>3231</v>
      </c>
      <c r="V165" s="1">
        <v>2011</v>
      </c>
      <c r="W165" s="1">
        <v>1107</v>
      </c>
      <c r="X165" s="9">
        <f>SUM(Table2[[#This Row],[Age 20 to 24]:[Age 90 and Over]])</f>
        <v>100316</v>
      </c>
      <c r="Y165" s="9">
        <f>_xlfn.XLOOKUP(Table2[[#This Row],[Area]],Referendum!E:E,Referendum!L:L,"")</f>
        <v>27698</v>
      </c>
      <c r="Z165" s="9">
        <f>_xlfn.XLOOKUP(Table2[[#This Row],[Area]],Referendum!E:E,Referendum!M:M,"")</f>
        <v>38655</v>
      </c>
      <c r="AA165" s="10">
        <f>(Table2[[#This Row],[Leave Votes]]+Table2[[#This Row],[Remain Votes]])/Table2[[#This Row],[Residents Age &gt;=20]]</f>
        <v>0.66143985007376693</v>
      </c>
      <c r="AB165" s="10">
        <f>Table2[[#This Row],[Remain Votes]]/Table2[[#This Row],[Residents Age &gt;=20]]</f>
        <v>0.27610750029905501</v>
      </c>
      <c r="AC165" s="10">
        <f>Table2[[#This Row],[Leave Votes]]/Table2[[#This Row],[Residents Age &gt;=20]]</f>
        <v>0.38533234977471192</v>
      </c>
    </row>
    <row r="166" spans="1:29" x14ac:dyDescent="0.45">
      <c r="A166" t="s">
        <v>830</v>
      </c>
      <c r="B166" t="s">
        <v>763</v>
      </c>
      <c r="C166" t="s">
        <v>764</v>
      </c>
      <c r="D166" s="1">
        <v>69751</v>
      </c>
      <c r="E166" s="1">
        <v>3878</v>
      </c>
      <c r="F166" s="1">
        <v>3464</v>
      </c>
      <c r="G166" s="1">
        <v>3746</v>
      </c>
      <c r="H166" s="1">
        <v>3851</v>
      </c>
      <c r="I166" s="1">
        <v>3863</v>
      </c>
      <c r="J166" s="1">
        <v>3603</v>
      </c>
      <c r="K166" s="1">
        <v>3563</v>
      </c>
      <c r="L166" s="1">
        <v>3846</v>
      </c>
      <c r="M166" s="1">
        <v>4641</v>
      </c>
      <c r="N166" s="1">
        <v>4750</v>
      </c>
      <c r="O166" s="1">
        <v>4817</v>
      </c>
      <c r="P166" s="1">
        <v>4622</v>
      </c>
      <c r="Q166" s="1">
        <v>5461</v>
      </c>
      <c r="R166" s="1">
        <v>4759</v>
      </c>
      <c r="S166" s="1">
        <v>3815</v>
      </c>
      <c r="T166" s="1">
        <v>2847</v>
      </c>
      <c r="U166" s="1">
        <v>2199</v>
      </c>
      <c r="V166" s="1">
        <v>1249</v>
      </c>
      <c r="W166">
        <v>777</v>
      </c>
      <c r="X166" s="9">
        <f>SUM(Table2[[#This Row],[Age 20 to 24]:[Age 90 and Over]])</f>
        <v>54812</v>
      </c>
      <c r="Y166" s="9">
        <f>_xlfn.XLOOKUP(Table2[[#This Row],[Area]],Referendum!E:E,Referendum!L:L,"")</f>
        <v>18618</v>
      </c>
      <c r="Z166" s="9">
        <f>_xlfn.XLOOKUP(Table2[[#This Row],[Area]],Referendum!E:E,Referendum!M:M,"")</f>
        <v>19333</v>
      </c>
      <c r="AA166" s="10">
        <f>(Table2[[#This Row],[Leave Votes]]+Table2[[#This Row],[Remain Votes]])/Table2[[#This Row],[Residents Age &gt;=20]]</f>
        <v>0.69238487922352765</v>
      </c>
      <c r="AB166" s="10">
        <f>Table2[[#This Row],[Remain Votes]]/Table2[[#This Row],[Residents Age &gt;=20]]</f>
        <v>0.33967014522367367</v>
      </c>
      <c r="AC166" s="10">
        <f>Table2[[#This Row],[Leave Votes]]/Table2[[#This Row],[Residents Age &gt;=20]]</f>
        <v>0.35271473399985404</v>
      </c>
    </row>
    <row r="167" spans="1:29" x14ac:dyDescent="0.45">
      <c r="A167" t="s">
        <v>830</v>
      </c>
      <c r="B167" t="s">
        <v>503</v>
      </c>
      <c r="C167" t="s">
        <v>504</v>
      </c>
      <c r="D167" s="1">
        <v>138265</v>
      </c>
      <c r="E167" s="1">
        <v>6412</v>
      </c>
      <c r="F167" s="1">
        <v>6542</v>
      </c>
      <c r="G167" s="1">
        <v>7968</v>
      </c>
      <c r="H167" s="1">
        <v>8190</v>
      </c>
      <c r="I167" s="1">
        <v>6808</v>
      </c>
      <c r="J167" s="1">
        <v>6690</v>
      </c>
      <c r="K167" s="1">
        <v>6340</v>
      </c>
      <c r="L167" s="1">
        <v>7313</v>
      </c>
      <c r="M167" s="1">
        <v>9523</v>
      </c>
      <c r="N167" s="1">
        <v>10017</v>
      </c>
      <c r="O167" s="1">
        <v>9307</v>
      </c>
      <c r="P167" s="1">
        <v>9207</v>
      </c>
      <c r="Q167" s="1">
        <v>10994</v>
      </c>
      <c r="R167" s="1">
        <v>9742</v>
      </c>
      <c r="S167" s="1">
        <v>7370</v>
      </c>
      <c r="T167" s="1">
        <v>6048</v>
      </c>
      <c r="U167" s="1">
        <v>4724</v>
      </c>
      <c r="V167" s="1">
        <v>3257</v>
      </c>
      <c r="W167" s="1">
        <v>1813</v>
      </c>
      <c r="X167" s="9">
        <f>SUM(Table2[[#This Row],[Age 20 to 24]:[Age 90 and Over]])</f>
        <v>109153</v>
      </c>
      <c r="Y167" s="9">
        <f>_xlfn.XLOOKUP(Table2[[#This Row],[Area]],Referendum!E:E,Referendum!L:L,"")</f>
        <v>30207</v>
      </c>
      <c r="Z167" s="9">
        <f>_xlfn.XLOOKUP(Table2[[#This Row],[Area]],Referendum!E:E,Referendum!M:M,"")</f>
        <v>49173</v>
      </c>
      <c r="AA167" s="10">
        <f>(Table2[[#This Row],[Leave Votes]]+Table2[[#This Row],[Remain Votes]])/Table2[[#This Row],[Residents Age &gt;=20]]</f>
        <v>0.72723608146363361</v>
      </c>
      <c r="AB167" s="10">
        <f>Table2[[#This Row],[Remain Votes]]/Table2[[#This Row],[Residents Age &gt;=20]]</f>
        <v>0.27673998882302825</v>
      </c>
      <c r="AC167" s="10">
        <f>Table2[[#This Row],[Leave Votes]]/Table2[[#This Row],[Residents Age &gt;=20]]</f>
        <v>0.45049609264060536</v>
      </c>
    </row>
    <row r="168" spans="1:29" x14ac:dyDescent="0.45">
      <c r="A168" t="s">
        <v>830</v>
      </c>
      <c r="B168" t="s">
        <v>627</v>
      </c>
      <c r="C168" t="s">
        <v>628</v>
      </c>
      <c r="D168" s="1">
        <v>2203</v>
      </c>
      <c r="E168">
        <v>105</v>
      </c>
      <c r="F168">
        <v>105</v>
      </c>
      <c r="G168">
        <v>114</v>
      </c>
      <c r="H168">
        <v>56</v>
      </c>
      <c r="I168">
        <v>111</v>
      </c>
      <c r="J168">
        <v>135</v>
      </c>
      <c r="K168">
        <v>127</v>
      </c>
      <c r="L168">
        <v>130</v>
      </c>
      <c r="M168">
        <v>170</v>
      </c>
      <c r="N168">
        <v>175</v>
      </c>
      <c r="O168">
        <v>155</v>
      </c>
      <c r="P168">
        <v>142</v>
      </c>
      <c r="Q168">
        <v>172</v>
      </c>
      <c r="R168">
        <v>164</v>
      </c>
      <c r="S168">
        <v>107</v>
      </c>
      <c r="T168">
        <v>81</v>
      </c>
      <c r="U168">
        <v>84</v>
      </c>
      <c r="V168">
        <v>37</v>
      </c>
      <c r="W168">
        <v>33</v>
      </c>
      <c r="X168" s="9">
        <f>SUM(Table2[[#This Row],[Age 20 to 24]:[Age 90 and Over]])</f>
        <v>1823</v>
      </c>
      <c r="Y168" s="9">
        <f>_xlfn.XLOOKUP(Table2[[#This Row],[Area]],Referendum!E:E,Referendum!L:L,"")</f>
        <v>803</v>
      </c>
      <c r="Z168" s="9">
        <f>_xlfn.XLOOKUP(Table2[[#This Row],[Area]],Referendum!E:E,Referendum!M:M,"")</f>
        <v>621</v>
      </c>
      <c r="AA168" s="10">
        <f>(Table2[[#This Row],[Leave Votes]]+Table2[[#This Row],[Remain Votes]])/Table2[[#This Row],[Residents Age &gt;=20]]</f>
        <v>0.78113000548546352</v>
      </c>
      <c r="AB168" s="10">
        <f>Table2[[#This Row],[Remain Votes]]/Table2[[#This Row],[Residents Age &gt;=20]]</f>
        <v>0.44048272078990675</v>
      </c>
      <c r="AC168" s="10">
        <f>Table2[[#This Row],[Leave Votes]]/Table2[[#This Row],[Residents Age &gt;=20]]</f>
        <v>0.34064728469555677</v>
      </c>
    </row>
    <row r="169" spans="1:29" x14ac:dyDescent="0.45">
      <c r="A169" t="s">
        <v>830</v>
      </c>
      <c r="B169" t="s">
        <v>449</v>
      </c>
      <c r="C169" t="s">
        <v>450</v>
      </c>
      <c r="D169" s="1">
        <v>206125</v>
      </c>
      <c r="E169" s="1">
        <v>12289</v>
      </c>
      <c r="F169" s="1">
        <v>9583</v>
      </c>
      <c r="G169" s="1">
        <v>9118</v>
      </c>
      <c r="H169" s="1">
        <v>10800</v>
      </c>
      <c r="I169" s="1">
        <v>20453</v>
      </c>
      <c r="J169" s="1">
        <v>29744</v>
      </c>
      <c r="K169" s="1">
        <v>24867</v>
      </c>
      <c r="L169" s="1">
        <v>17490</v>
      </c>
      <c r="M169" s="1">
        <v>15076</v>
      </c>
      <c r="N169" s="1">
        <v>13367</v>
      </c>
      <c r="O169" s="1">
        <v>10173</v>
      </c>
      <c r="P169" s="1">
        <v>7901</v>
      </c>
      <c r="Q169" s="1">
        <v>7228</v>
      </c>
      <c r="R169" s="1">
        <v>5395</v>
      </c>
      <c r="S169" s="1">
        <v>4490</v>
      </c>
      <c r="T169" s="1">
        <v>3478</v>
      </c>
      <c r="U169" s="1">
        <v>2542</v>
      </c>
      <c r="V169" s="1">
        <v>1443</v>
      </c>
      <c r="W169">
        <v>688</v>
      </c>
      <c r="X169" s="9">
        <f>SUM(Table2[[#This Row],[Age 20 to 24]:[Age 90 and Over]])</f>
        <v>164335</v>
      </c>
      <c r="Y169" s="9">
        <f>_xlfn.XLOOKUP(Table2[[#This Row],[Area]],Referendum!E:E,Referendum!L:L,"")</f>
        <v>76420</v>
      </c>
      <c r="Z169" s="9">
        <f>_xlfn.XLOOKUP(Table2[[#This Row],[Area]],Referendum!E:E,Referendum!M:M,"")</f>
        <v>25180</v>
      </c>
      <c r="AA169" s="10">
        <f>(Table2[[#This Row],[Leave Votes]]+Table2[[#This Row],[Remain Votes]])/Table2[[#This Row],[Residents Age &gt;=20]]</f>
        <v>0.61824930781635079</v>
      </c>
      <c r="AB169" s="10">
        <f>Table2[[#This Row],[Remain Votes]]/Table2[[#This Row],[Residents Age &gt;=20]]</f>
        <v>0.46502570967840084</v>
      </c>
      <c r="AC169" s="10">
        <f>Table2[[#This Row],[Leave Votes]]/Table2[[#This Row],[Residents Age &gt;=20]]</f>
        <v>0.15322359813794992</v>
      </c>
    </row>
    <row r="170" spans="1:29" x14ac:dyDescent="0.45">
      <c r="A170" t="s">
        <v>830</v>
      </c>
      <c r="B170" t="s">
        <v>451</v>
      </c>
      <c r="C170" t="s">
        <v>452</v>
      </c>
      <c r="D170" s="1">
        <v>158649</v>
      </c>
      <c r="E170" s="1">
        <v>9189</v>
      </c>
      <c r="F170" s="1">
        <v>7614</v>
      </c>
      <c r="G170" s="1">
        <v>6442</v>
      </c>
      <c r="H170" s="1">
        <v>6475</v>
      </c>
      <c r="I170" s="1">
        <v>11322</v>
      </c>
      <c r="J170" s="1">
        <v>16602</v>
      </c>
      <c r="K170" s="1">
        <v>18345</v>
      </c>
      <c r="L170" s="1">
        <v>14400</v>
      </c>
      <c r="M170" s="1">
        <v>12432</v>
      </c>
      <c r="N170" s="1">
        <v>11376</v>
      </c>
      <c r="O170" s="1">
        <v>9475</v>
      </c>
      <c r="P170" s="1">
        <v>7686</v>
      </c>
      <c r="Q170" s="1">
        <v>8176</v>
      </c>
      <c r="R170" s="1">
        <v>6271</v>
      </c>
      <c r="S170" s="1">
        <v>4657</v>
      </c>
      <c r="T170" s="1">
        <v>3262</v>
      </c>
      <c r="U170" s="1">
        <v>2458</v>
      </c>
      <c r="V170" s="1">
        <v>1539</v>
      </c>
      <c r="W170">
        <v>928</v>
      </c>
      <c r="X170" s="9">
        <f>SUM(Table2[[#This Row],[Age 20 to 24]:[Age 90 and Over]])</f>
        <v>128929</v>
      </c>
      <c r="Y170" s="9">
        <f>_xlfn.XLOOKUP(Table2[[#This Row],[Area]],Referendum!E:E,Referendum!L:L,"")</f>
        <v>37601</v>
      </c>
      <c r="Z170" s="9">
        <f>_xlfn.XLOOKUP(Table2[[#This Row],[Area]],Referendum!E:E,Referendum!M:M,"")</f>
        <v>17138</v>
      </c>
      <c r="AA170" s="10">
        <f>(Table2[[#This Row],[Leave Votes]]+Table2[[#This Row],[Remain Votes]])/Table2[[#This Row],[Residents Age &gt;=20]]</f>
        <v>0.42456700974955208</v>
      </c>
      <c r="AB170" s="10">
        <f>Table2[[#This Row],[Remain Votes]]/Table2[[#This Row],[Residents Age &gt;=20]]</f>
        <v>0.29164113581893908</v>
      </c>
      <c r="AC170" s="10">
        <f>Table2[[#This Row],[Leave Votes]]/Table2[[#This Row],[Residents Age &gt;=20]]</f>
        <v>0.13292587393061298</v>
      </c>
    </row>
    <row r="171" spans="1:29" x14ac:dyDescent="0.45">
      <c r="A171" t="s">
        <v>830</v>
      </c>
      <c r="B171" t="s">
        <v>231</v>
      </c>
      <c r="C171" t="s">
        <v>232</v>
      </c>
      <c r="D171" s="1">
        <v>93475</v>
      </c>
      <c r="E171" s="1">
        <v>6256</v>
      </c>
      <c r="F171" s="1">
        <v>5685</v>
      </c>
      <c r="G171" s="1">
        <v>5564</v>
      </c>
      <c r="H171" s="1">
        <v>5493</v>
      </c>
      <c r="I171" s="1">
        <v>4993</v>
      </c>
      <c r="J171" s="1">
        <v>5797</v>
      </c>
      <c r="K171" s="1">
        <v>5940</v>
      </c>
      <c r="L171" s="1">
        <v>6748</v>
      </c>
      <c r="M171" s="1">
        <v>7432</v>
      </c>
      <c r="N171" s="1">
        <v>7041</v>
      </c>
      <c r="O171" s="1">
        <v>5870</v>
      </c>
      <c r="P171" s="1">
        <v>5448</v>
      </c>
      <c r="Q171" s="1">
        <v>6214</v>
      </c>
      <c r="R171" s="1">
        <v>4687</v>
      </c>
      <c r="S171" s="1">
        <v>3418</v>
      </c>
      <c r="T171" s="1">
        <v>2700</v>
      </c>
      <c r="U171" s="1">
        <v>2069</v>
      </c>
      <c r="V171" s="1">
        <v>1384</v>
      </c>
      <c r="W171">
        <v>736</v>
      </c>
      <c r="X171" s="9">
        <f>SUM(Table2[[#This Row],[Age 20 to 24]:[Age 90 and Over]])</f>
        <v>70477</v>
      </c>
      <c r="Y171" s="9">
        <f>_xlfn.XLOOKUP(Table2[[#This Row],[Area]],Referendum!E:E,Referendum!L:L,"")</f>
        <v>21030</v>
      </c>
      <c r="Z171" s="9">
        <f>_xlfn.XLOOKUP(Table2[[#This Row],[Area]],Referendum!E:E,Referendum!M:M,"")</f>
        <v>32877</v>
      </c>
      <c r="AA171" s="10">
        <f>(Table2[[#This Row],[Leave Votes]]+Table2[[#This Row],[Remain Votes]])/Table2[[#This Row],[Residents Age &gt;=20]]</f>
        <v>0.76488783574783259</v>
      </c>
      <c r="AB171" s="10">
        <f>Table2[[#This Row],[Remain Votes]]/Table2[[#This Row],[Residents Age &gt;=20]]</f>
        <v>0.29839522113597344</v>
      </c>
      <c r="AC171" s="10">
        <f>Table2[[#This Row],[Leave Votes]]/Table2[[#This Row],[Residents Age &gt;=20]]</f>
        <v>0.4664926146118592</v>
      </c>
    </row>
    <row r="172" spans="1:29" x14ac:dyDescent="0.45">
      <c r="A172" t="s">
        <v>830</v>
      </c>
      <c r="B172" t="s">
        <v>389</v>
      </c>
      <c r="C172" t="s">
        <v>390</v>
      </c>
      <c r="D172" s="1">
        <v>147451</v>
      </c>
      <c r="E172" s="1">
        <v>7970</v>
      </c>
      <c r="F172" s="1">
        <v>7261</v>
      </c>
      <c r="G172" s="1">
        <v>7888</v>
      </c>
      <c r="H172" s="1">
        <v>8197</v>
      </c>
      <c r="I172" s="1">
        <v>8069</v>
      </c>
      <c r="J172" s="1">
        <v>8285</v>
      </c>
      <c r="K172" s="1">
        <v>7413</v>
      </c>
      <c r="L172" s="1">
        <v>8285</v>
      </c>
      <c r="M172" s="1">
        <v>9872</v>
      </c>
      <c r="N172" s="1">
        <v>10432</v>
      </c>
      <c r="O172" s="1">
        <v>9453</v>
      </c>
      <c r="P172" s="1">
        <v>9232</v>
      </c>
      <c r="Q172" s="1">
        <v>11253</v>
      </c>
      <c r="R172" s="1">
        <v>9715</v>
      </c>
      <c r="S172" s="1">
        <v>8078</v>
      </c>
      <c r="T172" s="1">
        <v>6618</v>
      </c>
      <c r="U172" s="1">
        <v>4966</v>
      </c>
      <c r="V172" s="1">
        <v>3016</v>
      </c>
      <c r="W172" s="1">
        <v>1448</v>
      </c>
      <c r="X172" s="9">
        <f>SUM(Table2[[#This Row],[Age 20 to 24]:[Age 90 and Over]])</f>
        <v>116135</v>
      </c>
      <c r="Y172" s="9">
        <f>_xlfn.XLOOKUP(Table2[[#This Row],[Area]],Referendum!E:E,Referendum!L:L,"")</f>
        <v>28587</v>
      </c>
      <c r="Z172" s="9">
        <f>_xlfn.XLOOKUP(Table2[[#This Row],[Area]],Referendum!E:E,Referendum!M:M,"")</f>
        <v>56493</v>
      </c>
      <c r="AA172" s="10">
        <f>(Table2[[#This Row],[Leave Votes]]+Table2[[#This Row],[Remain Votes]])/Table2[[#This Row],[Residents Age &gt;=20]]</f>
        <v>0.73259568605502212</v>
      </c>
      <c r="AB172" s="10">
        <f>Table2[[#This Row],[Remain Votes]]/Table2[[#This Row],[Residents Age &gt;=20]]</f>
        <v>0.24615318379472165</v>
      </c>
      <c r="AC172" s="10">
        <f>Table2[[#This Row],[Leave Votes]]/Table2[[#This Row],[Residents Age &gt;=20]]</f>
        <v>0.4864425022603005</v>
      </c>
    </row>
    <row r="173" spans="1:29" x14ac:dyDescent="0.45">
      <c r="A173" t="s">
        <v>830</v>
      </c>
      <c r="B173" t="s">
        <v>147</v>
      </c>
      <c r="C173" t="s">
        <v>148</v>
      </c>
      <c r="D173" s="1">
        <v>256406</v>
      </c>
      <c r="E173" s="1">
        <v>17358</v>
      </c>
      <c r="F173" s="1">
        <v>13974</v>
      </c>
      <c r="G173" s="1">
        <v>13944</v>
      </c>
      <c r="H173" s="1">
        <v>17416</v>
      </c>
      <c r="I173" s="1">
        <v>24040</v>
      </c>
      <c r="J173" s="1">
        <v>20274</v>
      </c>
      <c r="K173" s="1">
        <v>17303</v>
      </c>
      <c r="L173" s="1">
        <v>17229</v>
      </c>
      <c r="M173" s="1">
        <v>17576</v>
      </c>
      <c r="N173" s="1">
        <v>18022</v>
      </c>
      <c r="O173" s="1">
        <v>15949</v>
      </c>
      <c r="P173" s="1">
        <v>13746</v>
      </c>
      <c r="Q173" s="1">
        <v>13844</v>
      </c>
      <c r="R173" s="1">
        <v>9635</v>
      </c>
      <c r="S173" s="1">
        <v>8666</v>
      </c>
      <c r="T173" s="1">
        <v>7322</v>
      </c>
      <c r="U173" s="1">
        <v>5466</v>
      </c>
      <c r="V173" s="1">
        <v>3166</v>
      </c>
      <c r="W173" s="1">
        <v>1476</v>
      </c>
      <c r="X173" s="9">
        <f>SUM(Table2[[#This Row],[Age 20 to 24]:[Age 90 and Over]])</f>
        <v>193714</v>
      </c>
      <c r="Y173" s="9">
        <f>_xlfn.XLOOKUP(Table2[[#This Row],[Area]],Referendum!E:E,Referendum!L:L,"")</f>
        <v>36709</v>
      </c>
      <c r="Z173" s="9">
        <f>_xlfn.XLOOKUP(Table2[[#This Row],[Area]],Referendum!E:E,Referendum!M:M,"")</f>
        <v>76646</v>
      </c>
      <c r="AA173" s="10">
        <f>(Table2[[#This Row],[Leave Votes]]+Table2[[#This Row],[Remain Votes]])/Table2[[#This Row],[Residents Age &gt;=20]]</f>
        <v>0.58516679228140456</v>
      </c>
      <c r="AB173" s="10">
        <f>Table2[[#This Row],[Remain Votes]]/Table2[[#This Row],[Residents Age &gt;=20]]</f>
        <v>0.18950101696315186</v>
      </c>
      <c r="AC173" s="10">
        <f>Table2[[#This Row],[Leave Votes]]/Table2[[#This Row],[Residents Age &gt;=20]]</f>
        <v>0.3956657753182527</v>
      </c>
    </row>
    <row r="174" spans="1:29" x14ac:dyDescent="0.45">
      <c r="A174" t="s">
        <v>830</v>
      </c>
      <c r="B174" t="s">
        <v>453</v>
      </c>
      <c r="C174" t="s">
        <v>454</v>
      </c>
      <c r="D174" s="1">
        <v>160060</v>
      </c>
      <c r="E174" s="1">
        <v>10964</v>
      </c>
      <c r="F174" s="1">
        <v>8966</v>
      </c>
      <c r="G174" s="1">
        <v>8541</v>
      </c>
      <c r="H174" s="1">
        <v>9864</v>
      </c>
      <c r="I174" s="1">
        <v>13505</v>
      </c>
      <c r="J174" s="1">
        <v>12358</v>
      </c>
      <c r="K174" s="1">
        <v>13356</v>
      </c>
      <c r="L174" s="1">
        <v>13407</v>
      </c>
      <c r="M174" s="1">
        <v>12157</v>
      </c>
      <c r="N174" s="1">
        <v>11126</v>
      </c>
      <c r="O174" s="1">
        <v>9504</v>
      </c>
      <c r="P174" s="1">
        <v>7972</v>
      </c>
      <c r="Q174" s="1">
        <v>7982</v>
      </c>
      <c r="R174" s="1">
        <v>5694</v>
      </c>
      <c r="S174" s="1">
        <v>4547</v>
      </c>
      <c r="T174" s="1">
        <v>3753</v>
      </c>
      <c r="U174" s="1">
        <v>3022</v>
      </c>
      <c r="V174" s="1">
        <v>2136</v>
      </c>
      <c r="W174" s="1">
        <v>1206</v>
      </c>
      <c r="X174" s="9">
        <f>SUM(Table2[[#This Row],[Age 20 to 24]:[Age 90 and Over]])</f>
        <v>121725</v>
      </c>
      <c r="Y174" s="9">
        <f>_xlfn.XLOOKUP(Table2[[#This Row],[Area]],Referendum!E:E,Referendum!L:L,"")</f>
        <v>52533</v>
      </c>
      <c r="Z174" s="9">
        <f>_xlfn.XLOOKUP(Table2[[#This Row],[Area]],Referendum!E:E,Referendum!M:M,"")</f>
        <v>32737</v>
      </c>
      <c r="AA174" s="10">
        <f>(Table2[[#This Row],[Leave Votes]]+Table2[[#This Row],[Remain Votes]])/Table2[[#This Row],[Residents Age &gt;=20]]</f>
        <v>0.70051345245430274</v>
      </c>
      <c r="AB174" s="10">
        <f>Table2[[#This Row],[Remain Votes]]/Table2[[#This Row],[Residents Age &gt;=20]]</f>
        <v>0.43157116451016636</v>
      </c>
      <c r="AC174" s="10">
        <f>Table2[[#This Row],[Leave Votes]]/Table2[[#This Row],[Residents Age &gt;=20]]</f>
        <v>0.26894228794413638</v>
      </c>
    </row>
    <row r="175" spans="1:29" x14ac:dyDescent="0.45">
      <c r="A175" t="s">
        <v>830</v>
      </c>
      <c r="B175" t="s">
        <v>141</v>
      </c>
      <c r="C175" t="s">
        <v>142</v>
      </c>
      <c r="D175" s="1">
        <v>422458</v>
      </c>
      <c r="E175" s="1">
        <v>28331</v>
      </c>
      <c r="F175" s="1">
        <v>26027</v>
      </c>
      <c r="G175" s="1">
        <v>26177</v>
      </c>
      <c r="H175" s="1">
        <v>27547</v>
      </c>
      <c r="I175" s="1">
        <v>28826</v>
      </c>
      <c r="J175" s="1">
        <v>27475</v>
      </c>
      <c r="K175" s="1">
        <v>26954</v>
      </c>
      <c r="L175" s="1">
        <v>28285</v>
      </c>
      <c r="M175" s="1">
        <v>31654</v>
      </c>
      <c r="N175" s="1">
        <v>30260</v>
      </c>
      <c r="O175" s="1">
        <v>26926</v>
      </c>
      <c r="P175" s="1">
        <v>24001</v>
      </c>
      <c r="Q175" s="1">
        <v>25845</v>
      </c>
      <c r="R175" s="1">
        <v>19323</v>
      </c>
      <c r="S175" s="1">
        <v>15712</v>
      </c>
      <c r="T175" s="1">
        <v>12091</v>
      </c>
      <c r="U175" s="1">
        <v>9001</v>
      </c>
      <c r="V175" s="1">
        <v>5316</v>
      </c>
      <c r="W175" s="1">
        <v>2707</v>
      </c>
      <c r="X175" s="9">
        <f>SUM(Table2[[#This Row],[Age 20 to 24]:[Age 90 and Over]])</f>
        <v>314376</v>
      </c>
      <c r="Y175" s="9">
        <f>_xlfn.XLOOKUP(Table2[[#This Row],[Area]],Referendum!E:E,Referendum!L:L,"")</f>
        <v>98485</v>
      </c>
      <c r="Z175" s="9">
        <f>_xlfn.XLOOKUP(Table2[[#This Row],[Area]],Referendum!E:E,Referendum!M:M,"")</f>
        <v>118755</v>
      </c>
      <c r="AA175" s="10">
        <f>(Table2[[#This Row],[Leave Votes]]+Table2[[#This Row],[Remain Votes]])/Table2[[#This Row],[Residents Age &gt;=20]]</f>
        <v>0.69101967071277703</v>
      </c>
      <c r="AB175" s="10">
        <f>Table2[[#This Row],[Remain Votes]]/Table2[[#This Row],[Residents Age &gt;=20]]</f>
        <v>0.31327136931572386</v>
      </c>
      <c r="AC175" s="10">
        <f>Table2[[#This Row],[Leave Votes]]/Table2[[#This Row],[Residents Age &gt;=20]]</f>
        <v>0.37774830139705323</v>
      </c>
    </row>
    <row r="176" spans="1:29" x14ac:dyDescent="0.45">
      <c r="A176" t="s">
        <v>830</v>
      </c>
      <c r="B176" t="s">
        <v>69</v>
      </c>
      <c r="C176" t="s">
        <v>70</v>
      </c>
      <c r="D176" s="1">
        <v>145893</v>
      </c>
      <c r="E176" s="1">
        <v>9121</v>
      </c>
      <c r="F176" s="1">
        <v>8312</v>
      </c>
      <c r="G176" s="1">
        <v>9200</v>
      </c>
      <c r="H176" s="1">
        <v>10123</v>
      </c>
      <c r="I176" s="1">
        <v>9846</v>
      </c>
      <c r="J176" s="1">
        <v>9229</v>
      </c>
      <c r="K176" s="1">
        <v>8166</v>
      </c>
      <c r="L176" s="1">
        <v>8694</v>
      </c>
      <c r="M176" s="1">
        <v>10509</v>
      </c>
      <c r="N176" s="1">
        <v>11500</v>
      </c>
      <c r="O176" s="1">
        <v>10986</v>
      </c>
      <c r="P176" s="1">
        <v>8984</v>
      </c>
      <c r="Q176" s="1">
        <v>8209</v>
      </c>
      <c r="R176" s="1">
        <v>6164</v>
      </c>
      <c r="S176" s="1">
        <v>5780</v>
      </c>
      <c r="T176" s="1">
        <v>5147</v>
      </c>
      <c r="U176" s="1">
        <v>3559</v>
      </c>
      <c r="V176" s="1">
        <v>1688</v>
      </c>
      <c r="W176">
        <v>676</v>
      </c>
      <c r="X176" s="9">
        <f>SUM(Table2[[#This Row],[Age 20 to 24]:[Age 90 and Over]])</f>
        <v>109137</v>
      </c>
      <c r="Y176" s="9">
        <f>_xlfn.XLOOKUP(Table2[[#This Row],[Area]],Referendum!E:E,Referendum!L:L,"")</f>
        <v>34345</v>
      </c>
      <c r="Z176" s="9">
        <f>_xlfn.XLOOKUP(Table2[[#This Row],[Area]],Referendum!E:E,Referendum!M:M,"")</f>
        <v>36558</v>
      </c>
      <c r="AA176" s="10">
        <f>(Table2[[#This Row],[Leave Votes]]+Table2[[#This Row],[Remain Votes]])/Table2[[#This Row],[Residents Age &gt;=20]]</f>
        <v>0.64966968122634849</v>
      </c>
      <c r="AB176" s="10">
        <f>Table2[[#This Row],[Remain Votes]]/Table2[[#This Row],[Residents Age &gt;=20]]</f>
        <v>0.31469620751898991</v>
      </c>
      <c r="AC176" s="10">
        <f>Table2[[#This Row],[Leave Votes]]/Table2[[#This Row],[Residents Age &gt;=20]]</f>
        <v>0.33497347370735864</v>
      </c>
    </row>
    <row r="177" spans="1:29" x14ac:dyDescent="0.45">
      <c r="A177" t="s">
        <v>830</v>
      </c>
      <c r="B177" t="s">
        <v>455</v>
      </c>
      <c r="C177" t="s">
        <v>456</v>
      </c>
      <c r="D177" s="1">
        <v>303086</v>
      </c>
      <c r="E177" s="1">
        <v>20701</v>
      </c>
      <c r="F177" s="1">
        <v>16376</v>
      </c>
      <c r="G177" s="1">
        <v>14754</v>
      </c>
      <c r="H177" s="1">
        <v>14058</v>
      </c>
      <c r="I177" s="1">
        <v>26702</v>
      </c>
      <c r="J177" s="1">
        <v>43135</v>
      </c>
      <c r="K177" s="1">
        <v>37005</v>
      </c>
      <c r="L177" s="1">
        <v>27198</v>
      </c>
      <c r="M177" s="1">
        <v>23088</v>
      </c>
      <c r="N177" s="1">
        <v>20897</v>
      </c>
      <c r="O177" s="1">
        <v>15601</v>
      </c>
      <c r="P177" s="1">
        <v>11372</v>
      </c>
      <c r="Q177" s="1">
        <v>9012</v>
      </c>
      <c r="R177" s="1">
        <v>6623</v>
      </c>
      <c r="S177" s="1">
        <v>5994</v>
      </c>
      <c r="T177" s="1">
        <v>4438</v>
      </c>
      <c r="U177" s="1">
        <v>3287</v>
      </c>
      <c r="V177" s="1">
        <v>1936</v>
      </c>
      <c r="W177">
        <v>909</v>
      </c>
      <c r="X177" s="9">
        <f>SUM(Table2[[#This Row],[Age 20 to 24]:[Age 90 and Over]])</f>
        <v>237197</v>
      </c>
      <c r="Y177" s="9">
        <f>_xlfn.XLOOKUP(Table2[[#This Row],[Area]],Referendum!E:E,Referendum!L:L,"")</f>
        <v>111584</v>
      </c>
      <c r="Z177" s="9">
        <f>_xlfn.XLOOKUP(Table2[[#This Row],[Area]],Referendum!E:E,Referendum!M:M,"")</f>
        <v>30340</v>
      </c>
      <c r="AA177" s="10">
        <f>(Table2[[#This Row],[Leave Votes]]+Table2[[#This Row],[Remain Votes]])/Table2[[#This Row],[Residents Age &gt;=20]]</f>
        <v>0.598338090279388</v>
      </c>
      <c r="AB177" s="10">
        <f>Table2[[#This Row],[Remain Votes]]/Table2[[#This Row],[Residents Age &gt;=20]]</f>
        <v>0.47042753491823253</v>
      </c>
      <c r="AC177" s="10">
        <f>Table2[[#This Row],[Leave Votes]]/Table2[[#This Row],[Residents Age &gt;=20]]</f>
        <v>0.1279105553611555</v>
      </c>
    </row>
    <row r="178" spans="1:29" x14ac:dyDescent="0.45">
      <c r="A178" t="s">
        <v>830</v>
      </c>
      <c r="B178" t="s">
        <v>111</v>
      </c>
      <c r="C178" t="s">
        <v>112</v>
      </c>
      <c r="D178" s="1">
        <v>138375</v>
      </c>
      <c r="E178" s="1">
        <v>7232</v>
      </c>
      <c r="F178" s="1">
        <v>6467</v>
      </c>
      <c r="G178" s="1">
        <v>7714</v>
      </c>
      <c r="H178" s="1">
        <v>11273</v>
      </c>
      <c r="I178" s="1">
        <v>13194</v>
      </c>
      <c r="J178" s="1">
        <v>7969</v>
      </c>
      <c r="K178" s="1">
        <v>7366</v>
      </c>
      <c r="L178" s="1">
        <v>7645</v>
      </c>
      <c r="M178" s="1">
        <v>9280</v>
      </c>
      <c r="N178" s="1">
        <v>9626</v>
      </c>
      <c r="O178" s="1">
        <v>8659</v>
      </c>
      <c r="P178" s="1">
        <v>7850</v>
      </c>
      <c r="Q178" s="1">
        <v>8735</v>
      </c>
      <c r="R178" s="1">
        <v>7186</v>
      </c>
      <c r="S178" s="1">
        <v>6070</v>
      </c>
      <c r="T178" s="1">
        <v>4922</v>
      </c>
      <c r="U178" s="1">
        <v>3650</v>
      </c>
      <c r="V178" s="1">
        <v>2348</v>
      </c>
      <c r="W178" s="1">
        <v>1189</v>
      </c>
      <c r="X178" s="9">
        <f>SUM(Table2[[#This Row],[Age 20 to 24]:[Age 90 and Over]])</f>
        <v>105689</v>
      </c>
      <c r="Y178" s="9">
        <f>_xlfn.XLOOKUP(Table2[[#This Row],[Area]],Referendum!E:E,Referendum!L:L,"")</f>
        <v>35732</v>
      </c>
      <c r="Z178" s="9">
        <f>_xlfn.XLOOKUP(Table2[[#This Row],[Area]],Referendum!E:E,Referendum!M:M,"")</f>
        <v>37309</v>
      </c>
      <c r="AA178" s="10">
        <f>(Table2[[#This Row],[Leave Votes]]+Table2[[#This Row],[Remain Votes]])/Table2[[#This Row],[Residents Age &gt;=20]]</f>
        <v>0.6910936805154746</v>
      </c>
      <c r="AB178" s="10">
        <f>Table2[[#This Row],[Remain Votes]]/Table2[[#This Row],[Residents Age &gt;=20]]</f>
        <v>0.3380862719866779</v>
      </c>
      <c r="AC178" s="10">
        <f>Table2[[#This Row],[Leave Votes]]/Table2[[#This Row],[Residents Age &gt;=20]]</f>
        <v>0.35300740852879675</v>
      </c>
    </row>
    <row r="179" spans="1:29" x14ac:dyDescent="0.45">
      <c r="A179" t="s">
        <v>830</v>
      </c>
      <c r="B179" t="s">
        <v>143</v>
      </c>
      <c r="C179" t="s">
        <v>144</v>
      </c>
      <c r="D179" s="1">
        <v>751485</v>
      </c>
      <c r="E179" s="1">
        <v>47844</v>
      </c>
      <c r="F179" s="1">
        <v>40581</v>
      </c>
      <c r="G179" s="1">
        <v>40167</v>
      </c>
      <c r="H179" s="1">
        <v>52835</v>
      </c>
      <c r="I179" s="1">
        <v>71874</v>
      </c>
      <c r="J179" s="1">
        <v>59860</v>
      </c>
      <c r="K179" s="1">
        <v>53456</v>
      </c>
      <c r="L179" s="1">
        <v>50021</v>
      </c>
      <c r="M179" s="1">
        <v>52285</v>
      </c>
      <c r="N179" s="1">
        <v>50442</v>
      </c>
      <c r="O179" s="1">
        <v>44050</v>
      </c>
      <c r="P179" s="1">
        <v>38294</v>
      </c>
      <c r="Q179" s="1">
        <v>40178</v>
      </c>
      <c r="R179" s="1">
        <v>30220</v>
      </c>
      <c r="S179" s="1">
        <v>26235</v>
      </c>
      <c r="T179" s="1">
        <v>22229</v>
      </c>
      <c r="U179" s="1">
        <v>16332</v>
      </c>
      <c r="V179" s="1">
        <v>9600</v>
      </c>
      <c r="W179" s="1">
        <v>4982</v>
      </c>
      <c r="X179" s="9">
        <f>SUM(Table2[[#This Row],[Age 20 to 24]:[Age 90 and Over]])</f>
        <v>570058</v>
      </c>
      <c r="Y179" s="9">
        <f>_xlfn.XLOOKUP(Table2[[#This Row],[Area]],Referendum!E:E,Referendum!L:L,"")</f>
        <v>194863</v>
      </c>
      <c r="Z179" s="9">
        <f>_xlfn.XLOOKUP(Table2[[#This Row],[Area]],Referendum!E:E,Referendum!M:M,"")</f>
        <v>192474</v>
      </c>
      <c r="AA179" s="10">
        <f>(Table2[[#This Row],[Leave Votes]]+Table2[[#This Row],[Remain Votes]])/Table2[[#This Row],[Residents Age &gt;=20]]</f>
        <v>0.67946945749379883</v>
      </c>
      <c r="AB179" s="10">
        <f>Table2[[#This Row],[Remain Votes]]/Table2[[#This Row],[Residents Age &gt;=20]]</f>
        <v>0.34183012956576347</v>
      </c>
      <c r="AC179" s="10">
        <f>Table2[[#This Row],[Leave Votes]]/Table2[[#This Row],[Residents Age &gt;=20]]</f>
        <v>0.33763932792803542</v>
      </c>
    </row>
    <row r="180" spans="1:29" x14ac:dyDescent="0.45">
      <c r="A180" t="s">
        <v>830</v>
      </c>
      <c r="B180" t="s">
        <v>175</v>
      </c>
      <c r="C180" t="s">
        <v>176</v>
      </c>
      <c r="D180" s="1">
        <v>329839</v>
      </c>
      <c r="E180" s="1">
        <v>24297</v>
      </c>
      <c r="F180" s="1">
        <v>20780</v>
      </c>
      <c r="G180" s="1">
        <v>20162</v>
      </c>
      <c r="H180" s="1">
        <v>24490</v>
      </c>
      <c r="I180" s="1">
        <v>35406</v>
      </c>
      <c r="J180" s="1">
        <v>29571</v>
      </c>
      <c r="K180" s="1">
        <v>25272</v>
      </c>
      <c r="L180" s="1">
        <v>21955</v>
      </c>
      <c r="M180" s="1">
        <v>20940</v>
      </c>
      <c r="N180" s="1">
        <v>20240</v>
      </c>
      <c r="O180" s="1">
        <v>18953</v>
      </c>
      <c r="P180" s="1">
        <v>16501</v>
      </c>
      <c r="Q180" s="1">
        <v>14056</v>
      </c>
      <c r="R180" s="1">
        <v>9977</v>
      </c>
      <c r="S180" s="1">
        <v>8911</v>
      </c>
      <c r="T180" s="1">
        <v>7321</v>
      </c>
      <c r="U180" s="1">
        <v>5615</v>
      </c>
      <c r="V180" s="1">
        <v>3605</v>
      </c>
      <c r="W180" s="1">
        <v>1787</v>
      </c>
      <c r="X180" s="9">
        <f>SUM(Table2[[#This Row],[Age 20 to 24]:[Age 90 and Over]])</f>
        <v>240110</v>
      </c>
      <c r="Y180" s="9">
        <f>_xlfn.XLOOKUP(Table2[[#This Row],[Area]],Referendum!E:E,Referendum!L:L,"")</f>
        <v>70980</v>
      </c>
      <c r="Z180" s="9">
        <f>_xlfn.XLOOKUP(Table2[[#This Row],[Area]],Referendum!E:E,Referendum!M:M,"")</f>
        <v>67992</v>
      </c>
      <c r="AA180" s="10">
        <f>(Table2[[#This Row],[Leave Votes]]+Table2[[#This Row],[Remain Votes]])/Table2[[#This Row],[Residents Age &gt;=20]]</f>
        <v>0.57878472366831868</v>
      </c>
      <c r="AB180" s="10">
        <f>Table2[[#This Row],[Remain Votes]]/Table2[[#This Row],[Residents Age &gt;=20]]</f>
        <v>0.29561451001624256</v>
      </c>
      <c r="AC180" s="10">
        <f>Table2[[#This Row],[Leave Votes]]/Table2[[#This Row],[Residents Age &gt;=20]]</f>
        <v>0.28317021365207612</v>
      </c>
    </row>
    <row r="181" spans="1:29" x14ac:dyDescent="0.45">
      <c r="A181" t="s">
        <v>830</v>
      </c>
      <c r="B181" t="s">
        <v>517</v>
      </c>
      <c r="C181" t="s">
        <v>518</v>
      </c>
      <c r="D181" s="1">
        <v>97502</v>
      </c>
      <c r="E181" s="1">
        <v>5052</v>
      </c>
      <c r="F181" s="1">
        <v>5229</v>
      </c>
      <c r="G181" s="1">
        <v>5551</v>
      </c>
      <c r="H181" s="1">
        <v>5579</v>
      </c>
      <c r="I181" s="1">
        <v>4679</v>
      </c>
      <c r="J181" s="1">
        <v>4596</v>
      </c>
      <c r="K181" s="1">
        <v>4534</v>
      </c>
      <c r="L181" s="1">
        <v>5478</v>
      </c>
      <c r="M181" s="1">
        <v>6895</v>
      </c>
      <c r="N181" s="1">
        <v>7498</v>
      </c>
      <c r="O181" s="1">
        <v>6652</v>
      </c>
      <c r="P181" s="1">
        <v>6391</v>
      </c>
      <c r="Q181" s="1">
        <v>7214</v>
      </c>
      <c r="R181" s="1">
        <v>5981</v>
      </c>
      <c r="S181" s="1">
        <v>4908</v>
      </c>
      <c r="T181" s="1">
        <v>4271</v>
      </c>
      <c r="U181" s="1">
        <v>3460</v>
      </c>
      <c r="V181" s="1">
        <v>2232</v>
      </c>
      <c r="W181" s="1">
        <v>1302</v>
      </c>
      <c r="X181" s="9">
        <f>SUM(Table2[[#This Row],[Age 20 to 24]:[Age 90 and Over]])</f>
        <v>76091</v>
      </c>
      <c r="Y181" s="9">
        <f>_xlfn.XLOOKUP(Table2[[#This Row],[Area]],Referendum!E:E,Referendum!L:L,"")</f>
        <v>30974</v>
      </c>
      <c r="Z181" s="9">
        <f>_xlfn.XLOOKUP(Table2[[#This Row],[Area]],Referendum!E:E,Referendum!M:M,"")</f>
        <v>28508</v>
      </c>
      <c r="AA181" s="10">
        <f>(Table2[[#This Row],[Leave Votes]]+Table2[[#This Row],[Remain Votes]])/Table2[[#This Row],[Residents Age &gt;=20]]</f>
        <v>0.78172188563693468</v>
      </c>
      <c r="AB181" s="10">
        <f>Table2[[#This Row],[Remain Votes]]/Table2[[#This Row],[Residents Age &gt;=20]]</f>
        <v>0.40706522453378191</v>
      </c>
      <c r="AC181" s="10">
        <f>Table2[[#This Row],[Leave Votes]]/Table2[[#This Row],[Residents Age &gt;=20]]</f>
        <v>0.37465666110315282</v>
      </c>
    </row>
    <row r="182" spans="1:29" x14ac:dyDescent="0.45">
      <c r="A182" t="s">
        <v>830</v>
      </c>
      <c r="B182" t="s">
        <v>457</v>
      </c>
      <c r="C182" t="s">
        <v>458</v>
      </c>
      <c r="D182" s="1">
        <v>275885</v>
      </c>
      <c r="E182" s="1">
        <v>22004</v>
      </c>
      <c r="F182" s="1">
        <v>16665</v>
      </c>
      <c r="G182" s="1">
        <v>15268</v>
      </c>
      <c r="H182" s="1">
        <v>16127</v>
      </c>
      <c r="I182" s="1">
        <v>20883</v>
      </c>
      <c r="J182" s="1">
        <v>26465</v>
      </c>
      <c r="K182" s="1">
        <v>28663</v>
      </c>
      <c r="L182" s="1">
        <v>24213</v>
      </c>
      <c r="M182" s="1">
        <v>21919</v>
      </c>
      <c r="N182" s="1">
        <v>20481</v>
      </c>
      <c r="O182" s="1">
        <v>15750</v>
      </c>
      <c r="P182" s="1">
        <v>11523</v>
      </c>
      <c r="Q182" s="1">
        <v>9789</v>
      </c>
      <c r="R182" s="1">
        <v>7284</v>
      </c>
      <c r="S182" s="1">
        <v>6357</v>
      </c>
      <c r="T182" s="1">
        <v>5113</v>
      </c>
      <c r="U182" s="1">
        <v>3900</v>
      </c>
      <c r="V182" s="1">
        <v>2271</v>
      </c>
      <c r="W182" s="1">
        <v>1210</v>
      </c>
      <c r="X182" s="9">
        <f>SUM(Table2[[#This Row],[Age 20 to 24]:[Age 90 and Over]])</f>
        <v>205821</v>
      </c>
      <c r="Y182" s="9">
        <f>_xlfn.XLOOKUP(Table2[[#This Row],[Area]],Referendum!E:E,Referendum!L:L,"")</f>
        <v>86955</v>
      </c>
      <c r="Z182" s="9">
        <f>_xlfn.XLOOKUP(Table2[[#This Row],[Area]],Referendum!E:E,Referendum!M:M,"")</f>
        <v>37518</v>
      </c>
      <c r="AA182" s="10">
        <f>(Table2[[#This Row],[Leave Votes]]+Table2[[#This Row],[Remain Votes]])/Table2[[#This Row],[Residents Age &gt;=20]]</f>
        <v>0.60476336233911987</v>
      </c>
      <c r="AB182" s="10">
        <f>Table2[[#This Row],[Remain Votes]]/Table2[[#This Row],[Residents Age &gt;=20]]</f>
        <v>0.42247875581208916</v>
      </c>
      <c r="AC182" s="10">
        <f>Table2[[#This Row],[Leave Votes]]/Table2[[#This Row],[Residents Age &gt;=20]]</f>
        <v>0.18228460652703077</v>
      </c>
    </row>
    <row r="183" spans="1:29" x14ac:dyDescent="0.45">
      <c r="A183" t="s">
        <v>830</v>
      </c>
      <c r="B183" t="s">
        <v>281</v>
      </c>
      <c r="C183" t="s">
        <v>282</v>
      </c>
      <c r="D183" s="1">
        <v>100654</v>
      </c>
      <c r="E183" s="1">
        <v>5285</v>
      </c>
      <c r="F183" s="1">
        <v>5381</v>
      </c>
      <c r="G183" s="1">
        <v>5753</v>
      </c>
      <c r="H183" s="1">
        <v>5888</v>
      </c>
      <c r="I183" s="1">
        <v>5232</v>
      </c>
      <c r="J183" s="1">
        <v>5013</v>
      </c>
      <c r="K183" s="1">
        <v>5291</v>
      </c>
      <c r="L183" s="1">
        <v>6340</v>
      </c>
      <c r="M183" s="1">
        <v>7619</v>
      </c>
      <c r="N183" s="1">
        <v>7832</v>
      </c>
      <c r="O183" s="1">
        <v>6782</v>
      </c>
      <c r="P183" s="1">
        <v>6459</v>
      </c>
      <c r="Q183" s="1">
        <v>7525</v>
      </c>
      <c r="R183" s="1">
        <v>6893</v>
      </c>
      <c r="S183" s="1">
        <v>5061</v>
      </c>
      <c r="T183" s="1">
        <v>3570</v>
      </c>
      <c r="U183" s="1">
        <v>2460</v>
      </c>
      <c r="V183" s="1">
        <v>1481</v>
      </c>
      <c r="W183">
        <v>789</v>
      </c>
      <c r="X183" s="9">
        <f>SUM(Table2[[#This Row],[Age 20 to 24]:[Age 90 and Over]])</f>
        <v>78347</v>
      </c>
      <c r="Y183" s="9">
        <f>_xlfn.XLOOKUP(Table2[[#This Row],[Area]],Referendum!E:E,Referendum!L:L,"")</f>
        <v>26064</v>
      </c>
      <c r="Z183" s="9">
        <f>_xlfn.XLOOKUP(Table2[[#This Row],[Area]],Referendum!E:E,Referendum!M:M,"")</f>
        <v>37214</v>
      </c>
      <c r="AA183" s="10">
        <f>(Table2[[#This Row],[Leave Votes]]+Table2[[#This Row],[Remain Votes]])/Table2[[#This Row],[Residents Age &gt;=20]]</f>
        <v>0.80766334384213823</v>
      </c>
      <c r="AB183" s="10">
        <f>Table2[[#This Row],[Remain Votes]]/Table2[[#This Row],[Residents Age &gt;=20]]</f>
        <v>0.3326738739198693</v>
      </c>
      <c r="AC183" s="10">
        <f>Table2[[#This Row],[Leave Votes]]/Table2[[#This Row],[Residents Age &gt;=20]]</f>
        <v>0.47498946992226887</v>
      </c>
    </row>
    <row r="184" spans="1:29" x14ac:dyDescent="0.45">
      <c r="A184" t="s">
        <v>830</v>
      </c>
      <c r="B184" t="s">
        <v>215</v>
      </c>
      <c r="C184" t="s">
        <v>216</v>
      </c>
      <c r="D184" s="1">
        <v>93541</v>
      </c>
      <c r="E184" s="1">
        <v>5514</v>
      </c>
      <c r="F184" s="1">
        <v>4303</v>
      </c>
      <c r="G184" s="1">
        <v>4548</v>
      </c>
      <c r="H184" s="1">
        <v>7706</v>
      </c>
      <c r="I184" s="1">
        <v>11198</v>
      </c>
      <c r="J184" s="1">
        <v>7915</v>
      </c>
      <c r="K184" s="1">
        <v>6363</v>
      </c>
      <c r="L184" s="1">
        <v>5582</v>
      </c>
      <c r="M184" s="1">
        <v>5901</v>
      </c>
      <c r="N184" s="1">
        <v>6181</v>
      </c>
      <c r="O184" s="1">
        <v>5384</v>
      </c>
      <c r="P184" s="1">
        <v>4746</v>
      </c>
      <c r="Q184" s="1">
        <v>4874</v>
      </c>
      <c r="R184" s="1">
        <v>3709</v>
      </c>
      <c r="S184" s="1">
        <v>3004</v>
      </c>
      <c r="T184" s="1">
        <v>2472</v>
      </c>
      <c r="U184" s="1">
        <v>2075</v>
      </c>
      <c r="V184" s="1">
        <v>1335</v>
      </c>
      <c r="W184">
        <v>731</v>
      </c>
      <c r="X184" s="9">
        <f>SUM(Table2[[#This Row],[Age 20 to 24]:[Age 90 and Over]])</f>
        <v>71470</v>
      </c>
      <c r="Y184" s="9">
        <f>_xlfn.XLOOKUP(Table2[[#This Row],[Area]],Referendum!E:E,Referendum!L:L,"")</f>
        <v>18902</v>
      </c>
      <c r="Z184" s="9">
        <f>_xlfn.XLOOKUP(Table2[[#This Row],[Area]],Referendum!E:E,Referendum!M:M,"")</f>
        <v>24992</v>
      </c>
      <c r="AA184" s="10">
        <f>(Table2[[#This Row],[Leave Votes]]+Table2[[#This Row],[Remain Votes]])/Table2[[#This Row],[Residents Age &gt;=20]]</f>
        <v>0.61415978732335241</v>
      </c>
      <c r="AB184" s="10">
        <f>Table2[[#This Row],[Remain Votes]]/Table2[[#This Row],[Residents Age &gt;=20]]</f>
        <v>0.26447460472925705</v>
      </c>
      <c r="AC184" s="10">
        <f>Table2[[#This Row],[Leave Votes]]/Table2[[#This Row],[Residents Age &gt;=20]]</f>
        <v>0.34968518259409542</v>
      </c>
    </row>
    <row r="185" spans="1:29" x14ac:dyDescent="0.45">
      <c r="A185" t="s">
        <v>830</v>
      </c>
      <c r="B185" t="s">
        <v>71</v>
      </c>
      <c r="C185" t="s">
        <v>72</v>
      </c>
      <c r="D185" s="1">
        <v>466415</v>
      </c>
      <c r="E185" s="1">
        <v>26099</v>
      </c>
      <c r="F185" s="1">
        <v>22254</v>
      </c>
      <c r="G185" s="1">
        <v>24315</v>
      </c>
      <c r="H185" s="1">
        <v>34572</v>
      </c>
      <c r="I185" s="1">
        <v>50636</v>
      </c>
      <c r="J185" s="1">
        <v>39966</v>
      </c>
      <c r="K185" s="1">
        <v>33053</v>
      </c>
      <c r="L185" s="1">
        <v>28069</v>
      </c>
      <c r="M185" s="1">
        <v>30893</v>
      </c>
      <c r="N185" s="1">
        <v>32022</v>
      </c>
      <c r="O185" s="1">
        <v>29288</v>
      </c>
      <c r="P185" s="1">
        <v>25364</v>
      </c>
      <c r="Q185" s="1">
        <v>24418</v>
      </c>
      <c r="R185" s="1">
        <v>17685</v>
      </c>
      <c r="S185" s="1">
        <v>16342</v>
      </c>
      <c r="T185" s="1">
        <v>13967</v>
      </c>
      <c r="U185" s="1">
        <v>9742</v>
      </c>
      <c r="V185" s="1">
        <v>5307</v>
      </c>
      <c r="W185" s="1">
        <v>2423</v>
      </c>
      <c r="X185" s="9">
        <f>SUM(Table2[[#This Row],[Age 20 to 24]:[Age 90 and Over]])</f>
        <v>359175</v>
      </c>
      <c r="Y185" s="9">
        <f>_xlfn.XLOOKUP(Table2[[#This Row],[Area]],Referendum!E:E,Referendum!L:L,"")</f>
        <v>118453</v>
      </c>
      <c r="Z185" s="9">
        <f>_xlfn.XLOOKUP(Table2[[#This Row],[Area]],Referendum!E:E,Referendum!M:M,"")</f>
        <v>85101</v>
      </c>
      <c r="AA185" s="10">
        <f>(Table2[[#This Row],[Leave Votes]]+Table2[[#This Row],[Remain Votes]])/Table2[[#This Row],[Residents Age &gt;=20]]</f>
        <v>0.56672652606668061</v>
      </c>
      <c r="AB185" s="10">
        <f>Table2[[#This Row],[Remain Votes]]/Table2[[#This Row],[Residents Age &gt;=20]]</f>
        <v>0.32979188417902139</v>
      </c>
      <c r="AC185" s="10">
        <f>Table2[[#This Row],[Leave Votes]]/Table2[[#This Row],[Residents Age &gt;=20]]</f>
        <v>0.23693464188765923</v>
      </c>
    </row>
    <row r="186" spans="1:29" x14ac:dyDescent="0.45">
      <c r="A186" t="s">
        <v>830</v>
      </c>
      <c r="B186" t="s">
        <v>319</v>
      </c>
      <c r="C186" t="s">
        <v>320</v>
      </c>
      <c r="D186" s="1">
        <v>203201</v>
      </c>
      <c r="E186" s="1">
        <v>16592</v>
      </c>
      <c r="F186" s="1">
        <v>14221</v>
      </c>
      <c r="G186" s="1">
        <v>13211</v>
      </c>
      <c r="H186" s="1">
        <v>13561</v>
      </c>
      <c r="I186" s="1">
        <v>16621</v>
      </c>
      <c r="J186" s="1">
        <v>18812</v>
      </c>
      <c r="K186" s="1">
        <v>16064</v>
      </c>
      <c r="L186" s="1">
        <v>14066</v>
      </c>
      <c r="M186" s="1">
        <v>13796</v>
      </c>
      <c r="N186" s="1">
        <v>13538</v>
      </c>
      <c r="O186" s="1">
        <v>11225</v>
      </c>
      <c r="P186" s="1">
        <v>9267</v>
      </c>
      <c r="Q186" s="1">
        <v>8346</v>
      </c>
      <c r="R186" s="1">
        <v>6542</v>
      </c>
      <c r="S186" s="1">
        <v>6102</v>
      </c>
      <c r="T186" s="1">
        <v>5032</v>
      </c>
      <c r="U186" s="1">
        <v>3408</v>
      </c>
      <c r="V186" s="1">
        <v>1877</v>
      </c>
      <c r="W186">
        <v>920</v>
      </c>
      <c r="X186" s="9">
        <f>SUM(Table2[[#This Row],[Age 20 to 24]:[Age 90 and Over]])</f>
        <v>145616</v>
      </c>
      <c r="Y186" s="9">
        <f>_xlfn.XLOOKUP(Table2[[#This Row],[Area]],Referendum!E:E,Referendum!L:L,"")</f>
        <v>36708</v>
      </c>
      <c r="Z186" s="9">
        <f>_xlfn.XLOOKUP(Table2[[#This Row],[Area]],Referendum!E:E,Referendum!M:M,"")</f>
        <v>47773</v>
      </c>
      <c r="AA186" s="10">
        <f>(Table2[[#This Row],[Leave Votes]]+Table2[[#This Row],[Remain Votes]])/Table2[[#This Row],[Residents Age &gt;=20]]</f>
        <v>0.58016289418745193</v>
      </c>
      <c r="AB186" s="10">
        <f>Table2[[#This Row],[Remain Votes]]/Table2[[#This Row],[Residents Age &gt;=20]]</f>
        <v>0.2520876826722338</v>
      </c>
      <c r="AC186" s="10">
        <f>Table2[[#This Row],[Leave Votes]]/Table2[[#This Row],[Residents Age &gt;=20]]</f>
        <v>0.32807521151521812</v>
      </c>
    </row>
    <row r="187" spans="1:29" x14ac:dyDescent="0.45">
      <c r="A187" t="s">
        <v>830</v>
      </c>
      <c r="B187" t="s">
        <v>555</v>
      </c>
      <c r="C187" t="s">
        <v>556</v>
      </c>
      <c r="D187" s="1">
        <v>155143</v>
      </c>
      <c r="E187" s="1">
        <v>9553</v>
      </c>
      <c r="F187" s="1">
        <v>8785</v>
      </c>
      <c r="G187" s="1">
        <v>9443</v>
      </c>
      <c r="H187" s="1">
        <v>9271</v>
      </c>
      <c r="I187" s="1">
        <v>8633</v>
      </c>
      <c r="J187" s="1">
        <v>9641</v>
      </c>
      <c r="K187" s="1">
        <v>9582</v>
      </c>
      <c r="L187" s="1">
        <v>10212</v>
      </c>
      <c r="M187" s="1">
        <v>11910</v>
      </c>
      <c r="N187" s="1">
        <v>11852</v>
      </c>
      <c r="O187" s="1">
        <v>10300</v>
      </c>
      <c r="P187" s="1">
        <v>9246</v>
      </c>
      <c r="Q187" s="1">
        <v>10201</v>
      </c>
      <c r="R187" s="1">
        <v>7997</v>
      </c>
      <c r="S187" s="1">
        <v>6272</v>
      </c>
      <c r="T187" s="1">
        <v>4993</v>
      </c>
      <c r="U187" s="1">
        <v>3738</v>
      </c>
      <c r="V187" s="1">
        <v>2285</v>
      </c>
      <c r="W187" s="1">
        <v>1229</v>
      </c>
      <c r="X187" s="9">
        <f>SUM(Table2[[#This Row],[Age 20 to 24]:[Age 90 and Over]])</f>
        <v>118091</v>
      </c>
      <c r="Y187" s="9">
        <f>_xlfn.XLOOKUP(Table2[[#This Row],[Area]],Referendum!E:E,Referendum!L:L,"")</f>
        <v>36762</v>
      </c>
      <c r="Z187" s="9">
        <f>_xlfn.XLOOKUP(Table2[[#This Row],[Area]],Referendum!E:E,Referendum!M:M,"")</f>
        <v>52365</v>
      </c>
      <c r="AA187" s="10">
        <f>(Table2[[#This Row],[Leave Votes]]+Table2[[#This Row],[Remain Votes]])/Table2[[#This Row],[Residents Age &gt;=20]]</f>
        <v>0.75473152060698956</v>
      </c>
      <c r="AB187" s="10">
        <f>Table2[[#This Row],[Remain Votes]]/Table2[[#This Row],[Residents Age &gt;=20]]</f>
        <v>0.31130230076805177</v>
      </c>
      <c r="AC187" s="10">
        <f>Table2[[#This Row],[Leave Votes]]/Table2[[#This Row],[Residents Age &gt;=20]]</f>
        <v>0.44342921983893779</v>
      </c>
    </row>
    <row r="188" spans="1:29" x14ac:dyDescent="0.45">
      <c r="A188" t="s">
        <v>830</v>
      </c>
      <c r="B188" t="s">
        <v>355</v>
      </c>
      <c r="C188" t="s">
        <v>356</v>
      </c>
      <c r="D188" s="1">
        <v>61629</v>
      </c>
      <c r="E188" s="1">
        <v>3027</v>
      </c>
      <c r="F188" s="1">
        <v>3261</v>
      </c>
      <c r="G188" s="1">
        <v>3726</v>
      </c>
      <c r="H188" s="1">
        <v>3562</v>
      </c>
      <c r="I188" s="1">
        <v>2883</v>
      </c>
      <c r="J188" s="1">
        <v>2480</v>
      </c>
      <c r="K188" s="1">
        <v>2833</v>
      </c>
      <c r="L188" s="1">
        <v>3707</v>
      </c>
      <c r="M188" s="1">
        <v>4890</v>
      </c>
      <c r="N188" s="1">
        <v>4835</v>
      </c>
      <c r="O188" s="1">
        <v>4611</v>
      </c>
      <c r="P188" s="1">
        <v>4339</v>
      </c>
      <c r="Q188" s="1">
        <v>5101</v>
      </c>
      <c r="R188" s="1">
        <v>4027</v>
      </c>
      <c r="S188" s="1">
        <v>2949</v>
      </c>
      <c r="T188" s="1">
        <v>2317</v>
      </c>
      <c r="U188" s="1">
        <v>1562</v>
      </c>
      <c r="V188">
        <v>916</v>
      </c>
      <c r="W188">
        <v>603</v>
      </c>
      <c r="X188" s="9">
        <f>SUM(Table2[[#This Row],[Age 20 to 24]:[Age 90 and Over]])</f>
        <v>48053</v>
      </c>
      <c r="Y188" s="9">
        <f>_xlfn.XLOOKUP(Table2[[#This Row],[Area]],Referendum!E:E,Referendum!L:L,"")</f>
        <v>14529</v>
      </c>
      <c r="Z188" s="9">
        <f>_xlfn.XLOOKUP(Table2[[#This Row],[Area]],Referendum!E:E,Referendum!M:M,"")</f>
        <v>24302</v>
      </c>
      <c r="AA188" s="10">
        <f>(Table2[[#This Row],[Leave Votes]]+Table2[[#This Row],[Remain Votes]])/Table2[[#This Row],[Residents Age &gt;=20]]</f>
        <v>0.80808690404345207</v>
      </c>
      <c r="AB188" s="10">
        <f>Table2[[#This Row],[Remain Votes]]/Table2[[#This Row],[Residents Age &gt;=20]]</f>
        <v>0.30235365117682561</v>
      </c>
      <c r="AC188" s="10">
        <f>Table2[[#This Row],[Leave Votes]]/Table2[[#This Row],[Residents Age &gt;=20]]</f>
        <v>0.5057332528666264</v>
      </c>
    </row>
    <row r="189" spans="1:29" x14ac:dyDescent="0.45">
      <c r="A189" t="s">
        <v>830</v>
      </c>
      <c r="B189" t="s">
        <v>305</v>
      </c>
      <c r="C189" t="s">
        <v>306</v>
      </c>
      <c r="D189" s="1">
        <v>74631</v>
      </c>
      <c r="E189" s="1">
        <v>3297</v>
      </c>
      <c r="F189" s="1">
        <v>3643</v>
      </c>
      <c r="G189" s="1">
        <v>4448</v>
      </c>
      <c r="H189" s="1">
        <v>4818</v>
      </c>
      <c r="I189" s="1">
        <v>3146</v>
      </c>
      <c r="J189" s="1">
        <v>2919</v>
      </c>
      <c r="K189" s="1">
        <v>2939</v>
      </c>
      <c r="L189" s="1">
        <v>3849</v>
      </c>
      <c r="M189" s="1">
        <v>5157</v>
      </c>
      <c r="N189" s="1">
        <v>5705</v>
      </c>
      <c r="O189" s="1">
        <v>5428</v>
      </c>
      <c r="P189" s="1">
        <v>5144</v>
      </c>
      <c r="Q189" s="1">
        <v>6157</v>
      </c>
      <c r="R189" s="1">
        <v>5095</v>
      </c>
      <c r="S189" s="1">
        <v>4179</v>
      </c>
      <c r="T189" s="1">
        <v>3369</v>
      </c>
      <c r="U189" s="1">
        <v>2627</v>
      </c>
      <c r="V189" s="1">
        <v>1781</v>
      </c>
      <c r="W189">
        <v>930</v>
      </c>
      <c r="X189" s="9">
        <f>SUM(Table2[[#This Row],[Age 20 to 24]:[Age 90 and Over]])</f>
        <v>58425</v>
      </c>
      <c r="Y189" s="9">
        <f>_xlfn.XLOOKUP(Table2[[#This Row],[Area]],Referendum!E:E,Referendum!L:L,"")</f>
        <v>23203</v>
      </c>
      <c r="Z189" s="9">
        <f>_xlfn.XLOOKUP(Table2[[#This Row],[Area]],Referendum!E:E,Referendum!M:M,"")</f>
        <v>25294</v>
      </c>
      <c r="AA189" s="10">
        <f>(Table2[[#This Row],[Leave Votes]]+Table2[[#This Row],[Remain Votes]])/Table2[[#This Row],[Residents Age &gt;=20]]</f>
        <v>0.8300727428326915</v>
      </c>
      <c r="AB189" s="10">
        <f>Table2[[#This Row],[Remain Votes]]/Table2[[#This Row],[Residents Age &gt;=20]]</f>
        <v>0.39714163457424045</v>
      </c>
      <c r="AC189" s="10">
        <f>Table2[[#This Row],[Leave Votes]]/Table2[[#This Row],[Residents Age &gt;=20]]</f>
        <v>0.43293110825845099</v>
      </c>
    </row>
    <row r="190" spans="1:29" x14ac:dyDescent="0.45">
      <c r="A190" t="s">
        <v>830</v>
      </c>
      <c r="B190" t="s">
        <v>53</v>
      </c>
      <c r="C190" t="s">
        <v>54</v>
      </c>
      <c r="D190" s="1">
        <v>503127</v>
      </c>
      <c r="E190" s="1">
        <v>36413</v>
      </c>
      <c r="F190" s="1">
        <v>28617</v>
      </c>
      <c r="G190" s="1">
        <v>26785</v>
      </c>
      <c r="H190" s="1">
        <v>38302</v>
      </c>
      <c r="I190" s="1">
        <v>66998</v>
      </c>
      <c r="J190" s="1">
        <v>56595</v>
      </c>
      <c r="K190" s="1">
        <v>45004</v>
      </c>
      <c r="L190" s="1">
        <v>33970</v>
      </c>
      <c r="M190" s="1">
        <v>32466</v>
      </c>
      <c r="N190" s="1">
        <v>28637</v>
      </c>
      <c r="O190" s="1">
        <v>23927</v>
      </c>
      <c r="P190" s="1">
        <v>19633</v>
      </c>
      <c r="Q190" s="1">
        <v>18236</v>
      </c>
      <c r="R190" s="1">
        <v>13191</v>
      </c>
      <c r="S190" s="1">
        <v>11576</v>
      </c>
      <c r="T190" s="1">
        <v>9378</v>
      </c>
      <c r="U190" s="1">
        <v>7026</v>
      </c>
      <c r="V190" s="1">
        <v>4226</v>
      </c>
      <c r="W190" s="1">
        <v>2147</v>
      </c>
      <c r="X190" s="9">
        <f>SUM(Table2[[#This Row],[Age 20 to 24]:[Age 90 and Over]])</f>
        <v>373010</v>
      </c>
      <c r="Y190" s="9">
        <f>_xlfn.XLOOKUP(Table2[[#This Row],[Area]],Referendum!E:E,Referendum!L:L,"")</f>
        <v>121823</v>
      </c>
      <c r="Z190" s="9">
        <f>_xlfn.XLOOKUP(Table2[[#This Row],[Area]],Referendum!E:E,Referendum!M:M,"")</f>
        <v>79991</v>
      </c>
      <c r="AA190" s="10">
        <f>(Table2[[#This Row],[Leave Votes]]+Table2[[#This Row],[Remain Votes]])/Table2[[#This Row],[Residents Age &gt;=20]]</f>
        <v>0.54104179512613604</v>
      </c>
      <c r="AB190" s="10">
        <f>Table2[[#This Row],[Remain Votes]]/Table2[[#This Row],[Residents Age &gt;=20]]</f>
        <v>0.32659446127449665</v>
      </c>
      <c r="AC190" s="10">
        <f>Table2[[#This Row],[Leave Votes]]/Table2[[#This Row],[Residents Age &gt;=20]]</f>
        <v>0.21444733385163936</v>
      </c>
    </row>
    <row r="191" spans="1:29" x14ac:dyDescent="0.45">
      <c r="A191" t="s">
        <v>830</v>
      </c>
      <c r="B191" t="s">
        <v>247</v>
      </c>
      <c r="C191" t="s">
        <v>248</v>
      </c>
      <c r="D191" s="1">
        <v>104466</v>
      </c>
      <c r="E191" s="1">
        <v>6399</v>
      </c>
      <c r="F191" s="1">
        <v>5471</v>
      </c>
      <c r="G191" s="1">
        <v>5852</v>
      </c>
      <c r="H191" s="1">
        <v>6536</v>
      </c>
      <c r="I191" s="1">
        <v>6518</v>
      </c>
      <c r="J191" s="1">
        <v>6799</v>
      </c>
      <c r="K191" s="1">
        <v>6291</v>
      </c>
      <c r="L191" s="1">
        <v>6535</v>
      </c>
      <c r="M191" s="1">
        <v>7679</v>
      </c>
      <c r="N191" s="1">
        <v>8164</v>
      </c>
      <c r="O191" s="1">
        <v>7325</v>
      </c>
      <c r="P191" s="1">
        <v>6438</v>
      </c>
      <c r="Q191" s="1">
        <v>6513</v>
      </c>
      <c r="R191" s="1">
        <v>5450</v>
      </c>
      <c r="S191" s="1">
        <v>4203</v>
      </c>
      <c r="T191" s="1">
        <v>3462</v>
      </c>
      <c r="U191" s="1">
        <v>2601</v>
      </c>
      <c r="V191" s="1">
        <v>1527</v>
      </c>
      <c r="W191">
        <v>703</v>
      </c>
      <c r="X191" s="9">
        <f>SUM(Table2[[#This Row],[Age 20 to 24]:[Age 90 and Over]])</f>
        <v>80208</v>
      </c>
      <c r="Y191" s="9">
        <f>_xlfn.XLOOKUP(Table2[[#This Row],[Area]],Referendum!E:E,Referendum!L:L,"")</f>
        <v>16417</v>
      </c>
      <c r="Z191" s="9">
        <f>_xlfn.XLOOKUP(Table2[[#This Row],[Area]],Referendum!E:E,Referendum!M:M,"")</f>
        <v>39927</v>
      </c>
      <c r="AA191" s="10">
        <f>(Table2[[#This Row],[Leave Votes]]+Table2[[#This Row],[Remain Votes]])/Table2[[#This Row],[Residents Age &gt;=20]]</f>
        <v>0.7024735687213246</v>
      </c>
      <c r="AB191" s="10">
        <f>Table2[[#This Row],[Remain Votes]]/Table2[[#This Row],[Residents Age &gt;=20]]</f>
        <v>0.2046803311390385</v>
      </c>
      <c r="AC191" s="10">
        <f>Table2[[#This Row],[Leave Votes]]/Table2[[#This Row],[Residents Age &gt;=20]]</f>
        <v>0.49779323758228605</v>
      </c>
    </row>
    <row r="192" spans="1:29" x14ac:dyDescent="0.45">
      <c r="A192" t="s">
        <v>830</v>
      </c>
      <c r="B192" t="s">
        <v>481</v>
      </c>
      <c r="C192" t="s">
        <v>482</v>
      </c>
      <c r="D192" s="1">
        <v>263925</v>
      </c>
      <c r="E192" s="1">
        <v>17224</v>
      </c>
      <c r="F192" s="1">
        <v>15967</v>
      </c>
      <c r="G192" s="1">
        <v>16765</v>
      </c>
      <c r="H192" s="1">
        <v>19031</v>
      </c>
      <c r="I192" s="1">
        <v>19041</v>
      </c>
      <c r="J192" s="1">
        <v>17581</v>
      </c>
      <c r="K192" s="1">
        <v>17246</v>
      </c>
      <c r="L192" s="1">
        <v>17313</v>
      </c>
      <c r="M192" s="1">
        <v>19762</v>
      </c>
      <c r="N192" s="1">
        <v>19699</v>
      </c>
      <c r="O192" s="1">
        <v>17205</v>
      </c>
      <c r="P192" s="1">
        <v>14632</v>
      </c>
      <c r="Q192" s="1">
        <v>15454</v>
      </c>
      <c r="R192" s="1">
        <v>11597</v>
      </c>
      <c r="S192" s="1">
        <v>9055</v>
      </c>
      <c r="T192" s="1">
        <v>6997</v>
      </c>
      <c r="U192" s="1">
        <v>4949</v>
      </c>
      <c r="V192" s="1">
        <v>2915</v>
      </c>
      <c r="W192" s="1">
        <v>1492</v>
      </c>
      <c r="X192" s="9">
        <f>SUM(Table2[[#This Row],[Age 20 to 24]:[Age 90 and Over]])</f>
        <v>194938</v>
      </c>
      <c r="Y192" s="9">
        <f>_xlfn.XLOOKUP(Table2[[#This Row],[Area]],Referendum!E:E,Referendum!L:L,"")</f>
        <v>49889</v>
      </c>
      <c r="Z192" s="9">
        <f>_xlfn.XLOOKUP(Table2[[#This Row],[Area]],Referendum!E:E,Referendum!M:M,"")</f>
        <v>88997</v>
      </c>
      <c r="AA192" s="10">
        <f>(Table2[[#This Row],[Leave Votes]]+Table2[[#This Row],[Remain Votes]])/Table2[[#This Row],[Residents Age &gt;=20]]</f>
        <v>0.712462423950179</v>
      </c>
      <c r="AB192" s="10">
        <f>Table2[[#This Row],[Remain Votes]]/Table2[[#This Row],[Residents Age &gt;=20]]</f>
        <v>0.25592239583867693</v>
      </c>
      <c r="AC192" s="10">
        <f>Table2[[#This Row],[Leave Votes]]/Table2[[#This Row],[Residents Age &gt;=20]]</f>
        <v>0.45654002811150213</v>
      </c>
    </row>
    <row r="193" spans="1:29" x14ac:dyDescent="0.45">
      <c r="A193" t="s">
        <v>830</v>
      </c>
      <c r="B193" t="s">
        <v>205</v>
      </c>
      <c r="C193" t="s">
        <v>206</v>
      </c>
      <c r="D193" s="1">
        <v>50376</v>
      </c>
      <c r="E193" s="1">
        <v>2786</v>
      </c>
      <c r="F193" s="1">
        <v>2685</v>
      </c>
      <c r="G193" s="1">
        <v>3033</v>
      </c>
      <c r="H193" s="1">
        <v>2984</v>
      </c>
      <c r="I193" s="1">
        <v>2535</v>
      </c>
      <c r="J193" s="1">
        <v>2537</v>
      </c>
      <c r="K193" s="1">
        <v>2592</v>
      </c>
      <c r="L193" s="1">
        <v>2996</v>
      </c>
      <c r="M193" s="1">
        <v>4032</v>
      </c>
      <c r="N193" s="1">
        <v>4272</v>
      </c>
      <c r="O193" s="1">
        <v>3648</v>
      </c>
      <c r="P193" s="1">
        <v>3357</v>
      </c>
      <c r="Q193" s="1">
        <v>3662</v>
      </c>
      <c r="R193" s="1">
        <v>2826</v>
      </c>
      <c r="S193" s="1">
        <v>2149</v>
      </c>
      <c r="T193" s="1">
        <v>1731</v>
      </c>
      <c r="U193" s="1">
        <v>1288</v>
      </c>
      <c r="V193">
        <v>863</v>
      </c>
      <c r="W193">
        <v>400</v>
      </c>
      <c r="X193" s="9">
        <f>SUM(Table2[[#This Row],[Age 20 to 24]:[Age 90 and Over]])</f>
        <v>38888</v>
      </c>
      <c r="Y193" s="9">
        <f>_xlfn.XLOOKUP(Table2[[#This Row],[Area]],Referendum!E:E,Referendum!L:L,"")</f>
        <v>12695</v>
      </c>
      <c r="Z193" s="9">
        <f>_xlfn.XLOOKUP(Table2[[#This Row],[Area]],Referendum!E:E,Referendum!M:M,"")</f>
        <v>17610</v>
      </c>
      <c r="AA193" s="10">
        <f>(Table2[[#This Row],[Leave Votes]]+Table2[[#This Row],[Remain Votes]])/Table2[[#This Row],[Residents Age &gt;=20]]</f>
        <v>0.77928924089693474</v>
      </c>
      <c r="AB193" s="10">
        <f>Table2[[#This Row],[Remain Votes]]/Table2[[#This Row],[Residents Age &gt;=20]]</f>
        <v>0.32645031886443121</v>
      </c>
      <c r="AC193" s="10">
        <f>Table2[[#This Row],[Leave Votes]]/Table2[[#This Row],[Residents Age &gt;=20]]</f>
        <v>0.45283892203250359</v>
      </c>
    </row>
    <row r="194" spans="1:29" x14ac:dyDescent="0.45">
      <c r="A194" t="s">
        <v>830</v>
      </c>
      <c r="B194" t="s">
        <v>681</v>
      </c>
      <c r="C194" t="s">
        <v>682</v>
      </c>
      <c r="D194" s="1">
        <v>109279</v>
      </c>
      <c r="E194" s="1">
        <v>5915</v>
      </c>
      <c r="F194" s="1">
        <v>5913</v>
      </c>
      <c r="G194" s="1">
        <v>6988</v>
      </c>
      <c r="H194" s="1">
        <v>7590</v>
      </c>
      <c r="I194" s="1">
        <v>5359</v>
      </c>
      <c r="J194" s="1">
        <v>5114</v>
      </c>
      <c r="K194" s="1">
        <v>5100</v>
      </c>
      <c r="L194" s="1">
        <v>6284</v>
      </c>
      <c r="M194" s="1">
        <v>8167</v>
      </c>
      <c r="N194" s="1">
        <v>8625</v>
      </c>
      <c r="O194" s="1">
        <v>7763</v>
      </c>
      <c r="P194" s="1">
        <v>7227</v>
      </c>
      <c r="Q194" s="1">
        <v>7956</v>
      </c>
      <c r="R194" s="1">
        <v>6210</v>
      </c>
      <c r="S194" s="1">
        <v>4839</v>
      </c>
      <c r="T194" s="1">
        <v>4001</v>
      </c>
      <c r="U194" s="1">
        <v>3063</v>
      </c>
      <c r="V194" s="1">
        <v>2089</v>
      </c>
      <c r="W194" s="1">
        <v>1076</v>
      </c>
      <c r="X194" s="9">
        <f>SUM(Table2[[#This Row],[Age 20 to 24]:[Age 90 and Over]])</f>
        <v>82873</v>
      </c>
      <c r="Y194" s="9">
        <f>_xlfn.XLOOKUP(Table2[[#This Row],[Area]],Referendum!E:E,Referendum!L:L,"")</f>
        <v>33427</v>
      </c>
      <c r="Z194" s="9">
        <f>_xlfn.XLOOKUP(Table2[[#This Row],[Area]],Referendum!E:E,Referendum!M:M,"")</f>
        <v>32028</v>
      </c>
      <c r="AA194" s="10">
        <f>(Table2[[#This Row],[Leave Votes]]+Table2[[#This Row],[Remain Votes]])/Table2[[#This Row],[Residents Age &gt;=20]]</f>
        <v>0.78982298215341551</v>
      </c>
      <c r="AB194" s="10">
        <f>Table2[[#This Row],[Remain Votes]]/Table2[[#This Row],[Residents Age &gt;=20]]</f>
        <v>0.40335211709483187</v>
      </c>
      <c r="AC194" s="10">
        <f>Table2[[#This Row],[Leave Votes]]/Table2[[#This Row],[Residents Age &gt;=20]]</f>
        <v>0.38647086505858363</v>
      </c>
    </row>
    <row r="195" spans="1:29" x14ac:dyDescent="0.45">
      <c r="A195" t="s">
        <v>830</v>
      </c>
      <c r="B195" t="s">
        <v>793</v>
      </c>
      <c r="C195" t="s">
        <v>794</v>
      </c>
      <c r="D195" s="1">
        <v>58802</v>
      </c>
      <c r="E195" s="1">
        <v>3630</v>
      </c>
      <c r="F195" s="1">
        <v>3119</v>
      </c>
      <c r="G195" s="1">
        <v>3476</v>
      </c>
      <c r="H195" s="1">
        <v>3824</v>
      </c>
      <c r="I195" s="1">
        <v>3959</v>
      </c>
      <c r="J195" s="1">
        <v>4170</v>
      </c>
      <c r="K195" s="1">
        <v>3417</v>
      </c>
      <c r="L195" s="1">
        <v>3409</v>
      </c>
      <c r="M195" s="1">
        <v>4281</v>
      </c>
      <c r="N195" s="1">
        <v>4363</v>
      </c>
      <c r="O195" s="1">
        <v>4068</v>
      </c>
      <c r="P195" s="1">
        <v>3510</v>
      </c>
      <c r="Q195" s="1">
        <v>3780</v>
      </c>
      <c r="R195" s="1">
        <v>2895</v>
      </c>
      <c r="S195" s="1">
        <v>2436</v>
      </c>
      <c r="T195" s="1">
        <v>1931</v>
      </c>
      <c r="U195" s="1">
        <v>1350</v>
      </c>
      <c r="V195">
        <v>775</v>
      </c>
      <c r="W195">
        <v>409</v>
      </c>
      <c r="X195" s="9">
        <f>SUM(Table2[[#This Row],[Age 20 to 24]:[Age 90 and Over]])</f>
        <v>44753</v>
      </c>
      <c r="Y195" s="9">
        <f>_xlfn.XLOOKUP(Table2[[#This Row],[Area]],Referendum!E:E,Referendum!L:L,"")</f>
        <v>12574</v>
      </c>
      <c r="Z195" s="9">
        <f>_xlfn.XLOOKUP(Table2[[#This Row],[Area]],Referendum!E:E,Referendum!M:M,"")</f>
        <v>16291</v>
      </c>
      <c r="AA195" s="10">
        <f>(Table2[[#This Row],[Leave Votes]]+Table2[[#This Row],[Remain Votes]])/Table2[[#This Row],[Residents Age &gt;=20]]</f>
        <v>0.64498469376354661</v>
      </c>
      <c r="AB195" s="10">
        <f>Table2[[#This Row],[Remain Votes]]/Table2[[#This Row],[Residents Age &gt;=20]]</f>
        <v>0.28096440462091926</v>
      </c>
      <c r="AC195" s="10">
        <f>Table2[[#This Row],[Leave Votes]]/Table2[[#This Row],[Residents Age &gt;=20]]</f>
        <v>0.3640202891426273</v>
      </c>
    </row>
    <row r="196" spans="1:29" x14ac:dyDescent="0.45">
      <c r="A196" t="s">
        <v>830</v>
      </c>
      <c r="B196" t="s">
        <v>459</v>
      </c>
      <c r="C196" t="s">
        <v>460</v>
      </c>
      <c r="D196" s="1">
        <v>199693</v>
      </c>
      <c r="E196" s="1">
        <v>14830</v>
      </c>
      <c r="F196" s="1">
        <v>11407</v>
      </c>
      <c r="G196" s="1">
        <v>10474</v>
      </c>
      <c r="H196" s="1">
        <v>10409</v>
      </c>
      <c r="I196" s="1">
        <v>12452</v>
      </c>
      <c r="J196" s="1">
        <v>19877</v>
      </c>
      <c r="K196" s="1">
        <v>20904</v>
      </c>
      <c r="L196" s="1">
        <v>17255</v>
      </c>
      <c r="M196" s="1">
        <v>15504</v>
      </c>
      <c r="N196" s="1">
        <v>14039</v>
      </c>
      <c r="O196" s="1">
        <v>11294</v>
      </c>
      <c r="P196" s="1">
        <v>9349</v>
      </c>
      <c r="Q196" s="1">
        <v>8777</v>
      </c>
      <c r="R196" s="1">
        <v>6374</v>
      </c>
      <c r="S196" s="1">
        <v>5506</v>
      </c>
      <c r="T196" s="1">
        <v>4524</v>
      </c>
      <c r="U196" s="1">
        <v>3441</v>
      </c>
      <c r="V196" s="1">
        <v>2105</v>
      </c>
      <c r="W196" s="1">
        <v>1172</v>
      </c>
      <c r="X196" s="9">
        <f>SUM(Table2[[#This Row],[Age 20 to 24]:[Age 90 and Over]])</f>
        <v>152573</v>
      </c>
      <c r="Y196" s="9">
        <f>_xlfn.XLOOKUP(Table2[[#This Row],[Area]],Referendum!E:E,Referendum!L:L,"")</f>
        <v>63003</v>
      </c>
      <c r="Z196" s="9">
        <f>_xlfn.XLOOKUP(Table2[[#This Row],[Area]],Referendum!E:E,Referendum!M:M,"")</f>
        <v>37097</v>
      </c>
      <c r="AA196" s="10">
        <f>(Table2[[#This Row],[Leave Votes]]+Table2[[#This Row],[Remain Votes]])/Table2[[#This Row],[Residents Age &gt;=20]]</f>
        <v>0.65607938495015505</v>
      </c>
      <c r="AB196" s="10">
        <f>Table2[[#This Row],[Remain Votes]]/Table2[[#This Row],[Residents Age &gt;=20]]</f>
        <v>0.41293675814200415</v>
      </c>
      <c r="AC196" s="10">
        <f>Table2[[#This Row],[Leave Votes]]/Table2[[#This Row],[Residents Age &gt;=20]]</f>
        <v>0.24314262680815085</v>
      </c>
    </row>
    <row r="197" spans="1:29" x14ac:dyDescent="0.45">
      <c r="A197" t="s">
        <v>830</v>
      </c>
      <c r="B197" t="s">
        <v>645</v>
      </c>
      <c r="C197" t="s">
        <v>646</v>
      </c>
      <c r="D197" s="1">
        <v>77750</v>
      </c>
      <c r="E197" s="1">
        <v>4498</v>
      </c>
      <c r="F197" s="1">
        <v>4243</v>
      </c>
      <c r="G197" s="1">
        <v>4713</v>
      </c>
      <c r="H197" s="1">
        <v>4656</v>
      </c>
      <c r="I197" s="1">
        <v>3675</v>
      </c>
      <c r="J197" s="1">
        <v>3888</v>
      </c>
      <c r="K197" s="1">
        <v>3710</v>
      </c>
      <c r="L197" s="1">
        <v>4487</v>
      </c>
      <c r="M197" s="1">
        <v>5651</v>
      </c>
      <c r="N197" s="1">
        <v>5954</v>
      </c>
      <c r="O197" s="1">
        <v>5436</v>
      </c>
      <c r="P197" s="1">
        <v>5143</v>
      </c>
      <c r="Q197" s="1">
        <v>5831</v>
      </c>
      <c r="R197" s="1">
        <v>4797</v>
      </c>
      <c r="S197" s="1">
        <v>3715</v>
      </c>
      <c r="T197" s="1">
        <v>2880</v>
      </c>
      <c r="U197" s="1">
        <v>2283</v>
      </c>
      <c r="V197" s="1">
        <v>1430</v>
      </c>
      <c r="W197">
        <v>760</v>
      </c>
      <c r="X197" s="9">
        <f>SUM(Table2[[#This Row],[Age 20 to 24]:[Age 90 and Over]])</f>
        <v>59640</v>
      </c>
      <c r="Y197" s="9">
        <f>_xlfn.XLOOKUP(Table2[[#This Row],[Area]],Referendum!E:E,Referendum!L:L,"")</f>
        <v>22400</v>
      </c>
      <c r="Z197" s="9">
        <f>_xlfn.XLOOKUP(Table2[[#This Row],[Area]],Referendum!E:E,Referendum!M:M,"")</f>
        <v>25606</v>
      </c>
      <c r="AA197" s="10">
        <f>(Table2[[#This Row],[Leave Votes]]+Table2[[#This Row],[Remain Votes]])/Table2[[#This Row],[Residents Age &gt;=20]]</f>
        <v>0.80492957746478877</v>
      </c>
      <c r="AB197" s="10">
        <f>Table2[[#This Row],[Remain Votes]]/Table2[[#This Row],[Residents Age &gt;=20]]</f>
        <v>0.37558685446009388</v>
      </c>
      <c r="AC197" s="10">
        <f>Table2[[#This Row],[Leave Votes]]/Table2[[#This Row],[Residents Age &gt;=20]]</f>
        <v>0.42934272300469484</v>
      </c>
    </row>
    <row r="198" spans="1:29" x14ac:dyDescent="0.45">
      <c r="A198" t="s">
        <v>830</v>
      </c>
      <c r="B198" t="s">
        <v>403</v>
      </c>
      <c r="C198" t="s">
        <v>404</v>
      </c>
      <c r="D198" s="1">
        <v>96731</v>
      </c>
      <c r="E198" s="1">
        <v>5266</v>
      </c>
      <c r="F198" s="1">
        <v>5394</v>
      </c>
      <c r="G198" s="1">
        <v>5883</v>
      </c>
      <c r="H198" s="1">
        <v>5629</v>
      </c>
      <c r="I198" s="1">
        <v>4537</v>
      </c>
      <c r="J198" s="1">
        <v>4585</v>
      </c>
      <c r="K198" s="1">
        <v>4770</v>
      </c>
      <c r="L198" s="1">
        <v>5729</v>
      </c>
      <c r="M198" s="1">
        <v>7103</v>
      </c>
      <c r="N198" s="1">
        <v>7488</v>
      </c>
      <c r="O198" s="1">
        <v>6894</v>
      </c>
      <c r="P198" s="1">
        <v>6436</v>
      </c>
      <c r="Q198" s="1">
        <v>7546</v>
      </c>
      <c r="R198" s="1">
        <v>6036</v>
      </c>
      <c r="S198" s="1">
        <v>4601</v>
      </c>
      <c r="T198" s="1">
        <v>3639</v>
      </c>
      <c r="U198" s="1">
        <v>2641</v>
      </c>
      <c r="V198" s="1">
        <v>1675</v>
      </c>
      <c r="W198">
        <v>879</v>
      </c>
      <c r="X198" s="9">
        <f>SUM(Table2[[#This Row],[Age 20 to 24]:[Age 90 and Over]])</f>
        <v>74559</v>
      </c>
      <c r="Y198" s="9">
        <f>_xlfn.XLOOKUP(Table2[[#This Row],[Area]],Referendum!E:E,Referendum!L:L,"")</f>
        <v>27391</v>
      </c>
      <c r="Z198" s="9">
        <f>_xlfn.XLOOKUP(Table2[[#This Row],[Area]],Referendum!E:E,Referendum!M:M,"")</f>
        <v>33794</v>
      </c>
      <c r="AA198" s="10">
        <f>(Table2[[#This Row],[Leave Votes]]+Table2[[#This Row],[Remain Votes]])/Table2[[#This Row],[Residents Age &gt;=20]]</f>
        <v>0.82062527662656415</v>
      </c>
      <c r="AB198" s="10">
        <f>Table2[[#This Row],[Remain Votes]]/Table2[[#This Row],[Residents Age &gt;=20]]</f>
        <v>0.36737348945130704</v>
      </c>
      <c r="AC198" s="10">
        <f>Table2[[#This Row],[Leave Votes]]/Table2[[#This Row],[Residents Age &gt;=20]]</f>
        <v>0.45325178717525716</v>
      </c>
    </row>
    <row r="199" spans="1:29" x14ac:dyDescent="0.45">
      <c r="A199" t="s">
        <v>830</v>
      </c>
      <c r="B199" t="s">
        <v>611</v>
      </c>
      <c r="C199" t="s">
        <v>612</v>
      </c>
      <c r="D199" s="1">
        <v>139860</v>
      </c>
      <c r="E199" s="1">
        <v>8343</v>
      </c>
      <c r="F199" s="1">
        <v>8175</v>
      </c>
      <c r="G199" s="1">
        <v>8755</v>
      </c>
      <c r="H199" s="1">
        <v>8225</v>
      </c>
      <c r="I199" s="1">
        <v>6490</v>
      </c>
      <c r="J199" s="1">
        <v>7510</v>
      </c>
      <c r="K199" s="1">
        <v>8043</v>
      </c>
      <c r="L199" s="1">
        <v>9451</v>
      </c>
      <c r="M199" s="1">
        <v>11006</v>
      </c>
      <c r="N199" s="1">
        <v>11114</v>
      </c>
      <c r="O199" s="1">
        <v>9536</v>
      </c>
      <c r="P199" s="1">
        <v>8617</v>
      </c>
      <c r="Q199" s="1">
        <v>9288</v>
      </c>
      <c r="R199" s="1">
        <v>7356</v>
      </c>
      <c r="S199" s="1">
        <v>5448</v>
      </c>
      <c r="T199" s="1">
        <v>4726</v>
      </c>
      <c r="U199" s="1">
        <v>3879</v>
      </c>
      <c r="V199" s="1">
        <v>2425</v>
      </c>
      <c r="W199" s="1">
        <v>1473</v>
      </c>
      <c r="X199" s="9">
        <f>SUM(Table2[[#This Row],[Age 20 to 24]:[Age 90 and Over]])</f>
        <v>106362</v>
      </c>
      <c r="Y199" s="9">
        <f>_xlfn.XLOOKUP(Table2[[#This Row],[Area]],Referendum!E:E,Referendum!L:L,"")</f>
        <v>46471</v>
      </c>
      <c r="Z199" s="9">
        <f>_xlfn.XLOOKUP(Table2[[#This Row],[Area]],Referendum!E:E,Referendum!M:M,"")</f>
        <v>41057</v>
      </c>
      <c r="AA199" s="10">
        <f>(Table2[[#This Row],[Leave Votes]]+Table2[[#This Row],[Remain Votes]])/Table2[[#This Row],[Residents Age &gt;=20]]</f>
        <v>0.82292548090483442</v>
      </c>
      <c r="AB199" s="10">
        <f>Table2[[#This Row],[Remain Votes]]/Table2[[#This Row],[Residents Age &gt;=20]]</f>
        <v>0.43691355935390458</v>
      </c>
      <c r="AC199" s="10">
        <f>Table2[[#This Row],[Leave Votes]]/Table2[[#This Row],[Residents Age &gt;=20]]</f>
        <v>0.38601192155092984</v>
      </c>
    </row>
    <row r="200" spans="1:29" x14ac:dyDescent="0.45">
      <c r="A200" t="s">
        <v>830</v>
      </c>
      <c r="B200" t="s">
        <v>35</v>
      </c>
      <c r="C200" t="s">
        <v>36</v>
      </c>
      <c r="D200" s="1">
        <v>138412</v>
      </c>
      <c r="E200" s="1">
        <v>9431</v>
      </c>
      <c r="F200" s="1">
        <v>8276</v>
      </c>
      <c r="G200" s="1">
        <v>8485</v>
      </c>
      <c r="H200" s="1">
        <v>10064</v>
      </c>
      <c r="I200" s="1">
        <v>11690</v>
      </c>
      <c r="J200" s="1">
        <v>9765</v>
      </c>
      <c r="K200" s="1">
        <v>8295</v>
      </c>
      <c r="L200" s="1">
        <v>8135</v>
      </c>
      <c r="M200" s="1">
        <v>8984</v>
      </c>
      <c r="N200" s="1">
        <v>9899</v>
      </c>
      <c r="O200" s="1">
        <v>9233</v>
      </c>
      <c r="P200" s="1">
        <v>7933</v>
      </c>
      <c r="Q200" s="1">
        <v>7531</v>
      </c>
      <c r="R200" s="1">
        <v>5680</v>
      </c>
      <c r="S200" s="1">
        <v>5153</v>
      </c>
      <c r="T200" s="1">
        <v>4278</v>
      </c>
      <c r="U200" s="1">
        <v>3115</v>
      </c>
      <c r="V200" s="1">
        <v>1658</v>
      </c>
      <c r="W200">
        <v>807</v>
      </c>
      <c r="X200" s="9">
        <f>SUM(Table2[[#This Row],[Age 20 to 24]:[Age 90 and Over]])</f>
        <v>102156</v>
      </c>
      <c r="Y200" s="9">
        <f>_xlfn.XLOOKUP(Table2[[#This Row],[Area]],Referendum!E:E,Referendum!L:L,"")</f>
        <v>21181</v>
      </c>
      <c r="Z200" s="9">
        <f>_xlfn.XLOOKUP(Table2[[#This Row],[Area]],Referendum!E:E,Referendum!M:M,"")</f>
        <v>40177</v>
      </c>
      <c r="AA200" s="10">
        <f>(Table2[[#This Row],[Leave Votes]]+Table2[[#This Row],[Remain Votes]])/Table2[[#This Row],[Residents Age &gt;=20]]</f>
        <v>0.6006304083950037</v>
      </c>
      <c r="AB200" s="10">
        <f>Table2[[#This Row],[Remain Votes]]/Table2[[#This Row],[Residents Age &gt;=20]]</f>
        <v>0.20733975488468617</v>
      </c>
      <c r="AC200" s="10">
        <f>Table2[[#This Row],[Leave Votes]]/Table2[[#This Row],[Residents Age &gt;=20]]</f>
        <v>0.39329065351031756</v>
      </c>
    </row>
    <row r="201" spans="1:29" x14ac:dyDescent="0.45">
      <c r="A201" t="s">
        <v>837</v>
      </c>
      <c r="B201" t="s">
        <v>735</v>
      </c>
      <c r="C201" t="s">
        <v>736</v>
      </c>
      <c r="D201" s="1">
        <v>83200</v>
      </c>
      <c r="E201" s="1">
        <v>4900</v>
      </c>
      <c r="F201" s="1">
        <v>4700</v>
      </c>
      <c r="G201" s="1">
        <v>5100</v>
      </c>
      <c r="H201" s="1">
        <v>5200</v>
      </c>
      <c r="I201" s="1">
        <v>4800</v>
      </c>
      <c r="J201" s="1">
        <v>4400</v>
      </c>
      <c r="K201" s="1">
        <v>4700</v>
      </c>
      <c r="L201" s="1">
        <v>5300</v>
      </c>
      <c r="M201" s="1">
        <v>6400</v>
      </c>
      <c r="N201" s="1">
        <v>6500</v>
      </c>
      <c r="O201" s="1">
        <v>6100</v>
      </c>
      <c r="P201" s="1">
        <v>5400</v>
      </c>
      <c r="Q201" s="1">
        <v>5800</v>
      </c>
      <c r="R201" s="1">
        <v>4300</v>
      </c>
      <c r="S201" s="1">
        <v>3500</v>
      </c>
      <c r="T201" s="1">
        <v>2800</v>
      </c>
      <c r="U201" s="1">
        <v>3300</v>
      </c>
      <c r="X201" s="9">
        <f>SUM(Table2[[#This Row],[Age 20 to 24]:[Age 90 and Over]])</f>
        <v>63300</v>
      </c>
      <c r="Y201" s="9">
        <f>_xlfn.XLOOKUP(Table2[[#This Row],[Area]],Referendum!E:E,Referendum!L:L,"")</f>
        <v>28217</v>
      </c>
      <c r="Z201" s="9">
        <f>_xlfn.XLOOKUP(Table2[[#This Row],[Area]],Referendum!E:E,Referendum!M:M,"")</f>
        <v>17251</v>
      </c>
      <c r="AA201" s="10">
        <f>(Table2[[#This Row],[Leave Votes]]+Table2[[#This Row],[Remain Votes]])/Table2[[#This Row],[Residents Age &gt;=20]]</f>
        <v>0.71829383886255926</v>
      </c>
      <c r="AB201" s="10">
        <f>Table2[[#This Row],[Remain Votes]]/Table2[[#This Row],[Residents Age &gt;=20]]</f>
        <v>0.44576619273301737</v>
      </c>
      <c r="AC201" s="10">
        <f>Table2[[#This Row],[Leave Votes]]/Table2[[#This Row],[Residents Age &gt;=20]]</f>
        <v>0.27252764612954189</v>
      </c>
    </row>
    <row r="202" spans="1:29" x14ac:dyDescent="0.45">
      <c r="A202" t="s">
        <v>830</v>
      </c>
      <c r="B202" t="s">
        <v>495</v>
      </c>
      <c r="C202" t="s">
        <v>496</v>
      </c>
      <c r="D202" s="1">
        <v>248821</v>
      </c>
      <c r="E202" s="1">
        <v>19908</v>
      </c>
      <c r="F202" s="1">
        <v>16468</v>
      </c>
      <c r="G202" s="1">
        <v>15805</v>
      </c>
      <c r="H202" s="1">
        <v>14720</v>
      </c>
      <c r="I202" s="1">
        <v>14056</v>
      </c>
      <c r="J202" s="1">
        <v>19596</v>
      </c>
      <c r="K202" s="1">
        <v>20960</v>
      </c>
      <c r="L202" s="1">
        <v>19498</v>
      </c>
      <c r="M202" s="1">
        <v>19090</v>
      </c>
      <c r="N202" s="1">
        <v>17930</v>
      </c>
      <c r="O202" s="1">
        <v>16011</v>
      </c>
      <c r="P202" s="1">
        <v>14099</v>
      </c>
      <c r="Q202" s="1">
        <v>13169</v>
      </c>
      <c r="R202" s="1">
        <v>8872</v>
      </c>
      <c r="S202" s="1">
        <v>6595</v>
      </c>
      <c r="T202" s="1">
        <v>4884</v>
      </c>
      <c r="U202" s="1">
        <v>3610</v>
      </c>
      <c r="V202" s="1">
        <v>2371</v>
      </c>
      <c r="W202" s="1">
        <v>1179</v>
      </c>
      <c r="X202" s="9">
        <f>SUM(Table2[[#This Row],[Age 20 to 24]:[Age 90 and Over]])</f>
        <v>181920</v>
      </c>
      <c r="Y202" s="9">
        <f>_xlfn.XLOOKUP(Table2[[#This Row],[Area]],Referendum!E:E,Referendum!L:L,"")</f>
        <v>63393</v>
      </c>
      <c r="Z202" s="9">
        <f>_xlfn.XLOOKUP(Table2[[#This Row],[Area]],Referendum!E:E,Referendum!M:M,"")</f>
        <v>67063</v>
      </c>
      <c r="AA202" s="10">
        <f>(Table2[[#This Row],[Leave Votes]]+Table2[[#This Row],[Remain Votes]])/Table2[[#This Row],[Residents Age &gt;=20]]</f>
        <v>0.7171064204045734</v>
      </c>
      <c r="AB202" s="10">
        <f>Table2[[#This Row],[Remain Votes]]/Table2[[#This Row],[Residents Age &gt;=20]]</f>
        <v>0.34846635883905014</v>
      </c>
      <c r="AC202" s="10">
        <f>Table2[[#This Row],[Leave Votes]]/Table2[[#This Row],[Residents Age &gt;=20]]</f>
        <v>0.36864006156552331</v>
      </c>
    </row>
    <row r="203" spans="1:29" x14ac:dyDescent="0.45">
      <c r="A203" t="s">
        <v>830</v>
      </c>
      <c r="B203" t="s">
        <v>585</v>
      </c>
      <c r="C203" t="s">
        <v>586</v>
      </c>
      <c r="D203" s="1">
        <v>85375</v>
      </c>
      <c r="E203" s="1">
        <v>4604</v>
      </c>
      <c r="F203" s="1">
        <v>4732</v>
      </c>
      <c r="G203" s="1">
        <v>5348</v>
      </c>
      <c r="H203" s="1">
        <v>5012</v>
      </c>
      <c r="I203" s="1">
        <v>3559</v>
      </c>
      <c r="J203" s="1">
        <v>3753</v>
      </c>
      <c r="K203" s="1">
        <v>4330</v>
      </c>
      <c r="L203" s="1">
        <v>5269</v>
      </c>
      <c r="M203" s="1">
        <v>6502</v>
      </c>
      <c r="N203" s="1">
        <v>7019</v>
      </c>
      <c r="O203" s="1">
        <v>6191</v>
      </c>
      <c r="P203" s="1">
        <v>5452</v>
      </c>
      <c r="Q203" s="1">
        <v>5930</v>
      </c>
      <c r="R203" s="1">
        <v>4957</v>
      </c>
      <c r="S203" s="1">
        <v>3915</v>
      </c>
      <c r="T203" s="1">
        <v>3457</v>
      </c>
      <c r="U203" s="1">
        <v>2660</v>
      </c>
      <c r="V203" s="1">
        <v>1704</v>
      </c>
      <c r="W203">
        <v>981</v>
      </c>
      <c r="X203" s="9">
        <f>SUM(Table2[[#This Row],[Age 20 to 24]:[Age 90 and Over]])</f>
        <v>65679</v>
      </c>
      <c r="Y203" s="9">
        <f>_xlfn.XLOOKUP(Table2[[#This Row],[Area]],Referendum!E:E,Referendum!L:L,"")</f>
        <v>29088</v>
      </c>
      <c r="Z203" s="9">
        <f>_xlfn.XLOOKUP(Table2[[#This Row],[Area]],Referendum!E:E,Referendum!M:M,"")</f>
        <v>25708</v>
      </c>
      <c r="AA203" s="10">
        <f>(Table2[[#This Row],[Leave Votes]]+Table2[[#This Row],[Remain Votes]])/Table2[[#This Row],[Residents Age &gt;=20]]</f>
        <v>0.8343001568233378</v>
      </c>
      <c r="AB203" s="10">
        <f>Table2[[#This Row],[Remain Votes]]/Table2[[#This Row],[Residents Age &gt;=20]]</f>
        <v>0.44288128625588086</v>
      </c>
      <c r="AC203" s="10">
        <f>Table2[[#This Row],[Leave Votes]]/Table2[[#This Row],[Residents Age &gt;=20]]</f>
        <v>0.39141887056745689</v>
      </c>
    </row>
    <row r="204" spans="1:29" x14ac:dyDescent="0.45">
      <c r="A204" t="s">
        <v>830</v>
      </c>
      <c r="B204" t="s">
        <v>801</v>
      </c>
      <c r="C204" t="s">
        <v>802</v>
      </c>
      <c r="D204" s="1">
        <v>91323</v>
      </c>
      <c r="E204" s="1">
        <v>4637</v>
      </c>
      <c r="F204" s="1">
        <v>4771</v>
      </c>
      <c r="G204" s="1">
        <v>5684</v>
      </c>
      <c r="H204" s="1">
        <v>5729</v>
      </c>
      <c r="I204" s="1">
        <v>4311</v>
      </c>
      <c r="J204" s="1">
        <v>3812</v>
      </c>
      <c r="K204" s="1">
        <v>4067</v>
      </c>
      <c r="L204" s="1">
        <v>5075</v>
      </c>
      <c r="M204" s="1">
        <v>6836</v>
      </c>
      <c r="N204" s="1">
        <v>7641</v>
      </c>
      <c r="O204" s="1">
        <v>6539</v>
      </c>
      <c r="P204" s="1">
        <v>6281</v>
      </c>
      <c r="Q204" s="1">
        <v>6897</v>
      </c>
      <c r="R204" s="1">
        <v>5630</v>
      </c>
      <c r="S204" s="1">
        <v>4440</v>
      </c>
      <c r="T204" s="1">
        <v>3718</v>
      </c>
      <c r="U204" s="1">
        <v>2678</v>
      </c>
      <c r="V204" s="1">
        <v>1683</v>
      </c>
      <c r="W204">
        <v>894</v>
      </c>
      <c r="X204" s="9">
        <f>SUM(Table2[[#This Row],[Age 20 to 24]:[Age 90 and Over]])</f>
        <v>70502</v>
      </c>
      <c r="Y204" s="9">
        <f>_xlfn.XLOOKUP(Table2[[#This Row],[Area]],Referendum!E:E,Referendum!L:L,"")</f>
        <v>28061</v>
      </c>
      <c r="Z204" s="9">
        <f>_xlfn.XLOOKUP(Table2[[#This Row],[Area]],Referendum!E:E,Referendum!M:M,"")</f>
        <v>27569</v>
      </c>
      <c r="AA204" s="10">
        <f>(Table2[[#This Row],[Leave Votes]]+Table2[[#This Row],[Remain Votes]])/Table2[[#This Row],[Residents Age &gt;=20]]</f>
        <v>0.78905562962752829</v>
      </c>
      <c r="AB204" s="10">
        <f>Table2[[#This Row],[Remain Votes]]/Table2[[#This Row],[Residents Age &gt;=20]]</f>
        <v>0.39801707752971549</v>
      </c>
      <c r="AC204" s="10">
        <f>Table2[[#This Row],[Leave Votes]]/Table2[[#This Row],[Residents Age &gt;=20]]</f>
        <v>0.39103855209781285</v>
      </c>
    </row>
    <row r="205" spans="1:29" x14ac:dyDescent="0.45">
      <c r="A205" t="s">
        <v>837</v>
      </c>
      <c r="B205" t="s">
        <v>737</v>
      </c>
      <c r="C205" t="s">
        <v>738</v>
      </c>
      <c r="D205" s="1">
        <v>93300</v>
      </c>
      <c r="E205" s="1">
        <v>5300</v>
      </c>
      <c r="F205" s="1">
        <v>4900</v>
      </c>
      <c r="G205" s="1">
        <v>5600</v>
      </c>
      <c r="H205" s="1">
        <v>5900</v>
      </c>
      <c r="I205" s="1">
        <v>5000</v>
      </c>
      <c r="J205" s="1">
        <v>5300</v>
      </c>
      <c r="K205" s="1">
        <v>5100</v>
      </c>
      <c r="L205" s="1">
        <v>5700</v>
      </c>
      <c r="M205" s="1">
        <v>7000</v>
      </c>
      <c r="N205" s="1">
        <v>7200</v>
      </c>
      <c r="O205" s="1">
        <v>6600</v>
      </c>
      <c r="P205" s="1">
        <v>6000</v>
      </c>
      <c r="Q205" s="1">
        <v>6400</v>
      </c>
      <c r="R205" s="1">
        <v>5100</v>
      </c>
      <c r="S205" s="1">
        <v>4300</v>
      </c>
      <c r="T205" s="1">
        <v>3500</v>
      </c>
      <c r="U205" s="1">
        <v>4300</v>
      </c>
      <c r="X205" s="9">
        <f>SUM(Table2[[#This Row],[Age 20 to 24]:[Age 90 and Over]])</f>
        <v>71500</v>
      </c>
      <c r="Y205" s="9">
        <f>_xlfn.XLOOKUP(Table2[[#This Row],[Area]],Referendum!E:E,Referendum!L:L,"")</f>
        <v>24114</v>
      </c>
      <c r="Z205" s="9">
        <f>_xlfn.XLOOKUP(Table2[[#This Row],[Area]],Referendum!E:E,Referendum!M:M,"")</f>
        <v>23992</v>
      </c>
      <c r="AA205" s="10">
        <f>(Table2[[#This Row],[Leave Votes]]+Table2[[#This Row],[Remain Votes]])/Table2[[#This Row],[Residents Age &gt;=20]]</f>
        <v>0.67281118881118884</v>
      </c>
      <c r="AB205" s="10">
        <f>Table2[[#This Row],[Remain Votes]]/Table2[[#This Row],[Residents Age &gt;=20]]</f>
        <v>0.33725874125874128</v>
      </c>
      <c r="AC205" s="10">
        <f>Table2[[#This Row],[Leave Votes]]/Table2[[#This Row],[Residents Age &gt;=20]]</f>
        <v>0.33555244755244756</v>
      </c>
    </row>
    <row r="206" spans="1:29" x14ac:dyDescent="0.45">
      <c r="A206" t="s">
        <v>830</v>
      </c>
      <c r="B206" t="s">
        <v>785</v>
      </c>
      <c r="C206" t="s">
        <v>786</v>
      </c>
      <c r="D206" s="1">
        <v>139812</v>
      </c>
      <c r="E206" s="1">
        <v>7599</v>
      </c>
      <c r="F206" s="1">
        <v>7316</v>
      </c>
      <c r="G206" s="1">
        <v>8020</v>
      </c>
      <c r="H206" s="1">
        <v>8520</v>
      </c>
      <c r="I206" s="1">
        <v>8112</v>
      </c>
      <c r="J206" s="1">
        <v>8702</v>
      </c>
      <c r="K206" s="1">
        <v>8311</v>
      </c>
      <c r="L206" s="1">
        <v>8540</v>
      </c>
      <c r="M206" s="1">
        <v>9759</v>
      </c>
      <c r="N206" s="1">
        <v>10380</v>
      </c>
      <c r="O206" s="1">
        <v>9758</v>
      </c>
      <c r="P206" s="1">
        <v>9261</v>
      </c>
      <c r="Q206" s="1">
        <v>9483</v>
      </c>
      <c r="R206" s="1">
        <v>7641</v>
      </c>
      <c r="S206" s="1">
        <v>6221</v>
      </c>
      <c r="T206" s="1">
        <v>4901</v>
      </c>
      <c r="U206" s="1">
        <v>3836</v>
      </c>
      <c r="V206" s="1">
        <v>2295</v>
      </c>
      <c r="W206" s="1">
        <v>1157</v>
      </c>
      <c r="X206" s="9">
        <f>SUM(Table2[[#This Row],[Age 20 to 24]:[Age 90 and Over]])</f>
        <v>108357</v>
      </c>
      <c r="Y206" s="9">
        <f>_xlfn.XLOOKUP(Table2[[#This Row],[Area]],Referendum!E:E,Referendum!L:L,"")</f>
        <v>32651</v>
      </c>
      <c r="Z206" s="9">
        <f>_xlfn.XLOOKUP(Table2[[#This Row],[Area]],Referendum!E:E,Referendum!M:M,"")</f>
        <v>43001</v>
      </c>
      <c r="AA206" s="10">
        <f>(Table2[[#This Row],[Leave Votes]]+Table2[[#This Row],[Remain Votes]])/Table2[[#This Row],[Residents Age &gt;=20]]</f>
        <v>0.69817362976088304</v>
      </c>
      <c r="AB206" s="10">
        <f>Table2[[#This Row],[Remain Votes]]/Table2[[#This Row],[Residents Age &gt;=20]]</f>
        <v>0.30132801757154593</v>
      </c>
      <c r="AC206" s="10">
        <f>Table2[[#This Row],[Leave Votes]]/Table2[[#This Row],[Residents Age &gt;=20]]</f>
        <v>0.39684561218933712</v>
      </c>
    </row>
    <row r="207" spans="1:29" x14ac:dyDescent="0.45">
      <c r="A207" t="s">
        <v>830</v>
      </c>
      <c r="B207" t="s">
        <v>537</v>
      </c>
      <c r="C207" t="s">
        <v>538</v>
      </c>
      <c r="D207" s="1">
        <v>176462</v>
      </c>
      <c r="E207" s="1">
        <v>8592</v>
      </c>
      <c r="F207" s="1">
        <v>8512</v>
      </c>
      <c r="G207" s="1">
        <v>9665</v>
      </c>
      <c r="H207" s="1">
        <v>9726</v>
      </c>
      <c r="I207" s="1">
        <v>8146</v>
      </c>
      <c r="J207" s="1">
        <v>7544</v>
      </c>
      <c r="K207" s="1">
        <v>7840</v>
      </c>
      <c r="L207" s="1">
        <v>9664</v>
      </c>
      <c r="M207" s="1">
        <v>11681</v>
      </c>
      <c r="N207" s="1">
        <v>13216</v>
      </c>
      <c r="O207" s="1">
        <v>12097</v>
      </c>
      <c r="P207" s="1">
        <v>11748</v>
      </c>
      <c r="Q207" s="1">
        <v>13889</v>
      </c>
      <c r="R207" s="1">
        <v>11741</v>
      </c>
      <c r="S207" s="1">
        <v>9685</v>
      </c>
      <c r="T207" s="1">
        <v>8428</v>
      </c>
      <c r="U207" s="1">
        <v>6956</v>
      </c>
      <c r="V207" s="1">
        <v>4681</v>
      </c>
      <c r="W207" s="1">
        <v>2651</v>
      </c>
      <c r="X207" s="9">
        <f>SUM(Table2[[#This Row],[Age 20 to 24]:[Age 90 and Over]])</f>
        <v>139967</v>
      </c>
      <c r="Y207" s="9">
        <f>_xlfn.XLOOKUP(Table2[[#This Row],[Area]],Referendum!E:E,Referendum!L:L,"")</f>
        <v>47199</v>
      </c>
      <c r="Z207" s="9">
        <f>_xlfn.XLOOKUP(Table2[[#This Row],[Area]],Referendum!E:E,Referendum!M:M,"")</f>
        <v>64541</v>
      </c>
      <c r="AA207" s="10">
        <f>(Table2[[#This Row],[Leave Votes]]+Table2[[#This Row],[Remain Votes]])/Table2[[#This Row],[Residents Age &gt;=20]]</f>
        <v>0.79833103517257642</v>
      </c>
      <c r="AB207" s="10">
        <f>Table2[[#This Row],[Remain Votes]]/Table2[[#This Row],[Residents Age &gt;=20]]</f>
        <v>0.3372152007258854</v>
      </c>
      <c r="AC207" s="10">
        <f>Table2[[#This Row],[Leave Votes]]/Table2[[#This Row],[Residents Age &gt;=20]]</f>
        <v>0.46111583444669102</v>
      </c>
    </row>
    <row r="208" spans="1:29" x14ac:dyDescent="0.45">
      <c r="A208" t="s">
        <v>830</v>
      </c>
      <c r="B208" t="s">
        <v>249</v>
      </c>
      <c r="C208" t="s">
        <v>250</v>
      </c>
      <c r="D208" s="1">
        <v>114817</v>
      </c>
      <c r="E208" s="1">
        <v>6317</v>
      </c>
      <c r="F208" s="1">
        <v>6267</v>
      </c>
      <c r="G208" s="1">
        <v>6872</v>
      </c>
      <c r="H208" s="1">
        <v>7004</v>
      </c>
      <c r="I208" s="1">
        <v>6061</v>
      </c>
      <c r="J208" s="1">
        <v>5971</v>
      </c>
      <c r="K208" s="1">
        <v>5785</v>
      </c>
      <c r="L208" s="1">
        <v>7216</v>
      </c>
      <c r="M208" s="1">
        <v>8857</v>
      </c>
      <c r="N208" s="1">
        <v>8974</v>
      </c>
      <c r="O208" s="1">
        <v>8143</v>
      </c>
      <c r="P208" s="1">
        <v>7351</v>
      </c>
      <c r="Q208" s="1">
        <v>8214</v>
      </c>
      <c r="R208" s="1">
        <v>6722</v>
      </c>
      <c r="S208" s="1">
        <v>5251</v>
      </c>
      <c r="T208" s="1">
        <v>4069</v>
      </c>
      <c r="U208" s="1">
        <v>3014</v>
      </c>
      <c r="V208" s="1">
        <v>1804</v>
      </c>
      <c r="W208">
        <v>925</v>
      </c>
      <c r="X208" s="9">
        <f>SUM(Table2[[#This Row],[Age 20 to 24]:[Age 90 and Over]])</f>
        <v>88357</v>
      </c>
      <c r="Y208" s="9">
        <f>_xlfn.XLOOKUP(Table2[[#This Row],[Area]],Referendum!E:E,Referendum!L:L,"")</f>
        <v>26571</v>
      </c>
      <c r="Z208" s="9">
        <f>_xlfn.XLOOKUP(Table2[[#This Row],[Area]],Referendum!E:E,Referendum!M:M,"")</f>
        <v>40516</v>
      </c>
      <c r="AA208" s="10">
        <f>(Table2[[#This Row],[Leave Votes]]+Table2[[#This Row],[Remain Votes]])/Table2[[#This Row],[Residents Age &gt;=20]]</f>
        <v>0.75927204409384652</v>
      </c>
      <c r="AB208" s="10">
        <f>Table2[[#This Row],[Remain Votes]]/Table2[[#This Row],[Residents Age &gt;=20]]</f>
        <v>0.30072320246273637</v>
      </c>
      <c r="AC208" s="10">
        <f>Table2[[#This Row],[Leave Votes]]/Table2[[#This Row],[Residents Age &gt;=20]]</f>
        <v>0.45854884163111015</v>
      </c>
    </row>
    <row r="209" spans="1:29" x14ac:dyDescent="0.45">
      <c r="A209" t="s">
        <v>830</v>
      </c>
      <c r="B209" t="s">
        <v>25</v>
      </c>
      <c r="C209" t="s">
        <v>26</v>
      </c>
      <c r="D209" s="1">
        <v>280177</v>
      </c>
      <c r="E209" s="1">
        <v>16522</v>
      </c>
      <c r="F209" s="1">
        <v>14035</v>
      </c>
      <c r="G209" s="1">
        <v>14488</v>
      </c>
      <c r="H209" s="1">
        <v>22396</v>
      </c>
      <c r="I209" s="1">
        <v>36012</v>
      </c>
      <c r="J209" s="1">
        <v>22948</v>
      </c>
      <c r="K209" s="1">
        <v>18053</v>
      </c>
      <c r="L209" s="1">
        <v>16697</v>
      </c>
      <c r="M209" s="1">
        <v>17222</v>
      </c>
      <c r="N209" s="1">
        <v>17956</v>
      </c>
      <c r="O209" s="1">
        <v>16629</v>
      </c>
      <c r="P209" s="1">
        <v>14367</v>
      </c>
      <c r="Q209" s="1">
        <v>14133</v>
      </c>
      <c r="R209" s="1">
        <v>10289</v>
      </c>
      <c r="S209" s="1">
        <v>9091</v>
      </c>
      <c r="T209" s="1">
        <v>7857</v>
      </c>
      <c r="U209" s="1">
        <v>6000</v>
      </c>
      <c r="V209" s="1">
        <v>3578</v>
      </c>
      <c r="W209" s="1">
        <v>1904</v>
      </c>
      <c r="X209" s="9">
        <f>SUM(Table2[[#This Row],[Age 20 to 24]:[Age 90 and Over]])</f>
        <v>212736</v>
      </c>
      <c r="Y209" s="9">
        <f>_xlfn.XLOOKUP(Table2[[#This Row],[Area]],Referendum!E:E,Referendum!L:L,"")</f>
        <v>65405</v>
      </c>
      <c r="Z209" s="9">
        <f>_xlfn.XLOOKUP(Table2[[#This Row],[Area]],Referendum!E:E,Referendum!M:M,"")</f>
        <v>63598</v>
      </c>
      <c r="AA209" s="10">
        <f>(Table2[[#This Row],[Leave Votes]]+Table2[[#This Row],[Remain Votes]])/Table2[[#This Row],[Residents Age &gt;=20]]</f>
        <v>0.60639948104693142</v>
      </c>
      <c r="AB209" s="10">
        <f>Table2[[#This Row],[Remain Votes]]/Table2[[#This Row],[Residents Age &gt;=20]]</f>
        <v>0.30744678850782192</v>
      </c>
      <c r="AC209" s="10">
        <f>Table2[[#This Row],[Leave Votes]]/Table2[[#This Row],[Residents Age &gt;=20]]</f>
        <v>0.2989526925391095</v>
      </c>
    </row>
    <row r="210" spans="1:29" x14ac:dyDescent="0.45">
      <c r="A210" t="s">
        <v>830</v>
      </c>
      <c r="B210" t="s">
        <v>283</v>
      </c>
      <c r="C210" t="s">
        <v>284</v>
      </c>
      <c r="D210" s="1">
        <v>123871</v>
      </c>
      <c r="E210" s="1">
        <v>6314</v>
      </c>
      <c r="F210" s="1">
        <v>6368</v>
      </c>
      <c r="G210" s="1">
        <v>6971</v>
      </c>
      <c r="H210" s="1">
        <v>8535</v>
      </c>
      <c r="I210" s="1">
        <v>9545</v>
      </c>
      <c r="J210" s="1">
        <v>6937</v>
      </c>
      <c r="K210" s="1">
        <v>6708</v>
      </c>
      <c r="L210" s="1">
        <v>7642</v>
      </c>
      <c r="M210" s="1">
        <v>8919</v>
      </c>
      <c r="N210" s="1">
        <v>9166</v>
      </c>
      <c r="O210" s="1">
        <v>8209</v>
      </c>
      <c r="P210" s="1">
        <v>7615</v>
      </c>
      <c r="Q210" s="1">
        <v>8434</v>
      </c>
      <c r="R210" s="1">
        <v>6620</v>
      </c>
      <c r="S210" s="1">
        <v>5410</v>
      </c>
      <c r="T210" s="1">
        <v>4431</v>
      </c>
      <c r="U210" s="1">
        <v>3202</v>
      </c>
      <c r="V210" s="1">
        <v>1945</v>
      </c>
      <c r="W210">
        <v>900</v>
      </c>
      <c r="X210" s="9">
        <f>SUM(Table2[[#This Row],[Age 20 to 24]:[Age 90 and Over]])</f>
        <v>95683</v>
      </c>
      <c r="Y210" s="9">
        <f>_xlfn.XLOOKUP(Table2[[#This Row],[Area]],Referendum!E:E,Referendum!L:L,"")</f>
        <v>25477</v>
      </c>
      <c r="Z210" s="9">
        <f>_xlfn.XLOOKUP(Table2[[#This Row],[Area]],Referendum!E:E,Referendum!M:M,"")</f>
        <v>43457</v>
      </c>
      <c r="AA210" s="10">
        <f>(Table2[[#This Row],[Leave Votes]]+Table2[[#This Row],[Remain Votes]])/Table2[[#This Row],[Residents Age &gt;=20]]</f>
        <v>0.72044145773021329</v>
      </c>
      <c r="AB210" s="10">
        <f>Table2[[#This Row],[Remain Votes]]/Table2[[#This Row],[Residents Age &gt;=20]]</f>
        <v>0.26626464471222683</v>
      </c>
      <c r="AC210" s="10">
        <f>Table2[[#This Row],[Leave Votes]]/Table2[[#This Row],[Residents Age &gt;=20]]</f>
        <v>0.45417681301798646</v>
      </c>
    </row>
    <row r="211" spans="1:29" x14ac:dyDescent="0.45">
      <c r="A211" t="s">
        <v>830</v>
      </c>
      <c r="B211" t="s">
        <v>461</v>
      </c>
      <c r="C211" t="s">
        <v>462</v>
      </c>
      <c r="D211" s="1">
        <v>307984</v>
      </c>
      <c r="E211" s="1">
        <v>25384</v>
      </c>
      <c r="F211" s="1">
        <v>20834</v>
      </c>
      <c r="G211" s="1">
        <v>19587</v>
      </c>
      <c r="H211" s="1">
        <v>20411</v>
      </c>
      <c r="I211" s="1">
        <v>32586</v>
      </c>
      <c r="J211" s="1">
        <v>40437</v>
      </c>
      <c r="K211" s="1">
        <v>31895</v>
      </c>
      <c r="L211" s="1">
        <v>23485</v>
      </c>
      <c r="M211" s="1">
        <v>21222</v>
      </c>
      <c r="N211" s="1">
        <v>17479</v>
      </c>
      <c r="O211" s="1">
        <v>14731</v>
      </c>
      <c r="P211" s="1">
        <v>10807</v>
      </c>
      <c r="Q211" s="1">
        <v>8533</v>
      </c>
      <c r="R211" s="1">
        <v>5992</v>
      </c>
      <c r="S211" s="1">
        <v>5469</v>
      </c>
      <c r="T211" s="1">
        <v>4055</v>
      </c>
      <c r="U211" s="1">
        <v>2741</v>
      </c>
      <c r="V211" s="1">
        <v>1567</v>
      </c>
      <c r="W211">
        <v>769</v>
      </c>
      <c r="X211" s="9">
        <f>SUM(Table2[[#This Row],[Age 20 to 24]:[Age 90 and Over]])</f>
        <v>221768</v>
      </c>
      <c r="Y211" s="9">
        <f>_xlfn.XLOOKUP(Table2[[#This Row],[Area]],Referendum!E:E,Referendum!L:L,"")</f>
        <v>55328</v>
      </c>
      <c r="Z211" s="9">
        <f>_xlfn.XLOOKUP(Table2[[#This Row],[Area]],Referendum!E:E,Referendum!M:M,"")</f>
        <v>49371</v>
      </c>
      <c r="AA211" s="10">
        <f>(Table2[[#This Row],[Leave Votes]]+Table2[[#This Row],[Remain Votes]])/Table2[[#This Row],[Residents Age &gt;=20]]</f>
        <v>0.47211049384942821</v>
      </c>
      <c r="AB211" s="10">
        <f>Table2[[#This Row],[Remain Votes]]/Table2[[#This Row],[Residents Age &gt;=20]]</f>
        <v>0.24948594928032899</v>
      </c>
      <c r="AC211" s="10">
        <f>Table2[[#This Row],[Leave Votes]]/Table2[[#This Row],[Residents Age &gt;=20]]</f>
        <v>0.22262454456909925</v>
      </c>
    </row>
    <row r="212" spans="1:29" x14ac:dyDescent="0.45">
      <c r="A212" t="s">
        <v>830</v>
      </c>
      <c r="B212" t="s">
        <v>803</v>
      </c>
      <c r="C212" t="s">
        <v>804</v>
      </c>
      <c r="D212" s="1">
        <v>145736</v>
      </c>
      <c r="E212" s="1">
        <v>9543</v>
      </c>
      <c r="F212" s="1">
        <v>8557</v>
      </c>
      <c r="G212" s="1">
        <v>9402</v>
      </c>
      <c r="H212" s="1">
        <v>9881</v>
      </c>
      <c r="I212" s="1">
        <v>10041</v>
      </c>
      <c r="J212" s="1">
        <v>9406</v>
      </c>
      <c r="K212" s="1">
        <v>9161</v>
      </c>
      <c r="L212" s="1">
        <v>8860</v>
      </c>
      <c r="M212" s="1">
        <v>10798</v>
      </c>
      <c r="N212" s="1">
        <v>10670</v>
      </c>
      <c r="O212" s="1">
        <v>9356</v>
      </c>
      <c r="P212" s="1">
        <v>7803</v>
      </c>
      <c r="Q212" s="1">
        <v>8507</v>
      </c>
      <c r="R212" s="1">
        <v>6769</v>
      </c>
      <c r="S212" s="1">
        <v>5775</v>
      </c>
      <c r="T212" s="1">
        <v>4677</v>
      </c>
      <c r="U212" s="1">
        <v>3382</v>
      </c>
      <c r="V212" s="1">
        <v>2115</v>
      </c>
      <c r="W212" s="1">
        <v>1033</v>
      </c>
      <c r="X212" s="9">
        <f>SUM(Table2[[#This Row],[Age 20 to 24]:[Age 90 and Over]])</f>
        <v>108353</v>
      </c>
      <c r="Y212" s="9">
        <f>_xlfn.XLOOKUP(Table2[[#This Row],[Area]],Referendum!E:E,Referendum!L:L,"")</f>
        <v>32413</v>
      </c>
      <c r="Z212" s="9">
        <f>_xlfn.XLOOKUP(Table2[[#This Row],[Area]],Referendum!E:E,Referendum!M:M,"")</f>
        <v>41236</v>
      </c>
      <c r="AA212" s="10">
        <f>(Table2[[#This Row],[Leave Votes]]+Table2[[#This Row],[Remain Votes]])/Table2[[#This Row],[Residents Age &gt;=20]]</f>
        <v>0.67971352892859449</v>
      </c>
      <c r="AB212" s="10">
        <f>Table2[[#This Row],[Remain Votes]]/Table2[[#This Row],[Residents Age &gt;=20]]</f>
        <v>0.29914261718641849</v>
      </c>
      <c r="AC212" s="10">
        <f>Table2[[#This Row],[Leave Votes]]/Table2[[#This Row],[Residents Age &gt;=20]]</f>
        <v>0.38057091174217605</v>
      </c>
    </row>
    <row r="213" spans="1:29" x14ac:dyDescent="0.45">
      <c r="A213" t="s">
        <v>837</v>
      </c>
      <c r="B213" t="s">
        <v>739</v>
      </c>
      <c r="C213" t="s">
        <v>740</v>
      </c>
      <c r="D213" s="1">
        <v>138200</v>
      </c>
      <c r="E213" s="1">
        <v>7400</v>
      </c>
      <c r="F213" s="1">
        <v>7200</v>
      </c>
      <c r="G213" s="1">
        <v>8000</v>
      </c>
      <c r="H213" s="1">
        <v>8800</v>
      </c>
      <c r="I213" s="1">
        <v>7900</v>
      </c>
      <c r="J213" s="1">
        <v>7300</v>
      </c>
      <c r="K213" s="1">
        <v>7100</v>
      </c>
      <c r="L213" s="1">
        <v>8200</v>
      </c>
      <c r="M213" s="1">
        <v>10200</v>
      </c>
      <c r="N213" s="1">
        <v>10800</v>
      </c>
      <c r="O213" s="1">
        <v>10000</v>
      </c>
      <c r="P213" s="1">
        <v>9300</v>
      </c>
      <c r="Q213" s="1">
        <v>9900</v>
      </c>
      <c r="R213" s="1">
        <v>8000</v>
      </c>
      <c r="S213" s="1">
        <v>6600</v>
      </c>
      <c r="T213" s="1">
        <v>5100</v>
      </c>
      <c r="U213" s="1">
        <v>6200</v>
      </c>
      <c r="X213" s="9">
        <f>SUM(Table2[[#This Row],[Age 20 to 24]:[Age 90 and Over]])</f>
        <v>106600</v>
      </c>
      <c r="Y213" s="9">
        <f>_xlfn.XLOOKUP(Table2[[#This Row],[Area]],Referendum!E:E,Referendum!L:L,"")</f>
        <v>38394</v>
      </c>
      <c r="Z213" s="9">
        <f>_xlfn.XLOOKUP(Table2[[#This Row],[Area]],Referendum!E:E,Referendum!M:M,"")</f>
        <v>29110</v>
      </c>
      <c r="AA213" s="10">
        <f>(Table2[[#This Row],[Leave Votes]]+Table2[[#This Row],[Remain Votes]])/Table2[[#This Row],[Residents Age &gt;=20]]</f>
        <v>0.63324577861163223</v>
      </c>
      <c r="AB213" s="10">
        <f>Table2[[#This Row],[Remain Votes]]/Table2[[#This Row],[Residents Age &gt;=20]]</f>
        <v>0.36016885553470918</v>
      </c>
      <c r="AC213" s="10">
        <f>Table2[[#This Row],[Leave Votes]]/Table2[[#This Row],[Residents Age &gt;=20]]</f>
        <v>0.27307692307692305</v>
      </c>
    </row>
    <row r="214" spans="1:29" x14ac:dyDescent="0.45">
      <c r="A214" t="s">
        <v>830</v>
      </c>
      <c r="B214" t="s">
        <v>647</v>
      </c>
      <c r="C214" t="s">
        <v>648</v>
      </c>
      <c r="D214" s="1">
        <v>93667</v>
      </c>
      <c r="E214" s="1">
        <v>5014</v>
      </c>
      <c r="F214" s="1">
        <v>4801</v>
      </c>
      <c r="G214" s="1">
        <v>5286</v>
      </c>
      <c r="H214" s="1">
        <v>5575</v>
      </c>
      <c r="I214" s="1">
        <v>4821</v>
      </c>
      <c r="J214" s="1">
        <v>4565</v>
      </c>
      <c r="K214" s="1">
        <v>4641</v>
      </c>
      <c r="L214" s="1">
        <v>5122</v>
      </c>
      <c r="M214" s="1">
        <v>6429</v>
      </c>
      <c r="N214" s="1">
        <v>6886</v>
      </c>
      <c r="O214" s="1">
        <v>6429</v>
      </c>
      <c r="P214" s="1">
        <v>6051</v>
      </c>
      <c r="Q214" s="1">
        <v>7239</v>
      </c>
      <c r="R214" s="1">
        <v>6155</v>
      </c>
      <c r="S214" s="1">
        <v>4782</v>
      </c>
      <c r="T214" s="1">
        <v>3867</v>
      </c>
      <c r="U214" s="1">
        <v>2989</v>
      </c>
      <c r="V214" s="1">
        <v>1911</v>
      </c>
      <c r="W214" s="1">
        <v>1104</v>
      </c>
      <c r="X214" s="9">
        <f>SUM(Table2[[#This Row],[Age 20 to 24]:[Age 90 and Over]])</f>
        <v>72991</v>
      </c>
      <c r="Y214" s="9">
        <f>_xlfn.XLOOKUP(Table2[[#This Row],[Area]],Referendum!E:E,Referendum!L:L,"")</f>
        <v>24931</v>
      </c>
      <c r="Z214" s="9">
        <f>_xlfn.XLOOKUP(Table2[[#This Row],[Area]],Referendum!E:E,Referendum!M:M,"")</f>
        <v>33100</v>
      </c>
      <c r="AA214" s="10">
        <f>(Table2[[#This Row],[Leave Votes]]+Table2[[#This Row],[Remain Votes]])/Table2[[#This Row],[Residents Age &gt;=20]]</f>
        <v>0.79504322450713105</v>
      </c>
      <c r="AB214" s="10">
        <f>Table2[[#This Row],[Remain Votes]]/Table2[[#This Row],[Residents Age &gt;=20]]</f>
        <v>0.34156265840994093</v>
      </c>
      <c r="AC214" s="10">
        <f>Table2[[#This Row],[Leave Votes]]/Table2[[#This Row],[Residents Age &gt;=20]]</f>
        <v>0.45348056609719006</v>
      </c>
    </row>
    <row r="215" spans="1:29" x14ac:dyDescent="0.45">
      <c r="A215" t="s">
        <v>830</v>
      </c>
      <c r="B215" t="s">
        <v>661</v>
      </c>
      <c r="C215" t="s">
        <v>662</v>
      </c>
      <c r="D215" s="1">
        <v>68583</v>
      </c>
      <c r="E215" s="1">
        <v>3647</v>
      </c>
      <c r="F215" s="1">
        <v>3571</v>
      </c>
      <c r="G215" s="1">
        <v>4204</v>
      </c>
      <c r="H215" s="1">
        <v>4509</v>
      </c>
      <c r="I215" s="1">
        <v>3402</v>
      </c>
      <c r="J215" s="1">
        <v>3197</v>
      </c>
      <c r="K215" s="1">
        <v>3387</v>
      </c>
      <c r="L215" s="1">
        <v>4037</v>
      </c>
      <c r="M215" s="1">
        <v>4685</v>
      </c>
      <c r="N215" s="1">
        <v>4993</v>
      </c>
      <c r="O215" s="1">
        <v>4627</v>
      </c>
      <c r="P215" s="1">
        <v>4379</v>
      </c>
      <c r="Q215" s="1">
        <v>5146</v>
      </c>
      <c r="R215" s="1">
        <v>4238</v>
      </c>
      <c r="S215" s="1">
        <v>3471</v>
      </c>
      <c r="T215" s="1">
        <v>2745</v>
      </c>
      <c r="U215" s="1">
        <v>2195</v>
      </c>
      <c r="V215" s="1">
        <v>1389</v>
      </c>
      <c r="W215">
        <v>761</v>
      </c>
      <c r="X215" s="9">
        <f>SUM(Table2[[#This Row],[Age 20 to 24]:[Age 90 and Over]])</f>
        <v>52652</v>
      </c>
      <c r="Y215" s="9">
        <f>_xlfn.XLOOKUP(Table2[[#This Row],[Area]],Referendum!E:E,Referendum!L:L,"")</f>
        <v>18399</v>
      </c>
      <c r="Z215" s="9">
        <f>_xlfn.XLOOKUP(Table2[[#This Row],[Area]],Referendum!E:E,Referendum!M:M,"")</f>
        <v>23802</v>
      </c>
      <c r="AA215" s="10">
        <f>(Table2[[#This Row],[Leave Votes]]+Table2[[#This Row],[Remain Votes]])/Table2[[#This Row],[Residents Age &gt;=20]]</f>
        <v>0.80150801489022261</v>
      </c>
      <c r="AB215" s="10">
        <f>Table2[[#This Row],[Remain Votes]]/Table2[[#This Row],[Residents Age &gt;=20]]</f>
        <v>0.34944541517891059</v>
      </c>
      <c r="AC215" s="10">
        <f>Table2[[#This Row],[Leave Votes]]/Table2[[#This Row],[Residents Age &gt;=20]]</f>
        <v>0.45206259971131202</v>
      </c>
    </row>
    <row r="216" spans="1:29" x14ac:dyDescent="0.45">
      <c r="A216" t="s">
        <v>830</v>
      </c>
      <c r="B216" t="s">
        <v>193</v>
      </c>
      <c r="C216" t="s">
        <v>194</v>
      </c>
      <c r="D216" s="1">
        <v>99023</v>
      </c>
      <c r="E216" s="1">
        <v>4799</v>
      </c>
      <c r="F216" s="1">
        <v>4909</v>
      </c>
      <c r="G216" s="1">
        <v>5370</v>
      </c>
      <c r="H216" s="1">
        <v>5956</v>
      </c>
      <c r="I216" s="1">
        <v>5020</v>
      </c>
      <c r="J216" s="1">
        <v>4764</v>
      </c>
      <c r="K216" s="1">
        <v>4730</v>
      </c>
      <c r="L216" s="1">
        <v>5907</v>
      </c>
      <c r="M216" s="1">
        <v>7425</v>
      </c>
      <c r="N216" s="1">
        <v>7628</v>
      </c>
      <c r="O216" s="1">
        <v>7230</v>
      </c>
      <c r="P216" s="1">
        <v>6712</v>
      </c>
      <c r="Q216" s="1">
        <v>7655</v>
      </c>
      <c r="R216" s="1">
        <v>6567</v>
      </c>
      <c r="S216" s="1">
        <v>5112</v>
      </c>
      <c r="T216" s="1">
        <v>3893</v>
      </c>
      <c r="U216" s="1">
        <v>2814</v>
      </c>
      <c r="V216" s="1">
        <v>1674</v>
      </c>
      <c r="W216">
        <v>858</v>
      </c>
      <c r="X216" s="9">
        <f>SUM(Table2[[#This Row],[Age 20 to 24]:[Age 90 and Over]])</f>
        <v>77989</v>
      </c>
      <c r="Y216" s="9">
        <f>_xlfn.XLOOKUP(Table2[[#This Row],[Area]],Referendum!E:E,Referendum!L:L,"")</f>
        <v>22075</v>
      </c>
      <c r="Z216" s="9">
        <f>_xlfn.XLOOKUP(Table2[[#This Row],[Area]],Referendum!E:E,Referendum!M:M,"")</f>
        <v>37235</v>
      </c>
      <c r="AA216" s="10">
        <f>(Table2[[#This Row],[Leave Votes]]+Table2[[#This Row],[Remain Votes]])/Table2[[#This Row],[Residents Age &gt;=20]]</f>
        <v>0.76049186423726423</v>
      </c>
      <c r="AB216" s="10">
        <f>Table2[[#This Row],[Remain Votes]]/Table2[[#This Row],[Residents Age &gt;=20]]</f>
        <v>0.28305273820667015</v>
      </c>
      <c r="AC216" s="10">
        <f>Table2[[#This Row],[Leave Votes]]/Table2[[#This Row],[Residents Age &gt;=20]]</f>
        <v>0.47743912603059407</v>
      </c>
    </row>
    <row r="217" spans="1:29" x14ac:dyDescent="0.45">
      <c r="A217" t="s">
        <v>830</v>
      </c>
      <c r="B217" t="s">
        <v>151</v>
      </c>
      <c r="C217" t="s">
        <v>152</v>
      </c>
      <c r="D217" s="1">
        <v>159616</v>
      </c>
      <c r="E217" s="1">
        <v>10005</v>
      </c>
      <c r="F217" s="1">
        <v>8966</v>
      </c>
      <c r="G217" s="1">
        <v>9264</v>
      </c>
      <c r="H217" s="1">
        <v>10271</v>
      </c>
      <c r="I217" s="1">
        <v>10521</v>
      </c>
      <c r="J217" s="1">
        <v>9987</v>
      </c>
      <c r="K217" s="1">
        <v>8703</v>
      </c>
      <c r="L217" s="1">
        <v>9769</v>
      </c>
      <c r="M217" s="1">
        <v>11330</v>
      </c>
      <c r="N217" s="1">
        <v>11973</v>
      </c>
      <c r="O217" s="1">
        <v>10683</v>
      </c>
      <c r="P217" s="1">
        <v>9621</v>
      </c>
      <c r="Q217" s="1">
        <v>10236</v>
      </c>
      <c r="R217" s="1">
        <v>7815</v>
      </c>
      <c r="S217" s="1">
        <v>6918</v>
      </c>
      <c r="T217" s="1">
        <v>5712</v>
      </c>
      <c r="U217" s="1">
        <v>4101</v>
      </c>
      <c r="V217" s="1">
        <v>2469</v>
      </c>
      <c r="W217" s="1">
        <v>1272</v>
      </c>
      <c r="X217" s="9">
        <f>SUM(Table2[[#This Row],[Age 20 to 24]:[Age 90 and Over]])</f>
        <v>121110</v>
      </c>
      <c r="Y217" s="9">
        <f>_xlfn.XLOOKUP(Table2[[#This Row],[Area]],Referendum!E:E,Referendum!L:L,"")</f>
        <v>23797</v>
      </c>
      <c r="Z217" s="9">
        <f>_xlfn.XLOOKUP(Table2[[#This Row],[Area]],Referendum!E:E,Referendum!M:M,"")</f>
        <v>55185</v>
      </c>
      <c r="AA217" s="10">
        <f>(Table2[[#This Row],[Leave Votes]]+Table2[[#This Row],[Remain Votes]])/Table2[[#This Row],[Residents Age &gt;=20]]</f>
        <v>0.65215093716456118</v>
      </c>
      <c r="AB217" s="10">
        <f>Table2[[#This Row],[Remain Votes]]/Table2[[#This Row],[Residents Age &gt;=20]]</f>
        <v>0.19649079349351828</v>
      </c>
      <c r="AC217" s="10">
        <f>Table2[[#This Row],[Leave Votes]]/Table2[[#This Row],[Residents Age &gt;=20]]</f>
        <v>0.45566014367104285</v>
      </c>
    </row>
    <row r="218" spans="1:29" x14ac:dyDescent="0.45">
      <c r="A218" t="s">
        <v>830</v>
      </c>
      <c r="B218" t="s">
        <v>371</v>
      </c>
      <c r="C218" t="s">
        <v>372</v>
      </c>
      <c r="D218" s="1">
        <v>127114</v>
      </c>
      <c r="E218" s="1">
        <v>8027</v>
      </c>
      <c r="F218" s="1">
        <v>7401</v>
      </c>
      <c r="G218" s="1">
        <v>7669</v>
      </c>
      <c r="H218" s="1">
        <v>7370</v>
      </c>
      <c r="I218" s="1">
        <v>6126</v>
      </c>
      <c r="J218" s="1">
        <v>7582</v>
      </c>
      <c r="K218" s="1">
        <v>8262</v>
      </c>
      <c r="L218" s="1">
        <v>9359</v>
      </c>
      <c r="M218" s="1">
        <v>9896</v>
      </c>
      <c r="N218" s="1">
        <v>10189</v>
      </c>
      <c r="O218" s="1">
        <v>8530</v>
      </c>
      <c r="P218" s="1">
        <v>7234</v>
      </c>
      <c r="Q218" s="1">
        <v>7758</v>
      </c>
      <c r="R218" s="1">
        <v>5950</v>
      </c>
      <c r="S218" s="1">
        <v>4883</v>
      </c>
      <c r="T218" s="1">
        <v>4381</v>
      </c>
      <c r="U218" s="1">
        <v>3120</v>
      </c>
      <c r="V218" s="1">
        <v>2215</v>
      </c>
      <c r="W218" s="1">
        <v>1162</v>
      </c>
      <c r="X218" s="9">
        <f>SUM(Table2[[#This Row],[Age 20 to 24]:[Age 90 and Over]])</f>
        <v>96647</v>
      </c>
      <c r="Y218" s="9">
        <f>_xlfn.XLOOKUP(Table2[[#This Row],[Area]],Referendum!E:E,Referendum!L:L,"")</f>
        <v>42234</v>
      </c>
      <c r="Z218" s="9">
        <f>_xlfn.XLOOKUP(Table2[[#This Row],[Area]],Referendum!E:E,Referendum!M:M,"")</f>
        <v>35438</v>
      </c>
      <c r="AA218" s="10">
        <f>(Table2[[#This Row],[Leave Votes]]+Table2[[#This Row],[Remain Votes]])/Table2[[#This Row],[Residents Age &gt;=20]]</f>
        <v>0.80366695293180335</v>
      </c>
      <c r="AB218" s="10">
        <f>Table2[[#This Row],[Remain Votes]]/Table2[[#This Row],[Residents Age &gt;=20]]</f>
        <v>0.4369923536167703</v>
      </c>
      <c r="AC218" s="10">
        <f>Table2[[#This Row],[Leave Votes]]/Table2[[#This Row],[Residents Age &gt;=20]]</f>
        <v>0.36667459931503305</v>
      </c>
    </row>
    <row r="219" spans="1:29" x14ac:dyDescent="0.45">
      <c r="A219" t="s">
        <v>830</v>
      </c>
      <c r="B219" t="s">
        <v>217</v>
      </c>
      <c r="C219" t="s">
        <v>218</v>
      </c>
      <c r="D219" s="1">
        <v>107766</v>
      </c>
      <c r="E219" s="1">
        <v>5483</v>
      </c>
      <c r="F219" s="1">
        <v>5584</v>
      </c>
      <c r="G219" s="1">
        <v>6591</v>
      </c>
      <c r="H219" s="1">
        <v>6299</v>
      </c>
      <c r="I219" s="1">
        <v>5068</v>
      </c>
      <c r="J219" s="1">
        <v>5341</v>
      </c>
      <c r="K219" s="1">
        <v>5346</v>
      </c>
      <c r="L219" s="1">
        <v>6610</v>
      </c>
      <c r="M219" s="1">
        <v>8486</v>
      </c>
      <c r="N219" s="1">
        <v>8692</v>
      </c>
      <c r="O219" s="1">
        <v>7343</v>
      </c>
      <c r="P219" s="1">
        <v>6540</v>
      </c>
      <c r="Q219" s="1">
        <v>7891</v>
      </c>
      <c r="R219" s="1">
        <v>6849</v>
      </c>
      <c r="S219" s="1">
        <v>5559</v>
      </c>
      <c r="T219" s="1">
        <v>4213</v>
      </c>
      <c r="U219" s="1">
        <v>3090</v>
      </c>
      <c r="V219" s="1">
        <v>1858</v>
      </c>
      <c r="W219">
        <v>923</v>
      </c>
      <c r="X219" s="9">
        <f>SUM(Table2[[#This Row],[Age 20 to 24]:[Age 90 and Over]])</f>
        <v>83809</v>
      </c>
      <c r="Y219" s="9">
        <f>_xlfn.XLOOKUP(Table2[[#This Row],[Area]],Referendum!E:E,Referendum!L:L,"")</f>
        <v>25570</v>
      </c>
      <c r="Z219" s="9">
        <f>_xlfn.XLOOKUP(Table2[[#This Row],[Area]],Referendum!E:E,Referendum!M:M,"")</f>
        <v>42183</v>
      </c>
      <c r="AA219" s="10">
        <f>(Table2[[#This Row],[Leave Votes]]+Table2[[#This Row],[Remain Votes]])/Table2[[#This Row],[Residents Age &gt;=20]]</f>
        <v>0.80842152990728922</v>
      </c>
      <c r="AB219" s="10">
        <f>Table2[[#This Row],[Remain Votes]]/Table2[[#This Row],[Residents Age &gt;=20]]</f>
        <v>0.30509849777470199</v>
      </c>
      <c r="AC219" s="10">
        <f>Table2[[#This Row],[Leave Votes]]/Table2[[#This Row],[Residents Age &gt;=20]]</f>
        <v>0.50332303213258722</v>
      </c>
    </row>
    <row r="220" spans="1:29" x14ac:dyDescent="0.45">
      <c r="A220" t="s">
        <v>837</v>
      </c>
      <c r="B220" t="s">
        <v>741</v>
      </c>
      <c r="C220" t="s">
        <v>742</v>
      </c>
      <c r="D220" s="1">
        <v>337800</v>
      </c>
      <c r="E220" s="1">
        <v>20600</v>
      </c>
      <c r="F220" s="1">
        <v>19500</v>
      </c>
      <c r="G220" s="1">
        <v>20600</v>
      </c>
      <c r="H220" s="1">
        <v>21400</v>
      </c>
      <c r="I220" s="1">
        <v>21000</v>
      </c>
      <c r="J220" s="1">
        <v>21800</v>
      </c>
      <c r="K220" s="1">
        <v>21500</v>
      </c>
      <c r="L220" s="1">
        <v>23200</v>
      </c>
      <c r="M220" s="1">
        <v>26800</v>
      </c>
      <c r="N220" s="1">
        <v>26900</v>
      </c>
      <c r="O220" s="1">
        <v>23600</v>
      </c>
      <c r="P220" s="1">
        <v>20500</v>
      </c>
      <c r="Q220" s="1">
        <v>20200</v>
      </c>
      <c r="R220" s="1">
        <v>15700</v>
      </c>
      <c r="S220" s="1">
        <v>13300</v>
      </c>
      <c r="T220" s="1">
        <v>10100</v>
      </c>
      <c r="U220" s="1">
        <v>11400</v>
      </c>
      <c r="X220" s="9">
        <f>SUM(Table2[[#This Row],[Age 20 to 24]:[Age 90 and Over]])</f>
        <v>256000</v>
      </c>
      <c r="Y220" s="9">
        <f>_xlfn.XLOOKUP(Table2[[#This Row],[Area]],Referendum!E:E,Referendum!L:L,"")</f>
        <v>95549</v>
      </c>
      <c r="Z220" s="9">
        <f>_xlfn.XLOOKUP(Table2[[#This Row],[Area]],Referendum!E:E,Referendum!M:M,"")</f>
        <v>59400</v>
      </c>
      <c r="AA220" s="10">
        <f>(Table2[[#This Row],[Leave Votes]]+Table2[[#This Row],[Remain Votes]])/Table2[[#This Row],[Residents Age &gt;=20]]</f>
        <v>0.60526953125000005</v>
      </c>
      <c r="AB220" s="10">
        <f>Table2[[#This Row],[Remain Votes]]/Table2[[#This Row],[Residents Age &gt;=20]]</f>
        <v>0.37323828125000003</v>
      </c>
      <c r="AC220" s="10">
        <f>Table2[[#This Row],[Leave Votes]]/Table2[[#This Row],[Residents Age &gt;=20]]</f>
        <v>0.23203124999999999</v>
      </c>
    </row>
    <row r="221" spans="1:29" x14ac:dyDescent="0.45">
      <c r="A221" t="s">
        <v>830</v>
      </c>
      <c r="B221" t="s">
        <v>153</v>
      </c>
      <c r="C221" t="s">
        <v>154</v>
      </c>
      <c r="D221" s="1">
        <v>167446</v>
      </c>
      <c r="E221" s="1">
        <v>10282</v>
      </c>
      <c r="F221" s="1">
        <v>9377</v>
      </c>
      <c r="G221" s="1">
        <v>9550</v>
      </c>
      <c r="H221" s="1">
        <v>10155</v>
      </c>
      <c r="I221" s="1">
        <v>9522</v>
      </c>
      <c r="J221" s="1">
        <v>9969</v>
      </c>
      <c r="K221" s="1">
        <v>9114</v>
      </c>
      <c r="L221" s="1">
        <v>10180</v>
      </c>
      <c r="M221" s="1">
        <v>12373</v>
      </c>
      <c r="N221" s="1">
        <v>12862</v>
      </c>
      <c r="O221" s="1">
        <v>11649</v>
      </c>
      <c r="P221" s="1">
        <v>10922</v>
      </c>
      <c r="Q221" s="1">
        <v>11452</v>
      </c>
      <c r="R221" s="1">
        <v>9017</v>
      </c>
      <c r="S221" s="1">
        <v>7246</v>
      </c>
      <c r="T221" s="1">
        <v>5771</v>
      </c>
      <c r="U221" s="1">
        <v>4241</v>
      </c>
      <c r="V221" s="1">
        <v>2542</v>
      </c>
      <c r="W221" s="1">
        <v>1222</v>
      </c>
      <c r="X221" s="9">
        <f>SUM(Table2[[#This Row],[Age 20 to 24]:[Age 90 and Over]])</f>
        <v>128082</v>
      </c>
      <c r="Y221" s="9">
        <f>_xlfn.XLOOKUP(Table2[[#This Row],[Area]],Referendum!E:E,Referendum!L:L,"")</f>
        <v>29947</v>
      </c>
      <c r="Z221" s="9">
        <f>_xlfn.XLOOKUP(Table2[[#This Row],[Area]],Referendum!E:E,Referendum!M:M,"")</f>
        <v>58915</v>
      </c>
      <c r="AA221" s="10">
        <f>(Table2[[#This Row],[Leave Votes]]+Table2[[#This Row],[Remain Votes]])/Table2[[#This Row],[Residents Age &gt;=20]]</f>
        <v>0.69378991583516814</v>
      </c>
      <c r="AB221" s="10">
        <f>Table2[[#This Row],[Remain Votes]]/Table2[[#This Row],[Residents Age &gt;=20]]</f>
        <v>0.23381115223060228</v>
      </c>
      <c r="AC221" s="10">
        <f>Table2[[#This Row],[Leave Votes]]/Table2[[#This Row],[Residents Age &gt;=20]]</f>
        <v>0.4599787636045658</v>
      </c>
    </row>
    <row r="222" spans="1:29" x14ac:dyDescent="0.45">
      <c r="A222" t="s">
        <v>830</v>
      </c>
      <c r="B222" t="s">
        <v>391</v>
      </c>
      <c r="C222" t="s">
        <v>392</v>
      </c>
      <c r="D222" s="1">
        <v>101499</v>
      </c>
      <c r="E222" s="1">
        <v>4327</v>
      </c>
      <c r="F222" s="1">
        <v>4150</v>
      </c>
      <c r="G222" s="1">
        <v>4954</v>
      </c>
      <c r="H222" s="1">
        <v>5354</v>
      </c>
      <c r="I222" s="1">
        <v>4542</v>
      </c>
      <c r="J222" s="1">
        <v>4279</v>
      </c>
      <c r="K222" s="1">
        <v>3863</v>
      </c>
      <c r="L222" s="1">
        <v>4645</v>
      </c>
      <c r="M222" s="1">
        <v>6088</v>
      </c>
      <c r="N222" s="1">
        <v>6773</v>
      </c>
      <c r="O222" s="1">
        <v>6867</v>
      </c>
      <c r="P222" s="1">
        <v>7221</v>
      </c>
      <c r="Q222" s="1">
        <v>9239</v>
      </c>
      <c r="R222" s="1">
        <v>8211</v>
      </c>
      <c r="S222" s="1">
        <v>6609</v>
      </c>
      <c r="T222" s="1">
        <v>5794</v>
      </c>
      <c r="U222" s="1">
        <v>4411</v>
      </c>
      <c r="V222" s="1">
        <v>2682</v>
      </c>
      <c r="W222" s="1">
        <v>1490</v>
      </c>
      <c r="X222" s="9">
        <f>SUM(Table2[[#This Row],[Age 20 to 24]:[Age 90 and Over]])</f>
        <v>82714</v>
      </c>
      <c r="Y222" s="9">
        <f>_xlfn.XLOOKUP(Table2[[#This Row],[Area]],Referendum!E:E,Referendum!L:L,"")</f>
        <v>26214</v>
      </c>
      <c r="Z222" s="9">
        <f>_xlfn.XLOOKUP(Table2[[#This Row],[Area]],Referendum!E:E,Referendum!M:M,"")</f>
        <v>37576</v>
      </c>
      <c r="AA222" s="10">
        <f>(Table2[[#This Row],[Leave Votes]]+Table2[[#This Row],[Remain Votes]])/Table2[[#This Row],[Residents Age &gt;=20]]</f>
        <v>0.77121164494523298</v>
      </c>
      <c r="AB222" s="10">
        <f>Table2[[#This Row],[Remain Votes]]/Table2[[#This Row],[Residents Age &gt;=20]]</f>
        <v>0.31692337451942837</v>
      </c>
      <c r="AC222" s="10">
        <f>Table2[[#This Row],[Leave Votes]]/Table2[[#This Row],[Residents Age &gt;=20]]</f>
        <v>0.45428827042580455</v>
      </c>
    </row>
    <row r="223" spans="1:29" x14ac:dyDescent="0.45">
      <c r="A223" t="s">
        <v>830</v>
      </c>
      <c r="B223" t="s">
        <v>621</v>
      </c>
      <c r="C223" t="s">
        <v>622</v>
      </c>
      <c r="D223" s="1">
        <v>202566</v>
      </c>
      <c r="E223" s="1">
        <v>11653</v>
      </c>
      <c r="F223" s="1">
        <v>11024</v>
      </c>
      <c r="G223" s="1">
        <v>11579</v>
      </c>
      <c r="H223" s="1">
        <v>11326</v>
      </c>
      <c r="I223" s="1">
        <v>9491</v>
      </c>
      <c r="J223" s="1">
        <v>10363</v>
      </c>
      <c r="K223" s="1">
        <v>10691</v>
      </c>
      <c r="L223" s="1">
        <v>12598</v>
      </c>
      <c r="M223" s="1">
        <v>14997</v>
      </c>
      <c r="N223" s="1">
        <v>15404</v>
      </c>
      <c r="O223" s="1">
        <v>13428</v>
      </c>
      <c r="P223" s="1">
        <v>12725</v>
      </c>
      <c r="Q223" s="1">
        <v>14654</v>
      </c>
      <c r="R223" s="1">
        <v>12468</v>
      </c>
      <c r="S223" s="1">
        <v>9603</v>
      </c>
      <c r="T223" s="1">
        <v>7921</v>
      </c>
      <c r="U223" s="1">
        <v>6122</v>
      </c>
      <c r="V223" s="1">
        <v>4175</v>
      </c>
      <c r="W223" s="1">
        <v>2344</v>
      </c>
      <c r="X223" s="9">
        <f>SUM(Table2[[#This Row],[Age 20 to 24]:[Age 90 and Over]])</f>
        <v>156984</v>
      </c>
      <c r="Y223" s="9">
        <f>_xlfn.XLOOKUP(Table2[[#This Row],[Area]],Referendum!E:E,Referendum!L:L,"")</f>
        <v>59572</v>
      </c>
      <c r="Z223" s="9">
        <f>_xlfn.XLOOKUP(Table2[[#This Row],[Area]],Referendum!E:E,Referendum!M:M,"")</f>
        <v>64976</v>
      </c>
      <c r="AA223" s="10">
        <f>(Table2[[#This Row],[Leave Votes]]+Table2[[#This Row],[Remain Votes]])/Table2[[#This Row],[Residents Age &gt;=20]]</f>
        <v>0.79338021709218776</v>
      </c>
      <c r="AB223" s="10">
        <f>Table2[[#This Row],[Remain Votes]]/Table2[[#This Row],[Residents Age &gt;=20]]</f>
        <v>0.37947816337970747</v>
      </c>
      <c r="AC223" s="10">
        <f>Table2[[#This Row],[Leave Votes]]/Table2[[#This Row],[Residents Age &gt;=20]]</f>
        <v>0.41390205371248023</v>
      </c>
    </row>
    <row r="224" spans="1:29" x14ac:dyDescent="0.45">
      <c r="A224" t="s">
        <v>830</v>
      </c>
      <c r="B224" t="s">
        <v>27</v>
      </c>
      <c r="C224" t="s">
        <v>28</v>
      </c>
      <c r="D224" s="1">
        <v>200801</v>
      </c>
      <c r="E224" s="1">
        <v>11732</v>
      </c>
      <c r="F224" s="1">
        <v>10653</v>
      </c>
      <c r="G224" s="1">
        <v>10921</v>
      </c>
      <c r="H224" s="1">
        <v>11459</v>
      </c>
      <c r="I224" s="1">
        <v>10908</v>
      </c>
      <c r="J224" s="1">
        <v>12411</v>
      </c>
      <c r="K224" s="1">
        <v>13326</v>
      </c>
      <c r="L224" s="1">
        <v>13505</v>
      </c>
      <c r="M224" s="1">
        <v>14813</v>
      </c>
      <c r="N224" s="1">
        <v>15766</v>
      </c>
      <c r="O224" s="1">
        <v>14180</v>
      </c>
      <c r="P224" s="1">
        <v>12773</v>
      </c>
      <c r="Q224" s="1">
        <v>13059</v>
      </c>
      <c r="R224" s="1">
        <v>9704</v>
      </c>
      <c r="S224" s="1">
        <v>8392</v>
      </c>
      <c r="T224" s="1">
        <v>7124</v>
      </c>
      <c r="U224" s="1">
        <v>5363</v>
      </c>
      <c r="V224" s="1">
        <v>3155</v>
      </c>
      <c r="W224" s="1">
        <v>1557</v>
      </c>
      <c r="X224" s="9">
        <f>SUM(Table2[[#This Row],[Age 20 to 24]:[Age 90 and Over]])</f>
        <v>156036</v>
      </c>
      <c r="Y224" s="9">
        <f>_xlfn.XLOOKUP(Table2[[#This Row],[Area]],Referendum!E:E,Referendum!L:L,"")</f>
        <v>52873</v>
      </c>
      <c r="Z224" s="9">
        <f>_xlfn.XLOOKUP(Table2[[#This Row],[Area]],Referendum!E:E,Referendum!M:M,"")</f>
        <v>60589</v>
      </c>
      <c r="AA224" s="10">
        <f>(Table2[[#This Row],[Leave Votes]]+Table2[[#This Row],[Remain Votes]])/Table2[[#This Row],[Residents Age &gt;=20]]</f>
        <v>0.7271527083493553</v>
      </c>
      <c r="AB224" s="10">
        <f>Table2[[#This Row],[Remain Votes]]/Table2[[#This Row],[Residents Age &gt;=20]]</f>
        <v>0.33885129072778075</v>
      </c>
      <c r="AC224" s="10">
        <f>Table2[[#This Row],[Leave Votes]]/Table2[[#This Row],[Residents Age &gt;=20]]</f>
        <v>0.3883014176215745</v>
      </c>
    </row>
    <row r="225" spans="1:29" x14ac:dyDescent="0.45">
      <c r="A225" t="s">
        <v>830</v>
      </c>
      <c r="B225" t="s">
        <v>293</v>
      </c>
      <c r="C225" t="s">
        <v>294</v>
      </c>
      <c r="D225" s="1">
        <v>62014</v>
      </c>
      <c r="E225" s="1">
        <v>3285</v>
      </c>
      <c r="F225" s="1">
        <v>3209</v>
      </c>
      <c r="G225" s="1">
        <v>3730</v>
      </c>
      <c r="H225" s="1">
        <v>3658</v>
      </c>
      <c r="I225" s="1">
        <v>3219</v>
      </c>
      <c r="J225" s="1">
        <v>3281</v>
      </c>
      <c r="K225" s="1">
        <v>3164</v>
      </c>
      <c r="L225" s="1">
        <v>4044</v>
      </c>
      <c r="M225" s="1">
        <v>4864</v>
      </c>
      <c r="N225" s="1">
        <v>5006</v>
      </c>
      <c r="O225" s="1">
        <v>4496</v>
      </c>
      <c r="P225" s="1">
        <v>4177</v>
      </c>
      <c r="Q225" s="1">
        <v>4496</v>
      </c>
      <c r="R225" s="1">
        <v>3718</v>
      </c>
      <c r="S225" s="1">
        <v>2788</v>
      </c>
      <c r="T225" s="1">
        <v>2064</v>
      </c>
      <c r="U225" s="1">
        <v>1490</v>
      </c>
      <c r="V225">
        <v>913</v>
      </c>
      <c r="W225">
        <v>412</v>
      </c>
      <c r="X225" s="9">
        <f>SUM(Table2[[#This Row],[Age 20 to 24]:[Age 90 and Over]])</f>
        <v>48132</v>
      </c>
      <c r="Y225" s="9">
        <f>_xlfn.XLOOKUP(Table2[[#This Row],[Area]],Referendum!E:E,Referendum!L:L,"")</f>
        <v>12569</v>
      </c>
      <c r="Z225" s="9">
        <f>_xlfn.XLOOKUP(Table2[[#This Row],[Area]],Referendum!E:E,Referendum!M:M,"")</f>
        <v>25385</v>
      </c>
      <c r="AA225" s="10">
        <f>(Table2[[#This Row],[Leave Votes]]+Table2[[#This Row],[Remain Votes]])/Table2[[#This Row],[Residents Age &gt;=20]]</f>
        <v>0.78853984874927285</v>
      </c>
      <c r="AB225" s="10">
        <f>Table2[[#This Row],[Remain Votes]]/Table2[[#This Row],[Residents Age &gt;=20]]</f>
        <v>0.26113604254965511</v>
      </c>
      <c r="AC225" s="10">
        <f>Table2[[#This Row],[Leave Votes]]/Table2[[#This Row],[Residents Age &gt;=20]]</f>
        <v>0.52740380619961769</v>
      </c>
    </row>
    <row r="226" spans="1:29" x14ac:dyDescent="0.45">
      <c r="A226" t="s">
        <v>830</v>
      </c>
      <c r="B226" t="s">
        <v>207</v>
      </c>
      <c r="C226" t="s">
        <v>208</v>
      </c>
      <c r="D226" s="1">
        <v>93468</v>
      </c>
      <c r="E226" s="1">
        <v>5477</v>
      </c>
      <c r="F226" s="1">
        <v>5421</v>
      </c>
      <c r="G226" s="1">
        <v>5642</v>
      </c>
      <c r="H226" s="1">
        <v>5411</v>
      </c>
      <c r="I226" s="1">
        <v>4739</v>
      </c>
      <c r="J226" s="1">
        <v>4939</v>
      </c>
      <c r="K226" s="1">
        <v>5124</v>
      </c>
      <c r="L226" s="1">
        <v>6488</v>
      </c>
      <c r="M226" s="1">
        <v>7569</v>
      </c>
      <c r="N226" s="1">
        <v>7529</v>
      </c>
      <c r="O226" s="1">
        <v>6358</v>
      </c>
      <c r="P226" s="1">
        <v>5940</v>
      </c>
      <c r="Q226" s="1">
        <v>6599</v>
      </c>
      <c r="R226" s="1">
        <v>5201</v>
      </c>
      <c r="S226" s="1">
        <v>3796</v>
      </c>
      <c r="T226" s="1">
        <v>2934</v>
      </c>
      <c r="U226" s="1">
        <v>2209</v>
      </c>
      <c r="V226" s="1">
        <v>1418</v>
      </c>
      <c r="W226">
        <v>674</v>
      </c>
      <c r="X226" s="9">
        <f>SUM(Table2[[#This Row],[Age 20 to 24]:[Age 90 and Over]])</f>
        <v>71517</v>
      </c>
      <c r="Y226" s="9">
        <f>_xlfn.XLOOKUP(Table2[[#This Row],[Area]],Referendum!E:E,Referendum!L:L,"")</f>
        <v>22642</v>
      </c>
      <c r="Z226" s="9">
        <f>_xlfn.XLOOKUP(Table2[[#This Row],[Area]],Referendum!E:E,Referendum!M:M,"")</f>
        <v>34969</v>
      </c>
      <c r="AA226" s="10">
        <f>(Table2[[#This Row],[Leave Votes]]+Table2[[#This Row],[Remain Votes]])/Table2[[#This Row],[Residents Age &gt;=20]]</f>
        <v>0.80555672077967477</v>
      </c>
      <c r="AB226" s="10">
        <f>Table2[[#This Row],[Remain Votes]]/Table2[[#This Row],[Residents Age &gt;=20]]</f>
        <v>0.31659605408504271</v>
      </c>
      <c r="AC226" s="10">
        <f>Table2[[#This Row],[Leave Votes]]/Table2[[#This Row],[Residents Age &gt;=20]]</f>
        <v>0.48896066669463206</v>
      </c>
    </row>
    <row r="227" spans="1:29" x14ac:dyDescent="0.45">
      <c r="A227" t="s">
        <v>830</v>
      </c>
      <c r="B227" t="s">
        <v>233</v>
      </c>
      <c r="C227" t="s">
        <v>234</v>
      </c>
      <c r="D227" s="1">
        <v>212069</v>
      </c>
      <c r="E227" s="1">
        <v>15845</v>
      </c>
      <c r="F227" s="1">
        <v>12564</v>
      </c>
      <c r="G227" s="1">
        <v>12138</v>
      </c>
      <c r="H227" s="1">
        <v>13293</v>
      </c>
      <c r="I227" s="1">
        <v>15345</v>
      </c>
      <c r="J227" s="1">
        <v>16950</v>
      </c>
      <c r="K227" s="1">
        <v>16250</v>
      </c>
      <c r="L227" s="1">
        <v>15724</v>
      </c>
      <c r="M227" s="1">
        <v>15096</v>
      </c>
      <c r="N227" s="1">
        <v>15299</v>
      </c>
      <c r="O227" s="1">
        <v>12662</v>
      </c>
      <c r="P227" s="1">
        <v>11083</v>
      </c>
      <c r="Q227" s="1">
        <v>11605</v>
      </c>
      <c r="R227" s="1">
        <v>8344</v>
      </c>
      <c r="S227" s="1">
        <v>6497</v>
      </c>
      <c r="T227" s="1">
        <v>5278</v>
      </c>
      <c r="U227" s="1">
        <v>4057</v>
      </c>
      <c r="V227" s="1">
        <v>2653</v>
      </c>
      <c r="W227" s="1">
        <v>1386</v>
      </c>
      <c r="X227" s="9">
        <f>SUM(Table2[[#This Row],[Age 20 to 24]:[Age 90 and Over]])</f>
        <v>158229</v>
      </c>
      <c r="Y227" s="9">
        <f>_xlfn.XLOOKUP(Table2[[#This Row],[Area]],Referendum!E:E,Referendum!L:L,"")</f>
        <v>43805</v>
      </c>
      <c r="Z227" s="9">
        <f>_xlfn.XLOOKUP(Table2[[#This Row],[Area]],Referendum!E:E,Referendum!M:M,"")</f>
        <v>61454</v>
      </c>
      <c r="AA227" s="10">
        <f>(Table2[[#This Row],[Leave Votes]]+Table2[[#This Row],[Remain Votes]])/Table2[[#This Row],[Residents Age &gt;=20]]</f>
        <v>0.66523203711076984</v>
      </c>
      <c r="AB227" s="10">
        <f>Table2[[#This Row],[Remain Votes]]/Table2[[#This Row],[Residents Age &gt;=20]]</f>
        <v>0.27684558456414438</v>
      </c>
      <c r="AC227" s="10">
        <f>Table2[[#This Row],[Leave Votes]]/Table2[[#This Row],[Residents Age &gt;=20]]</f>
        <v>0.38838645254662546</v>
      </c>
    </row>
    <row r="228" spans="1:29" x14ac:dyDescent="0.45">
      <c r="A228" t="s">
        <v>829</v>
      </c>
      <c r="B228" t="s">
        <v>693</v>
      </c>
      <c r="C228" t="s">
        <v>694</v>
      </c>
      <c r="D228" s="1">
        <v>1810863</v>
      </c>
      <c r="E228" s="1">
        <v>124382</v>
      </c>
      <c r="F228" s="1">
        <v>111287</v>
      </c>
      <c r="G228" s="1">
        <v>119034</v>
      </c>
      <c r="H228" s="1">
        <v>126241</v>
      </c>
      <c r="I228" s="1">
        <v>126013</v>
      </c>
      <c r="J228" s="1">
        <v>124099</v>
      </c>
      <c r="K228" s="1">
        <v>119839</v>
      </c>
      <c r="L228" s="1">
        <v>122260</v>
      </c>
      <c r="M228" s="1">
        <v>131848</v>
      </c>
      <c r="N228" s="1">
        <v>131645</v>
      </c>
      <c r="O228" s="1">
        <v>116933</v>
      </c>
      <c r="P228" s="1">
        <v>99272</v>
      </c>
      <c r="Q228" s="1">
        <v>94290</v>
      </c>
      <c r="R228" s="1">
        <v>82121</v>
      </c>
      <c r="S228" s="1">
        <v>63479</v>
      </c>
      <c r="T228" s="1">
        <v>50358</v>
      </c>
      <c r="U228" s="1">
        <v>36366</v>
      </c>
      <c r="V228" s="1">
        <v>21165</v>
      </c>
      <c r="W228" s="1">
        <v>10231</v>
      </c>
      <c r="X228" s="9">
        <f>SUM(Table2[[#This Row],[Age 20 to 24]:[Age 90 and Over]])</f>
        <v>1329919</v>
      </c>
      <c r="Y228" s="9">
        <f>_xlfn.XLOOKUP(Table2[[#This Row],[Area]],Referendum!E:E,Referendum!L:L,"")</f>
        <v>440707</v>
      </c>
      <c r="Z228" s="9">
        <f>_xlfn.XLOOKUP(Table2[[#This Row],[Area]],Referendum!E:E,Referendum!M:M,"")</f>
        <v>349442</v>
      </c>
      <c r="AA228" s="10">
        <f>(Table2[[#This Row],[Leave Votes]]+Table2[[#This Row],[Remain Votes]])/Table2[[#This Row],[Residents Age &gt;=20]]</f>
        <v>0.59413317653180386</v>
      </c>
      <c r="AB228" s="10">
        <f>Table2[[#This Row],[Remain Votes]]/Table2[[#This Row],[Residents Age &gt;=20]]</f>
        <v>0.33137882833465798</v>
      </c>
      <c r="AC228" s="10">
        <f>Table2[[#This Row],[Leave Votes]]/Table2[[#This Row],[Residents Age &gt;=20]]</f>
        <v>0.26275434819714583</v>
      </c>
    </row>
    <row r="229" spans="1:29" x14ac:dyDescent="0.45">
      <c r="A229" t="s">
        <v>830</v>
      </c>
      <c r="B229" t="s">
        <v>831</v>
      </c>
      <c r="C229" t="s">
        <v>46</v>
      </c>
      <c r="D229" s="1">
        <v>316028</v>
      </c>
      <c r="E229" s="1">
        <v>16003</v>
      </c>
      <c r="F229" s="1">
        <v>16345</v>
      </c>
      <c r="G229" s="1">
        <v>17677</v>
      </c>
      <c r="H229" s="1">
        <v>18464</v>
      </c>
      <c r="I229" s="1">
        <v>16224</v>
      </c>
      <c r="J229" s="1">
        <v>16187</v>
      </c>
      <c r="K229" s="1">
        <v>16121</v>
      </c>
      <c r="L229" s="1">
        <v>17907</v>
      </c>
      <c r="M229" s="1">
        <v>22128</v>
      </c>
      <c r="N229" s="1">
        <v>24842</v>
      </c>
      <c r="O229" s="1">
        <v>24121</v>
      </c>
      <c r="P229" s="1">
        <v>22172</v>
      </c>
      <c r="Q229" s="1">
        <v>24533</v>
      </c>
      <c r="R229" s="1">
        <v>19062</v>
      </c>
      <c r="S229" s="1">
        <v>15304</v>
      </c>
      <c r="T229" s="1">
        <v>12249</v>
      </c>
      <c r="U229" s="1">
        <v>8769</v>
      </c>
      <c r="V229" s="1">
        <v>5233</v>
      </c>
      <c r="W229" s="1">
        <v>2687</v>
      </c>
      <c r="X229" s="9">
        <f>SUM(Table2[[#This Row],[Age 20 to 24]:[Age 90 and Over]])</f>
        <v>247539</v>
      </c>
      <c r="Y229" s="9">
        <f>_xlfn.XLOOKUP(Table2[[#This Row],[Area]],Referendum!E:E,Referendum!L:L,"")</f>
        <v>82022</v>
      </c>
      <c r="Z229" s="9">
        <f>_xlfn.XLOOKUP(Table2[[#This Row],[Area]],Referendum!E:E,Referendum!M:M,"")</f>
        <v>96699</v>
      </c>
      <c r="AA229" s="10">
        <f>(Table2[[#This Row],[Leave Votes]]+Table2[[#This Row],[Remain Votes]])/Table2[[#This Row],[Residents Age &gt;=20]]</f>
        <v>0.72199128218179764</v>
      </c>
      <c r="AB229" s="10">
        <f>Table2[[#This Row],[Remain Votes]]/Table2[[#This Row],[Residents Age &gt;=20]]</f>
        <v>0.33134980750508003</v>
      </c>
      <c r="AC229" s="10">
        <f>Table2[[#This Row],[Leave Votes]]/Table2[[#This Row],[Residents Age &gt;=20]]</f>
        <v>0.39064147467671761</v>
      </c>
    </row>
    <row r="230" spans="1:29" x14ac:dyDescent="0.45">
      <c r="A230" t="s">
        <v>830</v>
      </c>
      <c r="B230" t="s">
        <v>393</v>
      </c>
      <c r="C230" t="s">
        <v>394</v>
      </c>
      <c r="D230" s="1">
        <v>132512</v>
      </c>
      <c r="E230" s="1">
        <v>8425</v>
      </c>
      <c r="F230" s="1">
        <v>6267</v>
      </c>
      <c r="G230" s="1">
        <v>5809</v>
      </c>
      <c r="H230" s="1">
        <v>8838</v>
      </c>
      <c r="I230" s="1">
        <v>15289</v>
      </c>
      <c r="J230" s="1">
        <v>12794</v>
      </c>
      <c r="K230" s="1">
        <v>10521</v>
      </c>
      <c r="L230" s="1">
        <v>8987</v>
      </c>
      <c r="M230" s="1">
        <v>8592</v>
      </c>
      <c r="N230" s="1">
        <v>7820</v>
      </c>
      <c r="O230" s="1">
        <v>6878</v>
      </c>
      <c r="P230" s="1">
        <v>6430</v>
      </c>
      <c r="Q230" s="1">
        <v>6517</v>
      </c>
      <c r="R230" s="1">
        <v>5043</v>
      </c>
      <c r="S230" s="1">
        <v>4199</v>
      </c>
      <c r="T230" s="1">
        <v>3684</v>
      </c>
      <c r="U230" s="1">
        <v>3128</v>
      </c>
      <c r="V230" s="1">
        <v>2134</v>
      </c>
      <c r="W230" s="1">
        <v>1157</v>
      </c>
      <c r="X230" s="9">
        <f>SUM(Table2[[#This Row],[Age 20 to 24]:[Age 90 and Over]])</f>
        <v>103173</v>
      </c>
      <c r="Y230" s="9">
        <f>_xlfn.XLOOKUP(Table2[[#This Row],[Area]],Referendum!E:E,Referendum!L:L,"")</f>
        <v>37326</v>
      </c>
      <c r="Z230" s="9">
        <f>_xlfn.XLOOKUP(Table2[[#This Row],[Area]],Referendum!E:E,Referendum!M:M,"")</f>
        <v>29040</v>
      </c>
      <c r="AA230" s="10">
        <f>(Table2[[#This Row],[Leave Votes]]+Table2[[#This Row],[Remain Votes]])/Table2[[#This Row],[Residents Age &gt;=20]]</f>
        <v>0.64324968741821986</v>
      </c>
      <c r="AB230" s="10">
        <f>Table2[[#This Row],[Remain Votes]]/Table2[[#This Row],[Residents Age &gt;=20]]</f>
        <v>0.36178069843854499</v>
      </c>
      <c r="AC230" s="10">
        <f>Table2[[#This Row],[Leave Votes]]/Table2[[#This Row],[Residents Age &gt;=20]]</f>
        <v>0.28146898897967493</v>
      </c>
    </row>
    <row r="231" spans="1:29" x14ac:dyDescent="0.45">
      <c r="A231" t="s">
        <v>830</v>
      </c>
      <c r="B231" t="s">
        <v>179</v>
      </c>
      <c r="C231" t="s">
        <v>180</v>
      </c>
      <c r="D231" s="1">
        <v>305680</v>
      </c>
      <c r="E231" s="1">
        <v>19959</v>
      </c>
      <c r="F231" s="1">
        <v>16429</v>
      </c>
      <c r="G231" s="1">
        <v>15860</v>
      </c>
      <c r="H231" s="1">
        <v>27059</v>
      </c>
      <c r="I231" s="1">
        <v>42766</v>
      </c>
      <c r="J231" s="1">
        <v>26232</v>
      </c>
      <c r="K231" s="1">
        <v>22433</v>
      </c>
      <c r="L231" s="1">
        <v>19441</v>
      </c>
      <c r="M231" s="1">
        <v>19645</v>
      </c>
      <c r="N231" s="1">
        <v>18502</v>
      </c>
      <c r="O231" s="1">
        <v>15772</v>
      </c>
      <c r="P231" s="1">
        <v>13404</v>
      </c>
      <c r="Q231" s="1">
        <v>12626</v>
      </c>
      <c r="R231" s="1">
        <v>9313</v>
      </c>
      <c r="S231" s="1">
        <v>8207</v>
      </c>
      <c r="T231" s="1">
        <v>7181</v>
      </c>
      <c r="U231" s="1">
        <v>5696</v>
      </c>
      <c r="V231" s="1">
        <v>3529</v>
      </c>
      <c r="W231" s="1">
        <v>1626</v>
      </c>
      <c r="X231" s="9">
        <f>SUM(Table2[[#This Row],[Age 20 to 24]:[Age 90 and Over]])</f>
        <v>226373</v>
      </c>
      <c r="Y231" s="9">
        <f>_xlfn.XLOOKUP(Table2[[#This Row],[Area]],Referendum!E:E,Referendum!L:L,"")</f>
        <v>59318</v>
      </c>
      <c r="Z231" s="9">
        <f>_xlfn.XLOOKUP(Table2[[#This Row],[Area]],Referendum!E:E,Referendum!M:M,"")</f>
        <v>61343</v>
      </c>
      <c r="AA231" s="10">
        <f>(Table2[[#This Row],[Leave Votes]]+Table2[[#This Row],[Remain Votes]])/Table2[[#This Row],[Residents Age &gt;=20]]</f>
        <v>0.53301851369200393</v>
      </c>
      <c r="AB231" s="10">
        <f>Table2[[#This Row],[Remain Votes]]/Table2[[#This Row],[Residents Age &gt;=20]]</f>
        <v>0.26203655029530909</v>
      </c>
      <c r="AC231" s="10">
        <f>Table2[[#This Row],[Leave Votes]]/Table2[[#This Row],[Residents Age &gt;=20]]</f>
        <v>0.27098196339669484</v>
      </c>
    </row>
    <row r="232" spans="1:29" x14ac:dyDescent="0.45">
      <c r="A232" t="s">
        <v>830</v>
      </c>
      <c r="B232" t="s">
        <v>295</v>
      </c>
      <c r="C232" t="s">
        <v>296</v>
      </c>
      <c r="D232" s="1">
        <v>125252</v>
      </c>
      <c r="E232" s="1">
        <v>7925</v>
      </c>
      <c r="F232" s="1">
        <v>7019</v>
      </c>
      <c r="G232" s="1">
        <v>7412</v>
      </c>
      <c r="H232" s="1">
        <v>7891</v>
      </c>
      <c r="I232" s="1">
        <v>7453</v>
      </c>
      <c r="J232" s="1">
        <v>7971</v>
      </c>
      <c r="K232" s="1">
        <v>7777</v>
      </c>
      <c r="L232" s="1">
        <v>8294</v>
      </c>
      <c r="M232" s="1">
        <v>9336</v>
      </c>
      <c r="N232" s="1">
        <v>9459</v>
      </c>
      <c r="O232" s="1">
        <v>8179</v>
      </c>
      <c r="P232" s="1">
        <v>7586</v>
      </c>
      <c r="Q232" s="1">
        <v>8028</v>
      </c>
      <c r="R232" s="1">
        <v>6707</v>
      </c>
      <c r="S232" s="1">
        <v>5061</v>
      </c>
      <c r="T232" s="1">
        <v>3918</v>
      </c>
      <c r="U232" s="1">
        <v>2843</v>
      </c>
      <c r="V232" s="1">
        <v>1611</v>
      </c>
      <c r="W232">
        <v>782</v>
      </c>
      <c r="X232" s="9">
        <f>SUM(Table2[[#This Row],[Age 20 to 24]:[Age 90 and Over]])</f>
        <v>95005</v>
      </c>
      <c r="Y232" s="9">
        <f>_xlfn.XLOOKUP(Table2[[#This Row],[Area]],Referendum!E:E,Referendum!L:L,"")</f>
        <v>23736</v>
      </c>
      <c r="Z232" s="9">
        <f>_xlfn.XLOOKUP(Table2[[#This Row],[Area]],Referendum!E:E,Referendum!M:M,"")</f>
        <v>46095</v>
      </c>
      <c r="AA232" s="10">
        <f>(Table2[[#This Row],[Leave Votes]]+Table2[[#This Row],[Remain Votes]])/Table2[[#This Row],[Residents Age &gt;=20]]</f>
        <v>0.73502447239618962</v>
      </c>
      <c r="AB232" s="10">
        <f>Table2[[#This Row],[Remain Votes]]/Table2[[#This Row],[Residents Age &gt;=20]]</f>
        <v>0.24983948213251933</v>
      </c>
      <c r="AC232" s="10">
        <f>Table2[[#This Row],[Leave Votes]]/Table2[[#This Row],[Residents Age &gt;=20]]</f>
        <v>0.48518499026367035</v>
      </c>
    </row>
    <row r="233" spans="1:29" x14ac:dyDescent="0.45">
      <c r="A233" t="s">
        <v>830</v>
      </c>
      <c r="B233" t="s">
        <v>209</v>
      </c>
      <c r="C233" t="s">
        <v>210</v>
      </c>
      <c r="D233" s="1">
        <v>56170</v>
      </c>
      <c r="E233" s="1">
        <v>2882</v>
      </c>
      <c r="F233" s="1">
        <v>2803</v>
      </c>
      <c r="G233" s="1">
        <v>3370</v>
      </c>
      <c r="H233" s="1">
        <v>5006</v>
      </c>
      <c r="I233" s="1">
        <v>3463</v>
      </c>
      <c r="J233" s="1">
        <v>3023</v>
      </c>
      <c r="K233" s="1">
        <v>2964</v>
      </c>
      <c r="L233" s="1">
        <v>3159</v>
      </c>
      <c r="M233" s="1">
        <v>3907</v>
      </c>
      <c r="N233" s="1">
        <v>4310</v>
      </c>
      <c r="O233" s="1">
        <v>3746</v>
      </c>
      <c r="P233" s="1">
        <v>3218</v>
      </c>
      <c r="Q233" s="1">
        <v>3432</v>
      </c>
      <c r="R233" s="1">
        <v>2803</v>
      </c>
      <c r="S233" s="1">
        <v>2522</v>
      </c>
      <c r="T233" s="1">
        <v>2293</v>
      </c>
      <c r="U233" s="1">
        <v>1734</v>
      </c>
      <c r="V233" s="1">
        <v>1019</v>
      </c>
      <c r="W233">
        <v>516</v>
      </c>
      <c r="X233" s="9">
        <f>SUM(Table2[[#This Row],[Age 20 to 24]:[Age 90 and Over]])</f>
        <v>42109</v>
      </c>
      <c r="Y233" s="9">
        <f>_xlfn.XLOOKUP(Table2[[#This Row],[Area]],Referendum!E:E,Referendum!L:L,"")</f>
        <v>14292</v>
      </c>
      <c r="Z233" s="9">
        <f>_xlfn.XLOOKUP(Table2[[#This Row],[Area]],Referendum!E:E,Referendum!M:M,"")</f>
        <v>17173</v>
      </c>
      <c r="AA233" s="10">
        <f>(Table2[[#This Row],[Leave Votes]]+Table2[[#This Row],[Remain Votes]])/Table2[[#This Row],[Residents Age &gt;=20]]</f>
        <v>0.7472274335652711</v>
      </c>
      <c r="AB233" s="10">
        <f>Table2[[#This Row],[Remain Votes]]/Table2[[#This Row],[Residents Age &gt;=20]]</f>
        <v>0.33940487781709372</v>
      </c>
      <c r="AC233" s="10">
        <f>Table2[[#This Row],[Leave Votes]]/Table2[[#This Row],[Residents Age &gt;=20]]</f>
        <v>0.40782255574817733</v>
      </c>
    </row>
    <row r="234" spans="1:29" x14ac:dyDescent="0.45">
      <c r="A234" t="s">
        <v>830</v>
      </c>
      <c r="B234" t="s">
        <v>55</v>
      </c>
      <c r="C234" t="s">
        <v>56</v>
      </c>
      <c r="D234" s="1">
        <v>224897</v>
      </c>
      <c r="E234" s="1">
        <v>16491</v>
      </c>
      <c r="F234" s="1">
        <v>15422</v>
      </c>
      <c r="G234" s="1">
        <v>15337</v>
      </c>
      <c r="H234" s="1">
        <v>15056</v>
      </c>
      <c r="I234" s="1">
        <v>14586</v>
      </c>
      <c r="J234" s="1">
        <v>15177</v>
      </c>
      <c r="K234" s="1">
        <v>14020</v>
      </c>
      <c r="L234" s="1">
        <v>14431</v>
      </c>
      <c r="M234" s="1">
        <v>16494</v>
      </c>
      <c r="N234" s="1">
        <v>15699</v>
      </c>
      <c r="O234" s="1">
        <v>14128</v>
      </c>
      <c r="P234" s="1">
        <v>12228</v>
      </c>
      <c r="Q234" s="1">
        <v>12875</v>
      </c>
      <c r="R234" s="1">
        <v>10027</v>
      </c>
      <c r="S234" s="1">
        <v>8253</v>
      </c>
      <c r="T234" s="1">
        <v>6068</v>
      </c>
      <c r="U234" s="1">
        <v>4397</v>
      </c>
      <c r="V234" s="1">
        <v>2760</v>
      </c>
      <c r="W234" s="1">
        <v>1448</v>
      </c>
      <c r="X234" s="9">
        <f>SUM(Table2[[#This Row],[Age 20 to 24]:[Age 90 and Over]])</f>
        <v>162591</v>
      </c>
      <c r="Y234" s="9">
        <f>_xlfn.XLOOKUP(Table2[[#This Row],[Area]],Referendum!E:E,Referendum!L:L,"")</f>
        <v>42034</v>
      </c>
      <c r="Z234" s="9">
        <f>_xlfn.XLOOKUP(Table2[[#This Row],[Area]],Referendum!E:E,Referendum!M:M,"")</f>
        <v>65369</v>
      </c>
      <c r="AA234" s="10">
        <f>(Table2[[#This Row],[Leave Votes]]+Table2[[#This Row],[Remain Votes]])/Table2[[#This Row],[Residents Age &gt;=20]]</f>
        <v>0.66057161835525957</v>
      </c>
      <c r="AB234" s="10">
        <f>Table2[[#This Row],[Remain Votes]]/Table2[[#This Row],[Residents Age &gt;=20]]</f>
        <v>0.25852599467375192</v>
      </c>
      <c r="AC234" s="10">
        <f>Table2[[#This Row],[Leave Votes]]/Table2[[#This Row],[Residents Age &gt;=20]]</f>
        <v>0.40204562368150759</v>
      </c>
    </row>
    <row r="235" spans="1:29" x14ac:dyDescent="0.45">
      <c r="A235" t="s">
        <v>837</v>
      </c>
      <c r="B235" t="s">
        <v>743</v>
      </c>
      <c r="C235" t="s">
        <v>744</v>
      </c>
      <c r="D235" s="1">
        <v>21400</v>
      </c>
      <c r="E235" s="1">
        <v>1100</v>
      </c>
      <c r="F235" s="1">
        <v>1000</v>
      </c>
      <c r="G235" s="1">
        <v>1200</v>
      </c>
      <c r="H235" s="1">
        <v>1300</v>
      </c>
      <c r="I235" s="1">
        <v>1100</v>
      </c>
      <c r="J235" s="1">
        <v>1000</v>
      </c>
      <c r="K235" s="1">
        <v>1100</v>
      </c>
      <c r="L235" s="1">
        <v>1200</v>
      </c>
      <c r="M235" s="1">
        <v>1600</v>
      </c>
      <c r="N235" s="1">
        <v>1700</v>
      </c>
      <c r="O235" s="1">
        <v>1600</v>
      </c>
      <c r="P235" s="1">
        <v>1500</v>
      </c>
      <c r="Q235" s="1">
        <v>1600</v>
      </c>
      <c r="R235" s="1">
        <v>1300</v>
      </c>
      <c r="S235" s="1">
        <v>1100</v>
      </c>
      <c r="T235">
        <v>700</v>
      </c>
      <c r="U235" s="1">
        <v>1000</v>
      </c>
      <c r="X235" s="9">
        <f>SUM(Table2[[#This Row],[Age 20 to 24]:[Age 90 and Over]])</f>
        <v>16500</v>
      </c>
      <c r="Y235" s="9">
        <f>_xlfn.XLOOKUP(Table2[[#This Row],[Area]],Referendum!E:E,Referendum!L:L,"")</f>
        <v>7189</v>
      </c>
      <c r="Z235" s="9">
        <f>_xlfn.XLOOKUP(Table2[[#This Row],[Area]],Referendum!E:E,Referendum!M:M,"")</f>
        <v>4193</v>
      </c>
      <c r="AA235" s="10">
        <f>(Table2[[#This Row],[Leave Votes]]+Table2[[#This Row],[Remain Votes]])/Table2[[#This Row],[Residents Age &gt;=20]]</f>
        <v>0.68981818181818177</v>
      </c>
      <c r="AB235" s="10">
        <f>Table2[[#This Row],[Remain Votes]]/Table2[[#This Row],[Residents Age &gt;=20]]</f>
        <v>0.43569696969696969</v>
      </c>
      <c r="AC235" s="10">
        <f>Table2[[#This Row],[Leave Votes]]/Table2[[#This Row],[Residents Age &gt;=20]]</f>
        <v>0.25412121212121214</v>
      </c>
    </row>
    <row r="236" spans="1:29" x14ac:dyDescent="0.45">
      <c r="A236" t="s">
        <v>830</v>
      </c>
      <c r="B236" t="s">
        <v>571</v>
      </c>
      <c r="C236" t="s">
        <v>572</v>
      </c>
      <c r="D236" s="1">
        <v>151906</v>
      </c>
      <c r="E236" s="1">
        <v>9251</v>
      </c>
      <c r="F236" s="1">
        <v>7406</v>
      </c>
      <c r="G236" s="1">
        <v>7114</v>
      </c>
      <c r="H236" s="1">
        <v>12912</v>
      </c>
      <c r="I236" s="1">
        <v>22554</v>
      </c>
      <c r="J236" s="1">
        <v>17096</v>
      </c>
      <c r="K236" s="1">
        <v>12863</v>
      </c>
      <c r="L236" s="1">
        <v>9623</v>
      </c>
      <c r="M236" s="1">
        <v>8854</v>
      </c>
      <c r="N236" s="1">
        <v>8494</v>
      </c>
      <c r="O236" s="1">
        <v>7027</v>
      </c>
      <c r="P236" s="1">
        <v>6148</v>
      </c>
      <c r="Q236" s="1">
        <v>5924</v>
      </c>
      <c r="R236" s="1">
        <v>4583</v>
      </c>
      <c r="S236" s="1">
        <v>3769</v>
      </c>
      <c r="T236" s="1">
        <v>3066</v>
      </c>
      <c r="U236" s="1">
        <v>2525</v>
      </c>
      <c r="V236" s="1">
        <v>1742</v>
      </c>
      <c r="W236">
        <v>955</v>
      </c>
      <c r="X236" s="9">
        <f>SUM(Table2[[#This Row],[Age 20 to 24]:[Age 90 and Over]])</f>
        <v>115223</v>
      </c>
      <c r="Y236" s="9">
        <f>_xlfn.XLOOKUP(Table2[[#This Row],[Area]],Referendum!E:E,Referendum!L:L,"")</f>
        <v>49424</v>
      </c>
      <c r="Z236" s="9">
        <f>_xlfn.XLOOKUP(Table2[[#This Row],[Area]],Referendum!E:E,Referendum!M:M,"")</f>
        <v>20913</v>
      </c>
      <c r="AA236" s="10">
        <f>(Table2[[#This Row],[Leave Votes]]+Table2[[#This Row],[Remain Votes]])/Table2[[#This Row],[Residents Age &gt;=20]]</f>
        <v>0.61044235959834403</v>
      </c>
      <c r="AB236" s="10">
        <f>Table2[[#This Row],[Remain Votes]]/Table2[[#This Row],[Residents Age &gt;=20]]</f>
        <v>0.42894213828836258</v>
      </c>
      <c r="AC236" s="10">
        <f>Table2[[#This Row],[Leave Votes]]/Table2[[#This Row],[Residents Age &gt;=20]]</f>
        <v>0.1815002213099815</v>
      </c>
    </row>
    <row r="237" spans="1:29" x14ac:dyDescent="0.45">
      <c r="A237" t="s">
        <v>830</v>
      </c>
      <c r="B237" t="s">
        <v>779</v>
      </c>
      <c r="C237" t="s">
        <v>780</v>
      </c>
      <c r="D237" s="1">
        <v>122439</v>
      </c>
      <c r="E237" s="1">
        <v>6784</v>
      </c>
      <c r="F237" s="1">
        <v>6358</v>
      </c>
      <c r="G237" s="1">
        <v>7383</v>
      </c>
      <c r="H237" s="1">
        <v>7481</v>
      </c>
      <c r="I237" s="1">
        <v>6710</v>
      </c>
      <c r="J237" s="1">
        <v>5860</v>
      </c>
      <c r="K237" s="1">
        <v>5770</v>
      </c>
      <c r="L237" s="1">
        <v>6379</v>
      </c>
      <c r="M237" s="1">
        <v>8046</v>
      </c>
      <c r="N237" s="1">
        <v>9065</v>
      </c>
      <c r="O237" s="1">
        <v>8197</v>
      </c>
      <c r="P237" s="1">
        <v>8188</v>
      </c>
      <c r="Q237" s="1">
        <v>9525</v>
      </c>
      <c r="R237" s="1">
        <v>7910</v>
      </c>
      <c r="S237" s="1">
        <v>6470</v>
      </c>
      <c r="T237" s="1">
        <v>5174</v>
      </c>
      <c r="U237" s="1">
        <v>3673</v>
      </c>
      <c r="V237" s="1">
        <v>2289</v>
      </c>
      <c r="W237" s="1">
        <v>1177</v>
      </c>
      <c r="X237" s="9">
        <f>SUM(Table2[[#This Row],[Age 20 to 24]:[Age 90 and Over]])</f>
        <v>94433</v>
      </c>
      <c r="Y237" s="9">
        <f>_xlfn.XLOOKUP(Table2[[#This Row],[Area]],Referendum!E:E,Referendum!L:L,"")</f>
        <v>29367</v>
      </c>
      <c r="Z237" s="9">
        <f>_xlfn.XLOOKUP(Table2[[#This Row],[Area]],Referendum!E:E,Referendum!M:M,"")</f>
        <v>39155</v>
      </c>
      <c r="AA237" s="10">
        <f>(Table2[[#This Row],[Leave Votes]]+Table2[[#This Row],[Remain Votes]])/Table2[[#This Row],[Residents Age &gt;=20]]</f>
        <v>0.7256149862865735</v>
      </c>
      <c r="AB237" s="10">
        <f>Table2[[#This Row],[Remain Votes]]/Table2[[#This Row],[Residents Age &gt;=20]]</f>
        <v>0.31098238963074348</v>
      </c>
      <c r="AC237" s="10">
        <f>Table2[[#This Row],[Leave Votes]]/Table2[[#This Row],[Residents Age &gt;=20]]</f>
        <v>0.41463259665583008</v>
      </c>
    </row>
    <row r="238" spans="1:29" x14ac:dyDescent="0.45">
      <c r="A238" t="s">
        <v>830</v>
      </c>
      <c r="B238" t="s">
        <v>113</v>
      </c>
      <c r="C238" t="s">
        <v>114</v>
      </c>
      <c r="D238" s="1">
        <v>89452</v>
      </c>
      <c r="E238" s="1">
        <v>6362</v>
      </c>
      <c r="F238" s="1">
        <v>5463</v>
      </c>
      <c r="G238" s="1">
        <v>5359</v>
      </c>
      <c r="H238" s="1">
        <v>5485</v>
      </c>
      <c r="I238" s="1">
        <v>5722</v>
      </c>
      <c r="J238" s="1">
        <v>6301</v>
      </c>
      <c r="K238" s="1">
        <v>5722</v>
      </c>
      <c r="L238" s="1">
        <v>5557</v>
      </c>
      <c r="M238" s="1">
        <v>6146</v>
      </c>
      <c r="N238" s="1">
        <v>5979</v>
      </c>
      <c r="O238" s="1">
        <v>5747</v>
      </c>
      <c r="P238" s="1">
        <v>5283</v>
      </c>
      <c r="Q238" s="1">
        <v>5976</v>
      </c>
      <c r="R238" s="1">
        <v>4307</v>
      </c>
      <c r="S238" s="1">
        <v>3355</v>
      </c>
      <c r="T238" s="1">
        <v>2670</v>
      </c>
      <c r="U238" s="1">
        <v>2116</v>
      </c>
      <c r="V238" s="1">
        <v>1292</v>
      </c>
      <c r="W238">
        <v>610</v>
      </c>
      <c r="X238" s="9">
        <f>SUM(Table2[[#This Row],[Age 20 to 24]:[Age 90 and Over]])</f>
        <v>66783</v>
      </c>
      <c r="Y238" s="9">
        <f>_xlfn.XLOOKUP(Table2[[#This Row],[Area]],Referendum!E:E,Referendum!L:L,"")</f>
        <v>16704</v>
      </c>
      <c r="Z238" s="9">
        <f>_xlfn.XLOOKUP(Table2[[#This Row],[Area]],Referendum!E:E,Referendum!M:M,"")</f>
        <v>28631</v>
      </c>
      <c r="AA238" s="10">
        <f>(Table2[[#This Row],[Leave Votes]]+Table2[[#This Row],[Remain Votes]])/Table2[[#This Row],[Residents Age &gt;=20]]</f>
        <v>0.67884042346106044</v>
      </c>
      <c r="AB238" s="10">
        <f>Table2[[#This Row],[Remain Votes]]/Table2[[#This Row],[Residents Age &gt;=20]]</f>
        <v>0.25012353443241542</v>
      </c>
      <c r="AC238" s="10">
        <f>Table2[[#This Row],[Leave Votes]]/Table2[[#This Row],[Residents Age &gt;=20]]</f>
        <v>0.42871688902864502</v>
      </c>
    </row>
    <row r="239" spans="1:29" x14ac:dyDescent="0.45">
      <c r="A239" t="s">
        <v>837</v>
      </c>
      <c r="B239" t="s">
        <v>745</v>
      </c>
      <c r="C239" t="s">
        <v>746</v>
      </c>
      <c r="D239" s="1">
        <v>146700</v>
      </c>
      <c r="E239" s="1">
        <v>7300</v>
      </c>
      <c r="F239" s="1">
        <v>7300</v>
      </c>
      <c r="G239" s="1">
        <v>8700</v>
      </c>
      <c r="H239" s="1">
        <v>8700</v>
      </c>
      <c r="I239" s="1">
        <v>7500</v>
      </c>
      <c r="J239" s="1">
        <v>8100</v>
      </c>
      <c r="K239" s="1">
        <v>7600</v>
      </c>
      <c r="L239" s="1">
        <v>8400</v>
      </c>
      <c r="M239" s="1">
        <v>10700</v>
      </c>
      <c r="N239" s="1">
        <v>11700</v>
      </c>
      <c r="O239" s="1">
        <v>10600</v>
      </c>
      <c r="P239" s="1">
        <v>10000</v>
      </c>
      <c r="Q239" s="1">
        <v>10600</v>
      </c>
      <c r="R239" s="1">
        <v>8500</v>
      </c>
      <c r="S239" s="1">
        <v>7200</v>
      </c>
      <c r="T239" s="1">
        <v>5800</v>
      </c>
      <c r="U239" s="1">
        <v>8100</v>
      </c>
      <c r="X239" s="9">
        <f>SUM(Table2[[#This Row],[Age 20 to 24]:[Age 90 and Over]])</f>
        <v>114800</v>
      </c>
      <c r="Y239" s="9">
        <f>_xlfn.XLOOKUP(Table2[[#This Row],[Area]],Referendum!E:E,Referendum!L:L,"")</f>
        <v>49641</v>
      </c>
      <c r="Z239" s="9">
        <f>_xlfn.XLOOKUP(Table2[[#This Row],[Area]],Referendum!E:E,Referendum!M:M,"")</f>
        <v>31614</v>
      </c>
      <c r="AA239" s="10">
        <f>(Table2[[#This Row],[Leave Votes]]+Table2[[#This Row],[Remain Votes]])/Table2[[#This Row],[Residents Age &gt;=20]]</f>
        <v>0.70779616724738681</v>
      </c>
      <c r="AB239" s="10">
        <f>Table2[[#This Row],[Remain Votes]]/Table2[[#This Row],[Residents Age &gt;=20]]</f>
        <v>0.4324128919860627</v>
      </c>
      <c r="AC239" s="10">
        <f>Table2[[#This Row],[Leave Votes]]/Table2[[#This Row],[Residents Age &gt;=20]]</f>
        <v>0.27538327526132406</v>
      </c>
    </row>
    <row r="240" spans="1:29" x14ac:dyDescent="0.45">
      <c r="A240" t="s">
        <v>830</v>
      </c>
      <c r="B240" t="s">
        <v>317</v>
      </c>
      <c r="C240" t="s">
        <v>318</v>
      </c>
      <c r="D240" s="1">
        <v>183631</v>
      </c>
      <c r="E240" s="1">
        <v>13904</v>
      </c>
      <c r="F240" s="1">
        <v>11424</v>
      </c>
      <c r="G240" s="1">
        <v>11349</v>
      </c>
      <c r="H240" s="1">
        <v>11498</v>
      </c>
      <c r="I240" s="1">
        <v>12502</v>
      </c>
      <c r="J240" s="1">
        <v>15046</v>
      </c>
      <c r="K240" s="1">
        <v>14112</v>
      </c>
      <c r="L240" s="1">
        <v>12914</v>
      </c>
      <c r="M240" s="1">
        <v>13289</v>
      </c>
      <c r="N240" s="1">
        <v>12677</v>
      </c>
      <c r="O240" s="1">
        <v>11014</v>
      </c>
      <c r="P240" s="1">
        <v>9642</v>
      </c>
      <c r="Q240" s="1">
        <v>9382</v>
      </c>
      <c r="R240" s="1">
        <v>6909</v>
      </c>
      <c r="S240" s="1">
        <v>5792</v>
      </c>
      <c r="T240" s="1">
        <v>5026</v>
      </c>
      <c r="U240" s="1">
        <v>3803</v>
      </c>
      <c r="V240" s="1">
        <v>2258</v>
      </c>
      <c r="W240" s="1">
        <v>1090</v>
      </c>
      <c r="X240" s="9">
        <f>SUM(Table2[[#This Row],[Age 20 to 24]:[Age 90 and Over]])</f>
        <v>135456</v>
      </c>
      <c r="Y240" s="9">
        <f>_xlfn.XLOOKUP(Table2[[#This Row],[Area]],Referendum!E:E,Referendum!L:L,"")</f>
        <v>34176</v>
      </c>
      <c r="Z240" s="9">
        <f>_xlfn.XLOOKUP(Table2[[#This Row],[Area]],Referendum!E:E,Referendum!M:M,"")</f>
        <v>53216</v>
      </c>
      <c r="AA240" s="10">
        <f>(Table2[[#This Row],[Leave Votes]]+Table2[[#This Row],[Remain Votes]])/Table2[[#This Row],[Residents Age &gt;=20]]</f>
        <v>0.6451689109378691</v>
      </c>
      <c r="AB240" s="10">
        <f>Table2[[#This Row],[Remain Votes]]/Table2[[#This Row],[Residents Age &gt;=20]]</f>
        <v>0.2523033309709426</v>
      </c>
      <c r="AC240" s="10">
        <f>Table2[[#This Row],[Leave Votes]]/Table2[[#This Row],[Residents Age &gt;=20]]</f>
        <v>0.3928655799669265</v>
      </c>
    </row>
    <row r="241" spans="1:29" x14ac:dyDescent="0.45">
      <c r="A241" t="s">
        <v>830</v>
      </c>
      <c r="B241" t="s">
        <v>629</v>
      </c>
      <c r="C241" t="s">
        <v>630</v>
      </c>
      <c r="D241" s="1">
        <v>256384</v>
      </c>
      <c r="E241" s="1">
        <v>15336</v>
      </c>
      <c r="F241" s="1">
        <v>12947</v>
      </c>
      <c r="G241" s="1">
        <v>13645</v>
      </c>
      <c r="H241" s="1">
        <v>17804</v>
      </c>
      <c r="I241" s="1">
        <v>24343</v>
      </c>
      <c r="J241" s="1">
        <v>18888</v>
      </c>
      <c r="K241" s="1">
        <v>15402</v>
      </c>
      <c r="L241" s="1">
        <v>15537</v>
      </c>
      <c r="M241" s="1">
        <v>17723</v>
      </c>
      <c r="N241" s="1">
        <v>17582</v>
      </c>
      <c r="O241" s="1">
        <v>16367</v>
      </c>
      <c r="P241" s="1">
        <v>13955</v>
      </c>
      <c r="Q241" s="1">
        <v>15140</v>
      </c>
      <c r="R241" s="1">
        <v>12156</v>
      </c>
      <c r="S241" s="1">
        <v>9843</v>
      </c>
      <c r="T241" s="1">
        <v>8120</v>
      </c>
      <c r="U241" s="1">
        <v>5978</v>
      </c>
      <c r="V241" s="1">
        <v>3639</v>
      </c>
      <c r="W241" s="1">
        <v>1979</v>
      </c>
      <c r="X241" s="9">
        <f>SUM(Table2[[#This Row],[Age 20 to 24]:[Age 90 and Over]])</f>
        <v>196652</v>
      </c>
      <c r="Y241" s="9">
        <f>_xlfn.XLOOKUP(Table2[[#This Row],[Area]],Referendum!E:E,Referendum!L:L,"")</f>
        <v>53458</v>
      </c>
      <c r="Z241" s="9">
        <f>_xlfn.XLOOKUP(Table2[[#This Row],[Area]],Referendum!E:E,Referendum!M:M,"")</f>
        <v>79997</v>
      </c>
      <c r="AA241" s="10">
        <f>(Table2[[#This Row],[Leave Votes]]+Table2[[#This Row],[Remain Votes]])/Table2[[#This Row],[Residents Age &gt;=20]]</f>
        <v>0.67863535585704693</v>
      </c>
      <c r="AB241" s="10">
        <f>Table2[[#This Row],[Remain Votes]]/Table2[[#This Row],[Residents Age &gt;=20]]</f>
        <v>0.27184061184223907</v>
      </c>
      <c r="AC241" s="10">
        <f>Table2[[#This Row],[Leave Votes]]/Table2[[#This Row],[Residents Age &gt;=20]]</f>
        <v>0.40679474401480786</v>
      </c>
    </row>
    <row r="242" spans="1:29" x14ac:dyDescent="0.45">
      <c r="A242" t="s">
        <v>830</v>
      </c>
      <c r="B242" t="s">
        <v>635</v>
      </c>
      <c r="C242" t="s">
        <v>636</v>
      </c>
      <c r="D242" s="1">
        <v>147645</v>
      </c>
      <c r="E242" s="1">
        <v>8450</v>
      </c>
      <c r="F242" s="1">
        <v>7583</v>
      </c>
      <c r="G242" s="1">
        <v>7924</v>
      </c>
      <c r="H242" s="1">
        <v>8620</v>
      </c>
      <c r="I242" s="1">
        <v>8180</v>
      </c>
      <c r="J242" s="1">
        <v>8712</v>
      </c>
      <c r="K242" s="1">
        <v>8835</v>
      </c>
      <c r="L242" s="1">
        <v>9331</v>
      </c>
      <c r="M242" s="1">
        <v>10689</v>
      </c>
      <c r="N242" s="1">
        <v>11078</v>
      </c>
      <c r="O242" s="1">
        <v>9486</v>
      </c>
      <c r="P242" s="1">
        <v>8771</v>
      </c>
      <c r="Q242" s="1">
        <v>9828</v>
      </c>
      <c r="R242" s="1">
        <v>8011</v>
      </c>
      <c r="S242" s="1">
        <v>6552</v>
      </c>
      <c r="T242" s="1">
        <v>5808</v>
      </c>
      <c r="U242" s="1">
        <v>4868</v>
      </c>
      <c r="V242" s="1">
        <v>3167</v>
      </c>
      <c r="W242" s="1">
        <v>1752</v>
      </c>
      <c r="X242" s="9">
        <f>SUM(Table2[[#This Row],[Age 20 to 24]:[Age 90 and Over]])</f>
        <v>115068</v>
      </c>
      <c r="Y242" s="9">
        <f>_xlfn.XLOOKUP(Table2[[#This Row],[Area]],Referendum!E:E,Referendum!L:L,"")</f>
        <v>35741</v>
      </c>
      <c r="Z242" s="9">
        <f>_xlfn.XLOOKUP(Table2[[#This Row],[Area]],Referendum!E:E,Referendum!M:M,"")</f>
        <v>49707</v>
      </c>
      <c r="AA242" s="10">
        <f>(Table2[[#This Row],[Leave Votes]]+Table2[[#This Row],[Remain Votes]])/Table2[[#This Row],[Residents Age &gt;=20]]</f>
        <v>0.74258699203948975</v>
      </c>
      <c r="AB242" s="10">
        <f>Table2[[#This Row],[Remain Votes]]/Table2[[#This Row],[Residents Age &gt;=20]]</f>
        <v>0.31060764069941255</v>
      </c>
      <c r="AC242" s="10">
        <f>Table2[[#This Row],[Leave Votes]]/Table2[[#This Row],[Residents Age &gt;=20]]</f>
        <v>0.43197935134007714</v>
      </c>
    </row>
    <row r="243" spans="1:29" x14ac:dyDescent="0.45">
      <c r="A243" t="s">
        <v>830</v>
      </c>
      <c r="B243" t="s">
        <v>499</v>
      </c>
      <c r="C243" t="s">
        <v>500</v>
      </c>
      <c r="D243" s="1">
        <v>205056</v>
      </c>
      <c r="E243" s="1">
        <v>13548</v>
      </c>
      <c r="F243" s="1">
        <v>11031</v>
      </c>
      <c r="G243" s="1">
        <v>10927</v>
      </c>
      <c r="H243" s="1">
        <v>15956</v>
      </c>
      <c r="I243" s="1">
        <v>22761</v>
      </c>
      <c r="J243" s="1">
        <v>16991</v>
      </c>
      <c r="K243" s="1">
        <v>13860</v>
      </c>
      <c r="L243" s="1">
        <v>13384</v>
      </c>
      <c r="M243" s="1">
        <v>14280</v>
      </c>
      <c r="N243" s="1">
        <v>13848</v>
      </c>
      <c r="O243" s="1">
        <v>11926</v>
      </c>
      <c r="P243" s="1">
        <v>9312</v>
      </c>
      <c r="Q243" s="1">
        <v>9820</v>
      </c>
      <c r="R243" s="1">
        <v>7655</v>
      </c>
      <c r="S243" s="1">
        <v>6206</v>
      </c>
      <c r="T243" s="1">
        <v>5210</v>
      </c>
      <c r="U243" s="1">
        <v>4000</v>
      </c>
      <c r="V243" s="1">
        <v>2792</v>
      </c>
      <c r="W243" s="1">
        <v>1549</v>
      </c>
      <c r="X243" s="9">
        <f>SUM(Table2[[#This Row],[Age 20 to 24]:[Age 90 and Over]])</f>
        <v>153594</v>
      </c>
      <c r="Y243" s="9">
        <f>_xlfn.XLOOKUP(Table2[[#This Row],[Area]],Referendum!E:E,Referendum!L:L,"")</f>
        <v>41384</v>
      </c>
      <c r="Z243" s="9">
        <f>_xlfn.XLOOKUP(Table2[[#This Row],[Area]],Referendum!E:E,Referendum!M:M,"")</f>
        <v>57336</v>
      </c>
      <c r="AA243" s="10">
        <f>(Table2[[#This Row],[Leave Votes]]+Table2[[#This Row],[Remain Votes]])/Table2[[#This Row],[Residents Age &gt;=20]]</f>
        <v>0.64273344010833755</v>
      </c>
      <c r="AB243" s="10">
        <f>Table2[[#This Row],[Remain Votes]]/Table2[[#This Row],[Residents Age &gt;=20]]</f>
        <v>0.2694376082399052</v>
      </c>
      <c r="AC243" s="10">
        <f>Table2[[#This Row],[Leave Votes]]/Table2[[#This Row],[Residents Age &gt;=20]]</f>
        <v>0.37329583186843235</v>
      </c>
    </row>
    <row r="244" spans="1:29" x14ac:dyDescent="0.45">
      <c r="A244" t="s">
        <v>830</v>
      </c>
      <c r="B244" t="s">
        <v>775</v>
      </c>
      <c r="C244" t="s">
        <v>776</v>
      </c>
      <c r="D244" s="1">
        <v>132976</v>
      </c>
      <c r="E244" s="1">
        <v>6582</v>
      </c>
      <c r="F244" s="1">
        <v>6640</v>
      </c>
      <c r="G244" s="1">
        <v>7947</v>
      </c>
      <c r="H244" s="1">
        <v>7967</v>
      </c>
      <c r="I244" s="1">
        <v>6465</v>
      </c>
      <c r="J244" s="1">
        <v>5877</v>
      </c>
      <c r="K244" s="1">
        <v>5843</v>
      </c>
      <c r="L244" s="1">
        <v>6975</v>
      </c>
      <c r="M244" s="1">
        <v>9000</v>
      </c>
      <c r="N244" s="1">
        <v>9971</v>
      </c>
      <c r="O244" s="1">
        <v>9221</v>
      </c>
      <c r="P244" s="1">
        <v>9378</v>
      </c>
      <c r="Q244" s="1">
        <v>10864</v>
      </c>
      <c r="R244" s="1">
        <v>9087</v>
      </c>
      <c r="S244" s="1">
        <v>7145</v>
      </c>
      <c r="T244" s="1">
        <v>5715</v>
      </c>
      <c r="U244" s="1">
        <v>4211</v>
      </c>
      <c r="V244" s="1">
        <v>2685</v>
      </c>
      <c r="W244" s="1">
        <v>1403</v>
      </c>
      <c r="X244" s="9">
        <f>SUM(Table2[[#This Row],[Age 20 to 24]:[Age 90 and Over]])</f>
        <v>103840</v>
      </c>
      <c r="Y244" s="9">
        <f>_xlfn.XLOOKUP(Table2[[#This Row],[Area]],Referendum!E:E,Referendum!L:L,"")</f>
        <v>36762</v>
      </c>
      <c r="Z244" s="9">
        <f>_xlfn.XLOOKUP(Table2[[#This Row],[Area]],Referendum!E:E,Referendum!M:M,"")</f>
        <v>42707</v>
      </c>
      <c r="AA244" s="10">
        <f>(Table2[[#This Row],[Leave Votes]]+Table2[[#This Row],[Remain Votes]])/Table2[[#This Row],[Residents Age &gt;=20]]</f>
        <v>0.76530238828967645</v>
      </c>
      <c r="AB244" s="10">
        <f>Table2[[#This Row],[Remain Votes]]/Table2[[#This Row],[Residents Age &gt;=20]]</f>
        <v>0.35402542372881357</v>
      </c>
      <c r="AC244" s="10">
        <f>Table2[[#This Row],[Leave Votes]]/Table2[[#This Row],[Residents Age &gt;=20]]</f>
        <v>0.41127696456086288</v>
      </c>
    </row>
    <row r="245" spans="1:29" x14ac:dyDescent="0.45">
      <c r="A245" t="s">
        <v>830</v>
      </c>
      <c r="B245" t="s">
        <v>115</v>
      </c>
      <c r="C245" t="s">
        <v>116</v>
      </c>
      <c r="D245" s="1">
        <v>140202</v>
      </c>
      <c r="E245" s="1">
        <v>9323</v>
      </c>
      <c r="F245" s="1">
        <v>7938</v>
      </c>
      <c r="G245" s="1">
        <v>7940</v>
      </c>
      <c r="H245" s="1">
        <v>10449</v>
      </c>
      <c r="I245" s="1">
        <v>14062</v>
      </c>
      <c r="J245" s="1">
        <v>10750</v>
      </c>
      <c r="K245" s="1">
        <v>9322</v>
      </c>
      <c r="L245" s="1">
        <v>9048</v>
      </c>
      <c r="M245" s="1">
        <v>9746</v>
      </c>
      <c r="N245" s="1">
        <v>9730</v>
      </c>
      <c r="O245" s="1">
        <v>8396</v>
      </c>
      <c r="P245" s="1">
        <v>7168</v>
      </c>
      <c r="Q245" s="1">
        <v>7084</v>
      </c>
      <c r="R245" s="1">
        <v>5303</v>
      </c>
      <c r="S245" s="1">
        <v>4606</v>
      </c>
      <c r="T245" s="1">
        <v>3925</v>
      </c>
      <c r="U245" s="1">
        <v>2863</v>
      </c>
      <c r="V245" s="1">
        <v>1748</v>
      </c>
      <c r="W245">
        <v>801</v>
      </c>
      <c r="X245" s="9">
        <f>SUM(Table2[[#This Row],[Age 20 to 24]:[Age 90 and Over]])</f>
        <v>104552</v>
      </c>
      <c r="Y245" s="9">
        <f>_xlfn.XLOOKUP(Table2[[#This Row],[Area]],Referendum!E:E,Referendum!L:L,"")</f>
        <v>30227</v>
      </c>
      <c r="Z245" s="9">
        <f>_xlfn.XLOOKUP(Table2[[#This Row],[Area]],Referendum!E:E,Referendum!M:M,"")</f>
        <v>34518</v>
      </c>
      <c r="AA245" s="10">
        <f>(Table2[[#This Row],[Leave Votes]]+Table2[[#This Row],[Remain Votes]])/Table2[[#This Row],[Residents Age &gt;=20]]</f>
        <v>0.61926122886219293</v>
      </c>
      <c r="AB245" s="10">
        <f>Table2[[#This Row],[Remain Votes]]/Table2[[#This Row],[Residents Age &gt;=20]]</f>
        <v>0.28910972530415485</v>
      </c>
      <c r="AC245" s="10">
        <f>Table2[[#This Row],[Leave Votes]]/Table2[[#This Row],[Residents Age &gt;=20]]</f>
        <v>0.33015150355803813</v>
      </c>
    </row>
    <row r="246" spans="1:29" x14ac:dyDescent="0.45">
      <c r="A246" t="s">
        <v>830</v>
      </c>
      <c r="B246" t="s">
        <v>663</v>
      </c>
      <c r="C246" t="s">
        <v>664</v>
      </c>
      <c r="D246" s="1">
        <v>44973</v>
      </c>
      <c r="E246" s="1">
        <v>2114</v>
      </c>
      <c r="F246" s="1">
        <v>2214</v>
      </c>
      <c r="G246" s="1">
        <v>2428</v>
      </c>
      <c r="H246" s="1">
        <v>2534</v>
      </c>
      <c r="I246" s="1">
        <v>2165</v>
      </c>
      <c r="J246" s="1">
        <v>1998</v>
      </c>
      <c r="K246" s="1">
        <v>1991</v>
      </c>
      <c r="L246" s="1">
        <v>2370</v>
      </c>
      <c r="M246" s="1">
        <v>3024</v>
      </c>
      <c r="N246" s="1">
        <v>3285</v>
      </c>
      <c r="O246" s="1">
        <v>3197</v>
      </c>
      <c r="P246" s="1">
        <v>2983</v>
      </c>
      <c r="Q246" s="1">
        <v>3723</v>
      </c>
      <c r="R246" s="1">
        <v>3231</v>
      </c>
      <c r="S246" s="1">
        <v>2417</v>
      </c>
      <c r="T246" s="1">
        <v>2146</v>
      </c>
      <c r="U246" s="1">
        <v>1621</v>
      </c>
      <c r="V246" s="1">
        <v>1038</v>
      </c>
      <c r="W246">
        <v>494</v>
      </c>
      <c r="X246" s="9">
        <f>SUM(Table2[[#This Row],[Age 20 to 24]:[Age 90 and Over]])</f>
        <v>35683</v>
      </c>
      <c r="Y246" s="9">
        <f>_xlfn.XLOOKUP(Table2[[#This Row],[Area]],Referendum!E:E,Referendum!L:L,"")</f>
        <v>11754</v>
      </c>
      <c r="Z246" s="9">
        <f>_xlfn.XLOOKUP(Table2[[#This Row],[Area]],Referendum!E:E,Referendum!M:M,"")</f>
        <v>16966</v>
      </c>
      <c r="AA246" s="10">
        <f>(Table2[[#This Row],[Leave Votes]]+Table2[[#This Row],[Remain Votes]])/Table2[[#This Row],[Residents Age &gt;=20]]</f>
        <v>0.80486506179413164</v>
      </c>
      <c r="AB246" s="10">
        <f>Table2[[#This Row],[Remain Votes]]/Table2[[#This Row],[Residents Age &gt;=20]]</f>
        <v>0.32940055488608022</v>
      </c>
      <c r="AC246" s="10">
        <f>Table2[[#This Row],[Leave Votes]]/Table2[[#This Row],[Residents Age &gt;=20]]</f>
        <v>0.47546450690805148</v>
      </c>
    </row>
    <row r="247" spans="1:29" x14ac:dyDescent="0.45">
      <c r="A247" t="s">
        <v>830</v>
      </c>
      <c r="B247" t="s">
        <v>487</v>
      </c>
      <c r="C247" t="s">
        <v>488</v>
      </c>
      <c r="D247" s="1">
        <v>155698</v>
      </c>
      <c r="E247" s="1">
        <v>11937</v>
      </c>
      <c r="F247" s="1">
        <v>8556</v>
      </c>
      <c r="G247" s="1">
        <v>7968</v>
      </c>
      <c r="H247" s="1">
        <v>9809</v>
      </c>
      <c r="I247" s="1">
        <v>14574</v>
      </c>
      <c r="J247" s="1">
        <v>15113</v>
      </c>
      <c r="K247" s="1">
        <v>15244</v>
      </c>
      <c r="L247" s="1">
        <v>12158</v>
      </c>
      <c r="M247" s="1">
        <v>11104</v>
      </c>
      <c r="N247" s="1">
        <v>9910</v>
      </c>
      <c r="O247" s="1">
        <v>8269</v>
      </c>
      <c r="P247" s="1">
        <v>6851</v>
      </c>
      <c r="Q247" s="1">
        <v>6373</v>
      </c>
      <c r="R247" s="1">
        <v>4902</v>
      </c>
      <c r="S247" s="1">
        <v>4156</v>
      </c>
      <c r="T247" s="1">
        <v>3396</v>
      </c>
      <c r="U247" s="1">
        <v>2736</v>
      </c>
      <c r="V247" s="1">
        <v>1704</v>
      </c>
      <c r="W247">
        <v>938</v>
      </c>
      <c r="X247" s="9">
        <f>SUM(Table2[[#This Row],[Age 20 to 24]:[Age 90 and Over]])</f>
        <v>117428</v>
      </c>
      <c r="Y247" s="9">
        <f>_xlfn.XLOOKUP(Table2[[#This Row],[Area]],Referendum!E:E,Referendum!L:L,"")</f>
        <v>43385</v>
      </c>
      <c r="Z247" s="9">
        <f>_xlfn.XLOOKUP(Table2[[#This Row],[Area]],Referendum!E:E,Referendum!M:M,"")</f>
        <v>31382</v>
      </c>
      <c r="AA247" s="10">
        <f>(Table2[[#This Row],[Leave Votes]]+Table2[[#This Row],[Remain Votes]])/Table2[[#This Row],[Residents Age &gt;=20]]</f>
        <v>0.63670504479340528</v>
      </c>
      <c r="AB247" s="10">
        <f>Table2[[#This Row],[Remain Votes]]/Table2[[#This Row],[Residents Age &gt;=20]]</f>
        <v>0.36946043533058553</v>
      </c>
      <c r="AC247" s="10">
        <f>Table2[[#This Row],[Leave Votes]]/Table2[[#This Row],[Residents Age &gt;=20]]</f>
        <v>0.26724460946281975</v>
      </c>
    </row>
    <row r="248" spans="1:29" x14ac:dyDescent="0.45">
      <c r="A248" t="s">
        <v>830</v>
      </c>
      <c r="B248" t="s">
        <v>463</v>
      </c>
      <c r="C248" t="s">
        <v>464</v>
      </c>
      <c r="D248" s="1">
        <v>278970</v>
      </c>
      <c r="E248" s="1">
        <v>21666</v>
      </c>
      <c r="F248" s="1">
        <v>18924</v>
      </c>
      <c r="G248" s="1">
        <v>18579</v>
      </c>
      <c r="H248" s="1">
        <v>17937</v>
      </c>
      <c r="I248" s="1">
        <v>18894</v>
      </c>
      <c r="J248" s="1">
        <v>23814</v>
      </c>
      <c r="K248" s="1">
        <v>23935</v>
      </c>
      <c r="L248" s="1">
        <v>20642</v>
      </c>
      <c r="M248" s="1">
        <v>19654</v>
      </c>
      <c r="N248" s="1">
        <v>18561</v>
      </c>
      <c r="O248" s="1">
        <v>16456</v>
      </c>
      <c r="P248" s="1">
        <v>13945</v>
      </c>
      <c r="Q248" s="1">
        <v>12578</v>
      </c>
      <c r="R248" s="1">
        <v>9165</v>
      </c>
      <c r="S248" s="1">
        <v>7652</v>
      </c>
      <c r="T248" s="1">
        <v>6449</v>
      </c>
      <c r="U248" s="1">
        <v>5104</v>
      </c>
      <c r="V248" s="1">
        <v>3225</v>
      </c>
      <c r="W248" s="1">
        <v>1790</v>
      </c>
      <c r="X248" s="9">
        <f>SUM(Table2[[#This Row],[Age 20 to 24]:[Age 90 and Over]])</f>
        <v>201864</v>
      </c>
      <c r="Y248" s="9">
        <f>_xlfn.XLOOKUP(Table2[[#This Row],[Area]],Referendum!E:E,Referendum!L:L,"")</f>
        <v>69213</v>
      </c>
      <c r="Z248" s="9">
        <f>_xlfn.XLOOKUP(Table2[[#This Row],[Area]],Referendum!E:E,Referendum!M:M,"")</f>
        <v>59020</v>
      </c>
      <c r="AA248" s="10">
        <f>(Table2[[#This Row],[Leave Votes]]+Table2[[#This Row],[Remain Votes]])/Table2[[#This Row],[Residents Age &gt;=20]]</f>
        <v>0.63524452106368645</v>
      </c>
      <c r="AB248" s="10">
        <f>Table2[[#This Row],[Remain Votes]]/Table2[[#This Row],[Residents Age &gt;=20]]</f>
        <v>0.34286945666389251</v>
      </c>
      <c r="AC248" s="10">
        <f>Table2[[#This Row],[Leave Votes]]/Table2[[#This Row],[Residents Age &gt;=20]]</f>
        <v>0.29237506439979394</v>
      </c>
    </row>
    <row r="249" spans="1:29" x14ac:dyDescent="0.45">
      <c r="A249" t="s">
        <v>830</v>
      </c>
      <c r="B249" t="s">
        <v>37</v>
      </c>
      <c r="C249" t="s">
        <v>38</v>
      </c>
      <c r="D249" s="1">
        <v>135177</v>
      </c>
      <c r="E249" s="1">
        <v>7553</v>
      </c>
      <c r="F249" s="1">
        <v>7098</v>
      </c>
      <c r="G249" s="1">
        <v>7803</v>
      </c>
      <c r="H249" s="1">
        <v>8835</v>
      </c>
      <c r="I249" s="1">
        <v>8092</v>
      </c>
      <c r="J249" s="1">
        <v>7628</v>
      </c>
      <c r="K249" s="1">
        <v>6987</v>
      </c>
      <c r="L249" s="1">
        <v>7654</v>
      </c>
      <c r="M249" s="1">
        <v>9479</v>
      </c>
      <c r="N249" s="1">
        <v>10398</v>
      </c>
      <c r="O249" s="1">
        <v>9429</v>
      </c>
      <c r="P249" s="1">
        <v>8458</v>
      </c>
      <c r="Q249" s="1">
        <v>9511</v>
      </c>
      <c r="R249" s="1">
        <v>7776</v>
      </c>
      <c r="S249" s="1">
        <v>6642</v>
      </c>
      <c r="T249" s="1">
        <v>5017</v>
      </c>
      <c r="U249" s="1">
        <v>3704</v>
      </c>
      <c r="V249" s="1">
        <v>2133</v>
      </c>
      <c r="W249">
        <v>980</v>
      </c>
      <c r="X249" s="9">
        <f>SUM(Table2[[#This Row],[Age 20 to 24]:[Age 90 and Over]])</f>
        <v>103888</v>
      </c>
      <c r="Y249" s="9">
        <f>_xlfn.XLOOKUP(Table2[[#This Row],[Area]],Referendum!E:E,Referendum!L:L,"")</f>
        <v>24586</v>
      </c>
      <c r="Z249" s="9">
        <f>_xlfn.XLOOKUP(Table2[[#This Row],[Area]],Referendum!E:E,Referendum!M:M,"")</f>
        <v>48128</v>
      </c>
      <c r="AA249" s="10">
        <f>(Table2[[#This Row],[Leave Votes]]+Table2[[#This Row],[Remain Votes]])/Table2[[#This Row],[Residents Age &gt;=20]]</f>
        <v>0.69992684429385488</v>
      </c>
      <c r="AB249" s="10">
        <f>Table2[[#This Row],[Remain Votes]]/Table2[[#This Row],[Residents Age &gt;=20]]</f>
        <v>0.23665870937933159</v>
      </c>
      <c r="AC249" s="10">
        <f>Table2[[#This Row],[Leave Votes]]/Table2[[#This Row],[Residents Age &gt;=20]]</f>
        <v>0.46326813491452334</v>
      </c>
    </row>
    <row r="250" spans="1:29" x14ac:dyDescent="0.45">
      <c r="A250" t="s">
        <v>830</v>
      </c>
      <c r="B250" t="s">
        <v>307</v>
      </c>
      <c r="C250" t="s">
        <v>308</v>
      </c>
      <c r="D250" s="1">
        <v>84214</v>
      </c>
      <c r="E250" s="1">
        <v>5629</v>
      </c>
      <c r="F250" s="1">
        <v>4886</v>
      </c>
      <c r="G250" s="1">
        <v>4996</v>
      </c>
      <c r="H250" s="1">
        <v>5076</v>
      </c>
      <c r="I250" s="1">
        <v>5175</v>
      </c>
      <c r="J250" s="1">
        <v>5995</v>
      </c>
      <c r="K250" s="1">
        <v>6022</v>
      </c>
      <c r="L250" s="1">
        <v>5904</v>
      </c>
      <c r="M250" s="1">
        <v>6042</v>
      </c>
      <c r="N250" s="1">
        <v>5901</v>
      </c>
      <c r="O250" s="1">
        <v>5470</v>
      </c>
      <c r="P250" s="1">
        <v>5618</v>
      </c>
      <c r="Q250" s="1">
        <v>5616</v>
      </c>
      <c r="R250" s="1">
        <v>4052</v>
      </c>
      <c r="S250" s="1">
        <v>2699</v>
      </c>
      <c r="T250" s="1">
        <v>2046</v>
      </c>
      <c r="U250" s="1">
        <v>1603</v>
      </c>
      <c r="V250">
        <v>986</v>
      </c>
      <c r="W250">
        <v>498</v>
      </c>
      <c r="X250" s="9">
        <f>SUM(Table2[[#This Row],[Age 20 to 24]:[Age 90 and Over]])</f>
        <v>63627</v>
      </c>
      <c r="Y250" s="9">
        <f>_xlfn.XLOOKUP(Table2[[#This Row],[Area]],Referendum!E:E,Referendum!L:L,"")</f>
        <v>17303</v>
      </c>
      <c r="Z250" s="9">
        <f>_xlfn.XLOOKUP(Table2[[#This Row],[Area]],Referendum!E:E,Referendum!M:M,"")</f>
        <v>28579</v>
      </c>
      <c r="AA250" s="10">
        <f>(Table2[[#This Row],[Leave Votes]]+Table2[[#This Row],[Remain Votes]])/Table2[[#This Row],[Residents Age &gt;=20]]</f>
        <v>0.72110896317601014</v>
      </c>
      <c r="AB250" s="10">
        <f>Table2[[#This Row],[Remain Votes]]/Table2[[#This Row],[Residents Age &gt;=20]]</f>
        <v>0.27194430037562672</v>
      </c>
      <c r="AC250" s="10">
        <f>Table2[[#This Row],[Leave Votes]]/Table2[[#This Row],[Residents Age &gt;=20]]</f>
        <v>0.44916466280038347</v>
      </c>
    </row>
    <row r="251" spans="1:29" x14ac:dyDescent="0.45">
      <c r="A251" t="s">
        <v>830</v>
      </c>
      <c r="B251" t="s">
        <v>587</v>
      </c>
      <c r="C251" t="s">
        <v>588</v>
      </c>
      <c r="D251" s="1">
        <v>137835</v>
      </c>
      <c r="E251" s="1">
        <v>9153</v>
      </c>
      <c r="F251" s="1">
        <v>8091</v>
      </c>
      <c r="G251" s="1">
        <v>8218</v>
      </c>
      <c r="H251" s="1">
        <v>7676</v>
      </c>
      <c r="I251" s="1">
        <v>6965</v>
      </c>
      <c r="J251" s="1">
        <v>8147</v>
      </c>
      <c r="K251" s="1">
        <v>9676</v>
      </c>
      <c r="L251" s="1">
        <v>10118</v>
      </c>
      <c r="M251" s="1">
        <v>10703</v>
      </c>
      <c r="N251" s="1">
        <v>10946</v>
      </c>
      <c r="O251" s="1">
        <v>9110</v>
      </c>
      <c r="P251" s="1">
        <v>7833</v>
      </c>
      <c r="Q251" s="1">
        <v>8466</v>
      </c>
      <c r="R251" s="1">
        <v>6263</v>
      </c>
      <c r="S251" s="1">
        <v>4918</v>
      </c>
      <c r="T251" s="1">
        <v>4282</v>
      </c>
      <c r="U251" s="1">
        <v>3419</v>
      </c>
      <c r="V251" s="1">
        <v>2427</v>
      </c>
      <c r="W251" s="1">
        <v>1424</v>
      </c>
      <c r="X251" s="9">
        <f>SUM(Table2[[#This Row],[Age 20 to 24]:[Age 90 and Over]])</f>
        <v>104697</v>
      </c>
      <c r="Y251" s="9">
        <f>_xlfn.XLOOKUP(Table2[[#This Row],[Area]],Referendum!E:E,Referendum!L:L,"")</f>
        <v>40181</v>
      </c>
      <c r="Z251" s="9">
        <f>_xlfn.XLOOKUP(Table2[[#This Row],[Area]],Referendum!E:E,Referendum!M:M,"")</f>
        <v>40980</v>
      </c>
      <c r="AA251" s="10">
        <f>(Table2[[#This Row],[Leave Votes]]+Table2[[#This Row],[Remain Votes]])/Table2[[#This Row],[Residents Age &gt;=20]]</f>
        <v>0.77519890732303698</v>
      </c>
      <c r="AB251" s="10">
        <f>Table2[[#This Row],[Remain Votes]]/Table2[[#This Row],[Residents Age &gt;=20]]</f>
        <v>0.38378368052570749</v>
      </c>
      <c r="AC251" s="10">
        <f>Table2[[#This Row],[Leave Votes]]/Table2[[#This Row],[Residents Age &gt;=20]]</f>
        <v>0.39141522679732943</v>
      </c>
    </row>
    <row r="252" spans="1:29" x14ac:dyDescent="0.45">
      <c r="A252" t="s">
        <v>837</v>
      </c>
      <c r="B252" t="s">
        <v>747</v>
      </c>
      <c r="C252" t="s">
        <v>748</v>
      </c>
      <c r="D252" s="1">
        <v>174900</v>
      </c>
      <c r="E252" s="1">
        <v>9600</v>
      </c>
      <c r="F252" s="1">
        <v>9100</v>
      </c>
      <c r="G252" s="1">
        <v>9900</v>
      </c>
      <c r="H252" s="1">
        <v>10800</v>
      </c>
      <c r="I252" s="1">
        <v>11000</v>
      </c>
      <c r="J252" s="1">
        <v>10700</v>
      </c>
      <c r="K252" s="1">
        <v>10100</v>
      </c>
      <c r="L252" s="1">
        <v>10900</v>
      </c>
      <c r="M252" s="1">
        <v>13700</v>
      </c>
      <c r="N252" s="1">
        <v>14400</v>
      </c>
      <c r="O252" s="1">
        <v>13200</v>
      </c>
      <c r="P252" s="1">
        <v>11000</v>
      </c>
      <c r="Q252" s="1">
        <v>11000</v>
      </c>
      <c r="R252" s="1">
        <v>8700</v>
      </c>
      <c r="S252" s="1">
        <v>7500</v>
      </c>
      <c r="T252" s="1">
        <v>5900</v>
      </c>
      <c r="U252" s="1">
        <v>7400</v>
      </c>
      <c r="X252" s="9">
        <f>SUM(Table2[[#This Row],[Age 20 to 24]:[Age 90 and Over]])</f>
        <v>135500</v>
      </c>
      <c r="Y252" s="9">
        <f>_xlfn.XLOOKUP(Table2[[#This Row],[Area]],Referendum!E:E,Referendum!L:L,"")</f>
        <v>57119</v>
      </c>
      <c r="Z252" s="9">
        <f>_xlfn.XLOOKUP(Table2[[#This Row],[Area]],Referendum!E:E,Referendum!M:M,"")</f>
        <v>31010</v>
      </c>
      <c r="AA252" s="10">
        <f>(Table2[[#This Row],[Leave Votes]]+Table2[[#This Row],[Remain Votes]])/Table2[[#This Row],[Residents Age &gt;=20]]</f>
        <v>0.6503985239852399</v>
      </c>
      <c r="AB252" s="10">
        <f>Table2[[#This Row],[Remain Votes]]/Table2[[#This Row],[Residents Age &gt;=20]]</f>
        <v>0.42154243542435427</v>
      </c>
      <c r="AC252" s="10">
        <f>Table2[[#This Row],[Leave Votes]]/Table2[[#This Row],[Residents Age &gt;=20]]</f>
        <v>0.2288560885608856</v>
      </c>
    </row>
    <row r="253" spans="1:29" x14ac:dyDescent="0.45">
      <c r="A253" t="s">
        <v>830</v>
      </c>
      <c r="B253" t="s">
        <v>791</v>
      </c>
      <c r="C253" t="s">
        <v>792</v>
      </c>
      <c r="D253" s="1">
        <v>234410</v>
      </c>
      <c r="E253" s="1">
        <v>14449</v>
      </c>
      <c r="F253" s="1">
        <v>13140</v>
      </c>
      <c r="G253" s="1">
        <v>13885</v>
      </c>
      <c r="H253" s="1">
        <v>14882</v>
      </c>
      <c r="I253" s="1">
        <v>16178</v>
      </c>
      <c r="J253" s="1">
        <v>14818</v>
      </c>
      <c r="K253" s="1">
        <v>14131</v>
      </c>
      <c r="L253" s="1">
        <v>14623</v>
      </c>
      <c r="M253" s="1">
        <v>16884</v>
      </c>
      <c r="N253" s="1">
        <v>16796</v>
      </c>
      <c r="O253" s="1">
        <v>15244</v>
      </c>
      <c r="P253" s="1">
        <v>13854</v>
      </c>
      <c r="Q253" s="1">
        <v>15453</v>
      </c>
      <c r="R253" s="1">
        <v>12186</v>
      </c>
      <c r="S253" s="1">
        <v>9818</v>
      </c>
      <c r="T253" s="1">
        <v>7706</v>
      </c>
      <c r="U253" s="1">
        <v>5304</v>
      </c>
      <c r="V253" s="1">
        <v>3383</v>
      </c>
      <c r="W253" s="1">
        <v>1676</v>
      </c>
      <c r="X253" s="9">
        <f>SUM(Table2[[#This Row],[Age 20 to 24]:[Age 90 and Over]])</f>
        <v>178054</v>
      </c>
      <c r="Y253" s="9">
        <f>_xlfn.XLOOKUP(Table2[[#This Row],[Area]],Referendum!E:E,Referendum!L:L,"")</f>
        <v>53973</v>
      </c>
      <c r="Z253" s="9">
        <f>_xlfn.XLOOKUP(Table2[[#This Row],[Area]],Referendum!E:E,Referendum!M:M,"")</f>
        <v>62590</v>
      </c>
      <c r="AA253" s="10">
        <f>(Table2[[#This Row],[Leave Votes]]+Table2[[#This Row],[Remain Votes]])/Table2[[#This Row],[Residents Age &gt;=20]]</f>
        <v>0.65464971300841313</v>
      </c>
      <c r="AB253" s="10">
        <f>Table2[[#This Row],[Remain Votes]]/Table2[[#This Row],[Residents Age &gt;=20]]</f>
        <v>0.30312714120435374</v>
      </c>
      <c r="AC253" s="10">
        <f>Table2[[#This Row],[Leave Votes]]/Table2[[#This Row],[Residents Age &gt;=20]]</f>
        <v>0.35152257180405944</v>
      </c>
    </row>
    <row r="254" spans="1:29" x14ac:dyDescent="0.45">
      <c r="A254" t="s">
        <v>830</v>
      </c>
      <c r="B254" t="s">
        <v>117</v>
      </c>
      <c r="C254" t="s">
        <v>118</v>
      </c>
      <c r="D254" s="1">
        <v>57132</v>
      </c>
      <c r="E254" s="1">
        <v>2881</v>
      </c>
      <c r="F254" s="1">
        <v>3103</v>
      </c>
      <c r="G254" s="1">
        <v>3805</v>
      </c>
      <c r="H254" s="1">
        <v>3558</v>
      </c>
      <c r="I254" s="1">
        <v>2685</v>
      </c>
      <c r="J254" s="1">
        <v>2414</v>
      </c>
      <c r="K254" s="1">
        <v>2361</v>
      </c>
      <c r="L254" s="1">
        <v>3356</v>
      </c>
      <c r="M254" s="1">
        <v>4456</v>
      </c>
      <c r="N254" s="1">
        <v>4750</v>
      </c>
      <c r="O254" s="1">
        <v>4223</v>
      </c>
      <c r="P254" s="1">
        <v>3758</v>
      </c>
      <c r="Q254" s="1">
        <v>4251</v>
      </c>
      <c r="R254" s="1">
        <v>3497</v>
      </c>
      <c r="S254" s="1">
        <v>2767</v>
      </c>
      <c r="T254" s="1">
        <v>2216</v>
      </c>
      <c r="U254" s="1">
        <v>1572</v>
      </c>
      <c r="V254">
        <v>965</v>
      </c>
      <c r="W254">
        <v>514</v>
      </c>
      <c r="X254" s="9">
        <f>SUM(Table2[[#This Row],[Age 20 to 24]:[Age 90 and Over]])</f>
        <v>43785</v>
      </c>
      <c r="Y254" s="9">
        <f>_xlfn.XLOOKUP(Table2[[#This Row],[Area]],Referendum!E:E,Referendum!L:L,"")</f>
        <v>15892</v>
      </c>
      <c r="Z254" s="9">
        <f>_xlfn.XLOOKUP(Table2[[#This Row],[Area]],Referendum!E:E,Referendum!M:M,"")</f>
        <v>20550</v>
      </c>
      <c r="AA254" s="10">
        <f>(Table2[[#This Row],[Leave Votes]]+Table2[[#This Row],[Remain Votes]])/Table2[[#This Row],[Residents Age &gt;=20]]</f>
        <v>0.83229416466826533</v>
      </c>
      <c r="AB254" s="10">
        <f>Table2[[#This Row],[Remain Votes]]/Table2[[#This Row],[Residents Age &gt;=20]]</f>
        <v>0.36295535000570972</v>
      </c>
      <c r="AC254" s="10">
        <f>Table2[[#This Row],[Leave Votes]]/Table2[[#This Row],[Residents Age &gt;=20]]</f>
        <v>0.46933881466255567</v>
      </c>
    </row>
    <row r="255" spans="1:29" x14ac:dyDescent="0.45">
      <c r="A255" t="s">
        <v>830</v>
      </c>
      <c r="B255" t="s">
        <v>465</v>
      </c>
      <c r="C255" t="s">
        <v>466</v>
      </c>
      <c r="D255" s="1">
        <v>186990</v>
      </c>
      <c r="E255" s="1">
        <v>14038</v>
      </c>
      <c r="F255" s="1">
        <v>11107</v>
      </c>
      <c r="G255" s="1">
        <v>9827</v>
      </c>
      <c r="H255" s="1">
        <v>9085</v>
      </c>
      <c r="I255" s="1">
        <v>9145</v>
      </c>
      <c r="J255" s="1">
        <v>12546</v>
      </c>
      <c r="K255" s="1">
        <v>16026</v>
      </c>
      <c r="L255" s="1">
        <v>17433</v>
      </c>
      <c r="M255" s="1">
        <v>15937</v>
      </c>
      <c r="N255" s="1">
        <v>14536</v>
      </c>
      <c r="O255" s="1">
        <v>11805</v>
      </c>
      <c r="P255" s="1">
        <v>10067</v>
      </c>
      <c r="Q255" s="1">
        <v>10142</v>
      </c>
      <c r="R255" s="1">
        <v>7406</v>
      </c>
      <c r="S255" s="1">
        <v>5617</v>
      </c>
      <c r="T255" s="1">
        <v>4525</v>
      </c>
      <c r="U255" s="1">
        <v>3709</v>
      </c>
      <c r="V255" s="1">
        <v>2503</v>
      </c>
      <c r="W255" s="1">
        <v>1536</v>
      </c>
      <c r="X255" s="9">
        <f>SUM(Table2[[#This Row],[Age 20 to 24]:[Age 90 and Over]])</f>
        <v>142933</v>
      </c>
      <c r="Y255" s="9">
        <f>_xlfn.XLOOKUP(Table2[[#This Row],[Area]],Referendum!E:E,Referendum!L:L,"")</f>
        <v>75396</v>
      </c>
      <c r="Z255" s="9">
        <f>_xlfn.XLOOKUP(Table2[[#This Row],[Area]],Referendum!E:E,Referendum!M:M,"")</f>
        <v>33410</v>
      </c>
      <c r="AA255" s="10">
        <f>(Table2[[#This Row],[Leave Votes]]+Table2[[#This Row],[Remain Votes]])/Table2[[#This Row],[Residents Age &gt;=20]]</f>
        <v>0.76123778273736642</v>
      </c>
      <c r="AB255" s="10">
        <f>Table2[[#This Row],[Remain Votes]]/Table2[[#This Row],[Residents Age &gt;=20]]</f>
        <v>0.52749190180014416</v>
      </c>
      <c r="AC255" s="10">
        <f>Table2[[#This Row],[Leave Votes]]/Table2[[#This Row],[Residents Age &gt;=20]]</f>
        <v>0.23374588093722234</v>
      </c>
    </row>
    <row r="256" spans="1:29" x14ac:dyDescent="0.45">
      <c r="A256" t="s">
        <v>830</v>
      </c>
      <c r="B256" t="s">
        <v>163</v>
      </c>
      <c r="C256" t="s">
        <v>164</v>
      </c>
      <c r="D256" s="1">
        <v>51965</v>
      </c>
      <c r="E256" s="1">
        <v>2910</v>
      </c>
      <c r="F256" s="1">
        <v>2810</v>
      </c>
      <c r="G256" s="1">
        <v>2949</v>
      </c>
      <c r="H256" s="1">
        <v>3529</v>
      </c>
      <c r="I256" s="1">
        <v>4252</v>
      </c>
      <c r="J256" s="1">
        <v>3467</v>
      </c>
      <c r="K256" s="1">
        <v>2751</v>
      </c>
      <c r="L256" s="1">
        <v>2964</v>
      </c>
      <c r="M256" s="1">
        <v>3654</v>
      </c>
      <c r="N256" s="1">
        <v>3667</v>
      </c>
      <c r="O256" s="1">
        <v>3329</v>
      </c>
      <c r="P256" s="1">
        <v>3064</v>
      </c>
      <c r="Q256" s="1">
        <v>3543</v>
      </c>
      <c r="R256" s="1">
        <v>2797</v>
      </c>
      <c r="S256" s="1">
        <v>2233</v>
      </c>
      <c r="T256" s="1">
        <v>1730</v>
      </c>
      <c r="U256" s="1">
        <v>1212</v>
      </c>
      <c r="V256">
        <v>717</v>
      </c>
      <c r="W256">
        <v>387</v>
      </c>
      <c r="X256" s="9">
        <f>SUM(Table2[[#This Row],[Age 20 to 24]:[Age 90 and Over]])</f>
        <v>39767</v>
      </c>
      <c r="Y256" s="9">
        <f>_xlfn.XLOOKUP(Table2[[#This Row],[Area]],Referendum!E:E,Referendum!L:L,"")</f>
        <v>11945</v>
      </c>
      <c r="Z256" s="9">
        <f>_xlfn.XLOOKUP(Table2[[#This Row],[Area]],Referendum!E:E,Referendum!M:M,"")</f>
        <v>15691</v>
      </c>
      <c r="AA256" s="10">
        <f>(Table2[[#This Row],[Leave Votes]]+Table2[[#This Row],[Remain Votes]])/Table2[[#This Row],[Residents Age &gt;=20]]</f>
        <v>0.69494807252244328</v>
      </c>
      <c r="AB256" s="10">
        <f>Table2[[#This Row],[Remain Votes]]/Table2[[#This Row],[Residents Age &gt;=20]]</f>
        <v>0.30037468252571226</v>
      </c>
      <c r="AC256" s="10">
        <f>Table2[[#This Row],[Leave Votes]]/Table2[[#This Row],[Residents Age &gt;=20]]</f>
        <v>0.39457338999673097</v>
      </c>
    </row>
    <row r="257" spans="1:29" x14ac:dyDescent="0.45">
      <c r="A257" t="s">
        <v>830</v>
      </c>
      <c r="B257" t="s">
        <v>57</v>
      </c>
      <c r="C257" t="s">
        <v>58</v>
      </c>
      <c r="D257" s="1">
        <v>211699</v>
      </c>
      <c r="E257" s="1">
        <v>14754</v>
      </c>
      <c r="F257" s="1">
        <v>13148</v>
      </c>
      <c r="G257" s="1">
        <v>13925</v>
      </c>
      <c r="H257" s="1">
        <v>14425</v>
      </c>
      <c r="I257" s="1">
        <v>14005</v>
      </c>
      <c r="J257" s="1">
        <v>14111</v>
      </c>
      <c r="K257" s="1">
        <v>13367</v>
      </c>
      <c r="L257" s="1">
        <v>13846</v>
      </c>
      <c r="M257" s="1">
        <v>15701</v>
      </c>
      <c r="N257" s="1">
        <v>15071</v>
      </c>
      <c r="O257" s="1">
        <v>13710</v>
      </c>
      <c r="P257" s="1">
        <v>12366</v>
      </c>
      <c r="Q257" s="1">
        <v>12454</v>
      </c>
      <c r="R257" s="1">
        <v>9161</v>
      </c>
      <c r="S257" s="1">
        <v>7481</v>
      </c>
      <c r="T257" s="1">
        <v>5911</v>
      </c>
      <c r="U257" s="1">
        <v>4456</v>
      </c>
      <c r="V257" s="1">
        <v>2632</v>
      </c>
      <c r="W257" s="1">
        <v>1175</v>
      </c>
      <c r="X257" s="9">
        <f>SUM(Table2[[#This Row],[Age 20 to 24]:[Age 90 and Over]])</f>
        <v>155447</v>
      </c>
      <c r="Y257" s="9">
        <f>_xlfn.XLOOKUP(Table2[[#This Row],[Area]],Referendum!E:E,Referendum!L:L,"")</f>
        <v>41217</v>
      </c>
      <c r="Z257" s="9">
        <f>_xlfn.XLOOKUP(Table2[[#This Row],[Area]],Referendum!E:E,Referendum!M:M,"")</f>
        <v>62014</v>
      </c>
      <c r="AA257" s="10">
        <f>(Table2[[#This Row],[Leave Votes]]+Table2[[#This Row],[Remain Votes]])/Table2[[#This Row],[Residents Age &gt;=20]]</f>
        <v>0.66409129799867483</v>
      </c>
      <c r="AB257" s="10">
        <f>Table2[[#This Row],[Remain Votes]]/Table2[[#This Row],[Residents Age &gt;=20]]</f>
        <v>0.26515146641620618</v>
      </c>
      <c r="AC257" s="10">
        <f>Table2[[#This Row],[Leave Votes]]/Table2[[#This Row],[Residents Age &gt;=20]]</f>
        <v>0.3989398315824686</v>
      </c>
    </row>
    <row r="258" spans="1:29" x14ac:dyDescent="0.45">
      <c r="A258" t="s">
        <v>830</v>
      </c>
      <c r="B258" t="s">
        <v>357</v>
      </c>
      <c r="C258" t="s">
        <v>358</v>
      </c>
      <c r="D258" s="1">
        <v>83287</v>
      </c>
      <c r="E258" s="1">
        <v>4369</v>
      </c>
      <c r="F258" s="1">
        <v>4368</v>
      </c>
      <c r="G258" s="1">
        <v>5141</v>
      </c>
      <c r="H258" s="1">
        <v>5130</v>
      </c>
      <c r="I258" s="1">
        <v>4138</v>
      </c>
      <c r="J258" s="1">
        <v>3729</v>
      </c>
      <c r="K258" s="1">
        <v>4199</v>
      </c>
      <c r="L258" s="1">
        <v>5298</v>
      </c>
      <c r="M258" s="1">
        <v>6576</v>
      </c>
      <c r="N258" s="1">
        <v>6510</v>
      </c>
      <c r="O258" s="1">
        <v>5736</v>
      </c>
      <c r="P258" s="1">
        <v>5308</v>
      </c>
      <c r="Q258" s="1">
        <v>6106</v>
      </c>
      <c r="R258" s="1">
        <v>4852</v>
      </c>
      <c r="S258" s="1">
        <v>3981</v>
      </c>
      <c r="T258" s="1">
        <v>3332</v>
      </c>
      <c r="U258" s="1">
        <v>2393</v>
      </c>
      <c r="V258" s="1">
        <v>1435</v>
      </c>
      <c r="W258">
        <v>686</v>
      </c>
      <c r="X258" s="9">
        <f>SUM(Table2[[#This Row],[Age 20 to 24]:[Age 90 and Over]])</f>
        <v>64279</v>
      </c>
      <c r="Y258" s="9">
        <f>_xlfn.XLOOKUP(Table2[[#This Row],[Area]],Referendum!E:E,Referendum!L:L,"")</f>
        <v>17510</v>
      </c>
      <c r="Z258" s="9">
        <f>_xlfn.XLOOKUP(Table2[[#This Row],[Area]],Referendum!E:E,Referendum!M:M,"")</f>
        <v>34937</v>
      </c>
      <c r="AA258" s="10">
        <f>(Table2[[#This Row],[Leave Votes]]+Table2[[#This Row],[Remain Votes]])/Table2[[#This Row],[Residents Age &gt;=20]]</f>
        <v>0.81592744131053685</v>
      </c>
      <c r="AB258" s="10">
        <f>Table2[[#This Row],[Remain Votes]]/Table2[[#This Row],[Residents Age &gt;=20]]</f>
        <v>0.27240622909503881</v>
      </c>
      <c r="AC258" s="10">
        <f>Table2[[#This Row],[Leave Votes]]/Table2[[#This Row],[Residents Age &gt;=20]]</f>
        <v>0.5435212122154981</v>
      </c>
    </row>
    <row r="259" spans="1:29" x14ac:dyDescent="0.45">
      <c r="A259" t="s">
        <v>830</v>
      </c>
      <c r="B259" t="s">
        <v>119</v>
      </c>
      <c r="C259" t="s">
        <v>120</v>
      </c>
      <c r="D259" s="1">
        <v>67982</v>
      </c>
      <c r="E259" s="1">
        <v>4329</v>
      </c>
      <c r="F259" s="1">
        <v>3903</v>
      </c>
      <c r="G259" s="1">
        <v>4052</v>
      </c>
      <c r="H259" s="1">
        <v>4309</v>
      </c>
      <c r="I259" s="1">
        <v>3869</v>
      </c>
      <c r="J259" s="1">
        <v>3940</v>
      </c>
      <c r="K259" s="1">
        <v>4029</v>
      </c>
      <c r="L259" s="1">
        <v>4565</v>
      </c>
      <c r="M259" s="1">
        <v>5361</v>
      </c>
      <c r="N259" s="1">
        <v>5271</v>
      </c>
      <c r="O259" s="1">
        <v>4733</v>
      </c>
      <c r="P259" s="1">
        <v>4359</v>
      </c>
      <c r="Q259" s="1">
        <v>4721</v>
      </c>
      <c r="R259" s="1">
        <v>3364</v>
      </c>
      <c r="S259" s="1">
        <v>2441</v>
      </c>
      <c r="T259" s="1">
        <v>1932</v>
      </c>
      <c r="U259" s="1">
        <v>1453</v>
      </c>
      <c r="V259">
        <v>914</v>
      </c>
      <c r="W259">
        <v>437</v>
      </c>
      <c r="X259" s="9">
        <f>SUM(Table2[[#This Row],[Age 20 to 24]:[Age 90 and Over]])</f>
        <v>51389</v>
      </c>
      <c r="Y259" s="9">
        <f>_xlfn.XLOOKUP(Table2[[#This Row],[Area]],Referendum!E:E,Referendum!L:L,"")</f>
        <v>15012</v>
      </c>
      <c r="Z259" s="9">
        <f>_xlfn.XLOOKUP(Table2[[#This Row],[Area]],Referendum!E:E,Referendum!M:M,"")</f>
        <v>23169</v>
      </c>
      <c r="AA259" s="10">
        <f>(Table2[[#This Row],[Leave Votes]]+Table2[[#This Row],[Remain Votes]])/Table2[[#This Row],[Residents Age &gt;=20]]</f>
        <v>0.74298001517834555</v>
      </c>
      <c r="AB259" s="10">
        <f>Table2[[#This Row],[Remain Votes]]/Table2[[#This Row],[Residents Age &gt;=20]]</f>
        <v>0.29212477378427287</v>
      </c>
      <c r="AC259" s="10">
        <f>Table2[[#This Row],[Leave Votes]]/Table2[[#This Row],[Residents Age &gt;=20]]</f>
        <v>0.45085524139407268</v>
      </c>
    </row>
    <row r="260" spans="1:29" x14ac:dyDescent="0.45">
      <c r="A260" t="s">
        <v>830</v>
      </c>
      <c r="B260" t="s">
        <v>519</v>
      </c>
      <c r="C260" t="s">
        <v>520</v>
      </c>
      <c r="D260" s="1">
        <v>90588</v>
      </c>
      <c r="E260" s="1">
        <v>3999</v>
      </c>
      <c r="F260" s="1">
        <v>4096</v>
      </c>
      <c r="G260" s="1">
        <v>5119</v>
      </c>
      <c r="H260" s="1">
        <v>5038</v>
      </c>
      <c r="I260" s="1">
        <v>3632</v>
      </c>
      <c r="J260" s="1">
        <v>3377</v>
      </c>
      <c r="K260" s="1">
        <v>3184</v>
      </c>
      <c r="L260" s="1">
        <v>4110</v>
      </c>
      <c r="M260" s="1">
        <v>5732</v>
      </c>
      <c r="N260" s="1">
        <v>6545</v>
      </c>
      <c r="O260" s="1">
        <v>6014</v>
      </c>
      <c r="P260" s="1">
        <v>6017</v>
      </c>
      <c r="Q260" s="1">
        <v>7962</v>
      </c>
      <c r="R260" s="1">
        <v>6696</v>
      </c>
      <c r="S260" s="1">
        <v>5569</v>
      </c>
      <c r="T260" s="1">
        <v>4839</v>
      </c>
      <c r="U260" s="1">
        <v>4035</v>
      </c>
      <c r="V260" s="1">
        <v>2836</v>
      </c>
      <c r="W260" s="1">
        <v>1788</v>
      </c>
      <c r="X260" s="9">
        <f>SUM(Table2[[#This Row],[Age 20 to 24]:[Age 90 and Over]])</f>
        <v>72336</v>
      </c>
      <c r="Y260" s="9">
        <f>_xlfn.XLOOKUP(Table2[[#This Row],[Area]],Referendum!E:E,Referendum!L:L,"")</f>
        <v>23916</v>
      </c>
      <c r="Z260" s="9">
        <f>_xlfn.XLOOKUP(Table2[[#This Row],[Area]],Referendum!E:E,Referendum!M:M,"")</f>
        <v>33753</v>
      </c>
      <c r="AA260" s="10">
        <f>(Table2[[#This Row],[Leave Votes]]+Table2[[#This Row],[Remain Votes]])/Table2[[#This Row],[Residents Age &gt;=20]]</f>
        <v>0.79723788984737887</v>
      </c>
      <c r="AB260" s="10">
        <f>Table2[[#This Row],[Remain Votes]]/Table2[[#This Row],[Residents Age &gt;=20]]</f>
        <v>0.33062375580623754</v>
      </c>
      <c r="AC260" s="10">
        <f>Table2[[#This Row],[Leave Votes]]/Table2[[#This Row],[Residents Age &gt;=20]]</f>
        <v>0.46661413404114133</v>
      </c>
    </row>
    <row r="261" spans="1:29" x14ac:dyDescent="0.45">
      <c r="A261" t="s">
        <v>830</v>
      </c>
      <c r="B261" t="s">
        <v>133</v>
      </c>
      <c r="C261" t="s">
        <v>134</v>
      </c>
      <c r="D261" s="1">
        <v>257280</v>
      </c>
      <c r="E261" s="1">
        <v>15738</v>
      </c>
      <c r="F261" s="1">
        <v>14645</v>
      </c>
      <c r="G261" s="1">
        <v>15664</v>
      </c>
      <c r="H261" s="1">
        <v>16217</v>
      </c>
      <c r="I261" s="1">
        <v>15227</v>
      </c>
      <c r="J261" s="1">
        <v>15422</v>
      </c>
      <c r="K261" s="1">
        <v>14333</v>
      </c>
      <c r="L261" s="1">
        <v>16099</v>
      </c>
      <c r="M261" s="1">
        <v>19442</v>
      </c>
      <c r="N261" s="1">
        <v>19390</v>
      </c>
      <c r="O261" s="1">
        <v>17934</v>
      </c>
      <c r="P261" s="1">
        <v>15663</v>
      </c>
      <c r="Q261" s="1">
        <v>16664</v>
      </c>
      <c r="R261" s="1">
        <v>13686</v>
      </c>
      <c r="S261" s="1">
        <v>11097</v>
      </c>
      <c r="T261" s="1">
        <v>8537</v>
      </c>
      <c r="U261" s="1">
        <v>6023</v>
      </c>
      <c r="V261" s="1">
        <v>3684</v>
      </c>
      <c r="W261" s="1">
        <v>1815</v>
      </c>
      <c r="X261" s="9">
        <f>SUM(Table2[[#This Row],[Age 20 to 24]:[Age 90 and Over]])</f>
        <v>195016</v>
      </c>
      <c r="Y261" s="9">
        <f>_xlfn.XLOOKUP(Table2[[#This Row],[Area]],Referendum!E:E,Referendum!L:L,"")</f>
        <v>44115</v>
      </c>
      <c r="Z261" s="9">
        <f>_xlfn.XLOOKUP(Table2[[#This Row],[Area]],Referendum!E:E,Referendum!M:M,"")</f>
        <v>93272</v>
      </c>
      <c r="AA261" s="10">
        <f>(Table2[[#This Row],[Leave Votes]]+Table2[[#This Row],[Remain Votes]])/Table2[[#This Row],[Residents Age &gt;=20]]</f>
        <v>0.70449091356606641</v>
      </c>
      <c r="AB261" s="10">
        <f>Table2[[#This Row],[Remain Votes]]/Table2[[#This Row],[Residents Age &gt;=20]]</f>
        <v>0.22621220822906837</v>
      </c>
      <c r="AC261" s="10">
        <f>Table2[[#This Row],[Leave Votes]]/Table2[[#This Row],[Residents Age &gt;=20]]</f>
        <v>0.47827870533699801</v>
      </c>
    </row>
    <row r="262" spans="1:29" x14ac:dyDescent="0.45">
      <c r="A262" t="s">
        <v>830</v>
      </c>
      <c r="B262" t="s">
        <v>297</v>
      </c>
      <c r="C262" t="s">
        <v>298</v>
      </c>
      <c r="D262" s="1">
        <v>100075</v>
      </c>
      <c r="E262" s="1">
        <v>6269</v>
      </c>
      <c r="F262" s="1">
        <v>5648</v>
      </c>
      <c r="G262" s="1">
        <v>6149</v>
      </c>
      <c r="H262" s="1">
        <v>6174</v>
      </c>
      <c r="I262" s="1">
        <v>5182</v>
      </c>
      <c r="J262" s="1">
        <v>6322</v>
      </c>
      <c r="K262" s="1">
        <v>6319</v>
      </c>
      <c r="L262" s="1">
        <v>6932</v>
      </c>
      <c r="M262" s="1">
        <v>7636</v>
      </c>
      <c r="N262" s="1">
        <v>7812</v>
      </c>
      <c r="O262" s="1">
        <v>6602</v>
      </c>
      <c r="P262" s="1">
        <v>5634</v>
      </c>
      <c r="Q262" s="1">
        <v>6062</v>
      </c>
      <c r="R262" s="1">
        <v>5401</v>
      </c>
      <c r="S262" s="1">
        <v>4003</v>
      </c>
      <c r="T262" s="1">
        <v>3064</v>
      </c>
      <c r="U262" s="1">
        <v>2492</v>
      </c>
      <c r="V262" s="1">
        <v>1545</v>
      </c>
      <c r="W262">
        <v>829</v>
      </c>
      <c r="X262" s="9">
        <f>SUM(Table2[[#This Row],[Age 20 to 24]:[Age 90 and Over]])</f>
        <v>75835</v>
      </c>
      <c r="Y262" s="9">
        <f>_xlfn.XLOOKUP(Table2[[#This Row],[Area]],Referendum!E:E,Referendum!L:L,"")</f>
        <v>25350</v>
      </c>
      <c r="Z262" s="9">
        <f>_xlfn.XLOOKUP(Table2[[#This Row],[Area]],Referendum!E:E,Referendum!M:M,"")</f>
        <v>33199</v>
      </c>
      <c r="AA262" s="10">
        <f>(Table2[[#This Row],[Leave Votes]]+Table2[[#This Row],[Remain Votes]])/Table2[[#This Row],[Residents Age &gt;=20]]</f>
        <v>0.77205775697237422</v>
      </c>
      <c r="AB262" s="10">
        <f>Table2[[#This Row],[Remain Votes]]/Table2[[#This Row],[Residents Age &gt;=20]]</f>
        <v>0.33427836750840639</v>
      </c>
      <c r="AC262" s="10">
        <f>Table2[[#This Row],[Leave Votes]]/Table2[[#This Row],[Residents Age &gt;=20]]</f>
        <v>0.43777938946396783</v>
      </c>
    </row>
    <row r="263" spans="1:29" x14ac:dyDescent="0.45">
      <c r="A263" t="s">
        <v>830</v>
      </c>
      <c r="B263" t="s">
        <v>589</v>
      </c>
      <c r="C263" t="s">
        <v>590</v>
      </c>
      <c r="D263" s="1">
        <v>80510</v>
      </c>
      <c r="E263" s="1">
        <v>4802</v>
      </c>
      <c r="F263" s="1">
        <v>4068</v>
      </c>
      <c r="G263" s="1">
        <v>4147</v>
      </c>
      <c r="H263" s="1">
        <v>5461</v>
      </c>
      <c r="I263" s="1">
        <v>6967</v>
      </c>
      <c r="J263" s="1">
        <v>4512</v>
      </c>
      <c r="K263" s="1">
        <v>5137</v>
      </c>
      <c r="L263" s="1">
        <v>5789</v>
      </c>
      <c r="M263" s="1">
        <v>5832</v>
      </c>
      <c r="N263" s="1">
        <v>6021</v>
      </c>
      <c r="O263" s="1">
        <v>5277</v>
      </c>
      <c r="P263" s="1">
        <v>4412</v>
      </c>
      <c r="Q263" s="1">
        <v>4617</v>
      </c>
      <c r="R263" s="1">
        <v>3664</v>
      </c>
      <c r="S263" s="1">
        <v>2944</v>
      </c>
      <c r="T263" s="1">
        <v>2757</v>
      </c>
      <c r="U263" s="1">
        <v>2046</v>
      </c>
      <c r="V263" s="1">
        <v>1350</v>
      </c>
      <c r="W263">
        <v>707</v>
      </c>
      <c r="X263" s="9">
        <f>SUM(Table2[[#This Row],[Age 20 to 24]:[Age 90 and Over]])</f>
        <v>62032</v>
      </c>
      <c r="Y263" s="9">
        <f>_xlfn.XLOOKUP(Table2[[#This Row],[Area]],Referendum!E:E,Referendum!L:L,"")</f>
        <v>20259</v>
      </c>
      <c r="Z263" s="9">
        <f>_xlfn.XLOOKUP(Table2[[#This Row],[Area]],Referendum!E:E,Referendum!M:M,"")</f>
        <v>24035</v>
      </c>
      <c r="AA263" s="10">
        <f>(Table2[[#This Row],[Leave Votes]]+Table2[[#This Row],[Remain Votes]])/Table2[[#This Row],[Residents Age &gt;=20]]</f>
        <v>0.71405081248387925</v>
      </c>
      <c r="AB263" s="10">
        <f>Table2[[#This Row],[Remain Votes]]/Table2[[#This Row],[Residents Age &gt;=20]]</f>
        <v>0.32658950219241684</v>
      </c>
      <c r="AC263" s="10">
        <f>Table2[[#This Row],[Leave Votes]]/Table2[[#This Row],[Residents Age &gt;=20]]</f>
        <v>0.38746131029146247</v>
      </c>
    </row>
    <row r="264" spans="1:29" x14ac:dyDescent="0.45">
      <c r="A264" t="s">
        <v>830</v>
      </c>
      <c r="B264" t="s">
        <v>251</v>
      </c>
      <c r="C264" t="s">
        <v>252</v>
      </c>
      <c r="D264" s="1">
        <v>111129</v>
      </c>
      <c r="E264" s="1">
        <v>6392</v>
      </c>
      <c r="F264" s="1">
        <v>6233</v>
      </c>
      <c r="G264" s="1">
        <v>6621</v>
      </c>
      <c r="H264" s="1">
        <v>6610</v>
      </c>
      <c r="I264" s="1">
        <v>6174</v>
      </c>
      <c r="J264" s="1">
        <v>5320</v>
      </c>
      <c r="K264" s="1">
        <v>6165</v>
      </c>
      <c r="L264" s="1">
        <v>7367</v>
      </c>
      <c r="M264" s="1">
        <v>8646</v>
      </c>
      <c r="N264" s="1">
        <v>8947</v>
      </c>
      <c r="O264" s="1">
        <v>7785</v>
      </c>
      <c r="P264" s="1">
        <v>7035</v>
      </c>
      <c r="Q264" s="1">
        <v>7411</v>
      </c>
      <c r="R264" s="1">
        <v>6006</v>
      </c>
      <c r="S264" s="1">
        <v>4621</v>
      </c>
      <c r="T264" s="1">
        <v>3949</v>
      </c>
      <c r="U264" s="1">
        <v>3017</v>
      </c>
      <c r="V264" s="1">
        <v>1931</v>
      </c>
      <c r="W264">
        <v>899</v>
      </c>
      <c r="X264" s="9">
        <f>SUM(Table2[[#This Row],[Age 20 to 24]:[Age 90 and Over]])</f>
        <v>85273</v>
      </c>
      <c r="Y264" s="9">
        <f>_xlfn.XLOOKUP(Table2[[#This Row],[Area]],Referendum!E:E,Referendum!L:L,"")</f>
        <v>40522</v>
      </c>
      <c r="Z264" s="9">
        <f>_xlfn.XLOOKUP(Table2[[#This Row],[Area]],Referendum!E:E,Referendum!M:M,"")</f>
        <v>29888</v>
      </c>
      <c r="AA264" s="10">
        <f>(Table2[[#This Row],[Leave Votes]]+Table2[[#This Row],[Remain Votes]])/Table2[[#This Row],[Residents Age &gt;=20]]</f>
        <v>0.82570098389877222</v>
      </c>
      <c r="AB264" s="10">
        <f>Table2[[#This Row],[Remain Votes]]/Table2[[#This Row],[Residents Age &gt;=20]]</f>
        <v>0.47520317099199044</v>
      </c>
      <c r="AC264" s="10">
        <f>Table2[[#This Row],[Leave Votes]]/Table2[[#This Row],[Residents Age &gt;=20]]</f>
        <v>0.35049781290678172</v>
      </c>
    </row>
    <row r="265" spans="1:29" x14ac:dyDescent="0.45">
      <c r="A265" t="s">
        <v>830</v>
      </c>
      <c r="B265" t="s">
        <v>539</v>
      </c>
      <c r="C265" t="s">
        <v>540</v>
      </c>
      <c r="D265" s="1">
        <v>93807</v>
      </c>
      <c r="E265" s="1">
        <v>6747</v>
      </c>
      <c r="F265" s="1">
        <v>5568</v>
      </c>
      <c r="G265" s="1">
        <v>5440</v>
      </c>
      <c r="H265" s="1">
        <v>6016</v>
      </c>
      <c r="I265" s="1">
        <v>6682</v>
      </c>
      <c r="J265" s="1">
        <v>7282</v>
      </c>
      <c r="K265" s="1">
        <v>7494</v>
      </c>
      <c r="L265" s="1">
        <v>7610</v>
      </c>
      <c r="M265" s="1">
        <v>7475</v>
      </c>
      <c r="N265" s="1">
        <v>7201</v>
      </c>
      <c r="O265" s="1">
        <v>5665</v>
      </c>
      <c r="P265" s="1">
        <v>4572</v>
      </c>
      <c r="Q265" s="1">
        <v>4611</v>
      </c>
      <c r="R265" s="1">
        <v>3476</v>
      </c>
      <c r="S265" s="1">
        <v>2766</v>
      </c>
      <c r="T265" s="1">
        <v>2043</v>
      </c>
      <c r="U265" s="1">
        <v>1583</v>
      </c>
      <c r="V265" s="1">
        <v>1015</v>
      </c>
      <c r="W265">
        <v>561</v>
      </c>
      <c r="X265" s="9">
        <f>SUM(Table2[[#This Row],[Age 20 to 24]:[Age 90 and Over]])</f>
        <v>70036</v>
      </c>
      <c r="Y265" s="9">
        <f>_xlfn.XLOOKUP(Table2[[#This Row],[Area]],Referendum!E:E,Referendum!L:L,"")</f>
        <v>20384</v>
      </c>
      <c r="Z265" s="9">
        <f>_xlfn.XLOOKUP(Table2[[#This Row],[Area]],Referendum!E:E,Referendum!M:M,"")</f>
        <v>28396</v>
      </c>
      <c r="AA265" s="10">
        <f>(Table2[[#This Row],[Leave Votes]]+Table2[[#This Row],[Remain Votes]])/Table2[[#This Row],[Residents Age &gt;=20]]</f>
        <v>0.69649894340053686</v>
      </c>
      <c r="AB265" s="10">
        <f>Table2[[#This Row],[Remain Votes]]/Table2[[#This Row],[Residents Age &gt;=20]]</f>
        <v>0.29105031697983896</v>
      </c>
      <c r="AC265" s="10">
        <f>Table2[[#This Row],[Leave Votes]]/Table2[[#This Row],[Residents Age &gt;=20]]</f>
        <v>0.4054486264206979</v>
      </c>
    </row>
    <row r="266" spans="1:29" x14ac:dyDescent="0.45">
      <c r="A266" t="s">
        <v>830</v>
      </c>
      <c r="B266" t="s">
        <v>177</v>
      </c>
      <c r="C266" t="s">
        <v>178</v>
      </c>
      <c r="D266" s="1">
        <v>37369</v>
      </c>
      <c r="E266" s="1">
        <v>1854</v>
      </c>
      <c r="F266" s="1">
        <v>1850</v>
      </c>
      <c r="G266" s="1">
        <v>2352</v>
      </c>
      <c r="H266" s="1">
        <v>2895</v>
      </c>
      <c r="I266" s="1">
        <v>1740</v>
      </c>
      <c r="J266" s="1">
        <v>1907</v>
      </c>
      <c r="K266" s="1">
        <v>1855</v>
      </c>
      <c r="L266" s="1">
        <v>2145</v>
      </c>
      <c r="M266" s="1">
        <v>2686</v>
      </c>
      <c r="N266" s="1">
        <v>2642</v>
      </c>
      <c r="O266" s="1">
        <v>2517</v>
      </c>
      <c r="P266" s="1">
        <v>2362</v>
      </c>
      <c r="Q266" s="1">
        <v>2715</v>
      </c>
      <c r="R266" s="1">
        <v>2331</v>
      </c>
      <c r="S266" s="1">
        <v>1887</v>
      </c>
      <c r="T266" s="1">
        <v>1436</v>
      </c>
      <c r="U266" s="1">
        <v>1094</v>
      </c>
      <c r="V266">
        <v>719</v>
      </c>
      <c r="W266">
        <v>382</v>
      </c>
      <c r="X266" s="9">
        <f>SUM(Table2[[#This Row],[Age 20 to 24]:[Age 90 and Over]])</f>
        <v>28418</v>
      </c>
      <c r="Y266" s="9">
        <f>_xlfn.XLOOKUP(Table2[[#This Row],[Area]],Referendum!E:E,Referendum!L:L,"")</f>
        <v>11353</v>
      </c>
      <c r="Z266" s="9">
        <f>_xlfn.XLOOKUP(Table2[[#This Row],[Area]],Referendum!E:E,Referendum!M:M,"")</f>
        <v>11613</v>
      </c>
      <c r="AA266" s="10">
        <f>(Table2[[#This Row],[Leave Votes]]+Table2[[#This Row],[Remain Votes]])/Table2[[#This Row],[Residents Age &gt;=20]]</f>
        <v>0.80814976423393625</v>
      </c>
      <c r="AB266" s="10">
        <f>Table2[[#This Row],[Remain Votes]]/Table2[[#This Row],[Residents Age &gt;=20]]</f>
        <v>0.39950031670068264</v>
      </c>
      <c r="AC266" s="10">
        <f>Table2[[#This Row],[Leave Votes]]/Table2[[#This Row],[Residents Age &gt;=20]]</f>
        <v>0.40864944753325355</v>
      </c>
    </row>
    <row r="267" spans="1:29" x14ac:dyDescent="0.45">
      <c r="A267" t="s">
        <v>830</v>
      </c>
      <c r="B267" t="s">
        <v>165</v>
      </c>
      <c r="C267" t="s">
        <v>166</v>
      </c>
      <c r="D267" s="1">
        <v>51751</v>
      </c>
      <c r="E267" s="1">
        <v>2385</v>
      </c>
      <c r="F267" s="1">
        <v>2473</v>
      </c>
      <c r="G267" s="1">
        <v>3024</v>
      </c>
      <c r="H267" s="1">
        <v>3187</v>
      </c>
      <c r="I267" s="1">
        <v>2203</v>
      </c>
      <c r="J267" s="1">
        <v>2085</v>
      </c>
      <c r="K267" s="1">
        <v>2130</v>
      </c>
      <c r="L267" s="1">
        <v>2687</v>
      </c>
      <c r="M267" s="1">
        <v>3666</v>
      </c>
      <c r="N267" s="1">
        <v>4025</v>
      </c>
      <c r="O267" s="1">
        <v>3741</v>
      </c>
      <c r="P267" s="1">
        <v>3742</v>
      </c>
      <c r="Q267" s="1">
        <v>4351</v>
      </c>
      <c r="R267" s="1">
        <v>3604</v>
      </c>
      <c r="S267" s="1">
        <v>2829</v>
      </c>
      <c r="T267" s="1">
        <v>2338</v>
      </c>
      <c r="U267" s="1">
        <v>1743</v>
      </c>
      <c r="V267" s="1">
        <v>1000</v>
      </c>
      <c r="W267">
        <v>538</v>
      </c>
      <c r="X267" s="9">
        <f>SUM(Table2[[#This Row],[Age 20 to 24]:[Age 90 and Over]])</f>
        <v>40682</v>
      </c>
      <c r="Y267" s="9">
        <f>_xlfn.XLOOKUP(Table2[[#This Row],[Area]],Referendum!E:E,Referendum!L:L,"")</f>
        <v>14340</v>
      </c>
      <c r="Z267" s="9">
        <f>_xlfn.XLOOKUP(Table2[[#This Row],[Area]],Referendum!E:E,Referendum!M:M,"")</f>
        <v>17710</v>
      </c>
      <c r="AA267" s="10">
        <f>(Table2[[#This Row],[Leave Votes]]+Table2[[#This Row],[Remain Votes]])/Table2[[#This Row],[Residents Age &gt;=20]]</f>
        <v>0.78781770807728235</v>
      </c>
      <c r="AB267" s="10">
        <f>Table2[[#This Row],[Remain Votes]]/Table2[[#This Row],[Residents Age &gt;=20]]</f>
        <v>0.35249004473723022</v>
      </c>
      <c r="AC267" s="10">
        <f>Table2[[#This Row],[Leave Votes]]/Table2[[#This Row],[Residents Age &gt;=20]]</f>
        <v>0.43532766334005213</v>
      </c>
    </row>
    <row r="268" spans="1:29" x14ac:dyDescent="0.45">
      <c r="A268" t="s">
        <v>830</v>
      </c>
      <c r="B268" t="s">
        <v>59</v>
      </c>
      <c r="C268" t="s">
        <v>60</v>
      </c>
      <c r="D268" s="1">
        <v>233933</v>
      </c>
      <c r="E268" s="1">
        <v>16255</v>
      </c>
      <c r="F268" s="1">
        <v>13011</v>
      </c>
      <c r="G268" s="1">
        <v>12969</v>
      </c>
      <c r="H268" s="1">
        <v>15103</v>
      </c>
      <c r="I268" s="1">
        <v>19537</v>
      </c>
      <c r="J268" s="1">
        <v>20989</v>
      </c>
      <c r="K268" s="1">
        <v>17158</v>
      </c>
      <c r="L268" s="1">
        <v>15407</v>
      </c>
      <c r="M268" s="1">
        <v>16236</v>
      </c>
      <c r="N268" s="1">
        <v>16106</v>
      </c>
      <c r="O268" s="1">
        <v>14035</v>
      </c>
      <c r="P268" s="1">
        <v>11563</v>
      </c>
      <c r="Q268" s="1">
        <v>12358</v>
      </c>
      <c r="R268" s="1">
        <v>9498</v>
      </c>
      <c r="S268" s="1">
        <v>8045</v>
      </c>
      <c r="T268" s="1">
        <v>6410</v>
      </c>
      <c r="U268" s="1">
        <v>4734</v>
      </c>
      <c r="V268" s="1">
        <v>3012</v>
      </c>
      <c r="W268" s="1">
        <v>1507</v>
      </c>
      <c r="X268" s="9">
        <f>SUM(Table2[[#This Row],[Age 20 to 24]:[Age 90 and Over]])</f>
        <v>176595</v>
      </c>
      <c r="Y268" s="9">
        <f>_xlfn.XLOOKUP(Table2[[#This Row],[Area]],Referendum!E:E,Referendum!L:L,"")</f>
        <v>47430</v>
      </c>
      <c r="Z268" s="9">
        <f>_xlfn.XLOOKUP(Table2[[#This Row],[Area]],Referendum!E:E,Referendum!M:M,"")</f>
        <v>62385</v>
      </c>
      <c r="AA268" s="10">
        <f>(Table2[[#This Row],[Leave Votes]]+Table2[[#This Row],[Remain Votes]])/Table2[[#This Row],[Residents Age &gt;=20]]</f>
        <v>0.62184659814830545</v>
      </c>
      <c r="AB268" s="10">
        <f>Table2[[#This Row],[Remain Votes]]/Table2[[#This Row],[Residents Age &gt;=20]]</f>
        <v>0.26858065064129788</v>
      </c>
      <c r="AC268" s="10">
        <f>Table2[[#This Row],[Leave Votes]]/Table2[[#This Row],[Residents Age &gt;=20]]</f>
        <v>0.35326594750700757</v>
      </c>
    </row>
    <row r="269" spans="1:29" x14ac:dyDescent="0.45">
      <c r="A269" t="s">
        <v>830</v>
      </c>
      <c r="B269" t="s">
        <v>261</v>
      </c>
      <c r="C269" t="s">
        <v>262</v>
      </c>
      <c r="D269" s="1">
        <v>308063</v>
      </c>
      <c r="E269" s="1">
        <v>22669</v>
      </c>
      <c r="F269" s="1">
        <v>20194</v>
      </c>
      <c r="G269" s="1">
        <v>19333</v>
      </c>
      <c r="H269" s="1">
        <v>20220</v>
      </c>
      <c r="I269" s="1">
        <v>20793</v>
      </c>
      <c r="J269" s="1">
        <v>23085</v>
      </c>
      <c r="K269" s="1">
        <v>21235</v>
      </c>
      <c r="L269" s="1">
        <v>21168</v>
      </c>
      <c r="M269" s="1">
        <v>22411</v>
      </c>
      <c r="N269" s="1">
        <v>21398</v>
      </c>
      <c r="O269" s="1">
        <v>17991</v>
      </c>
      <c r="P269" s="1">
        <v>15495</v>
      </c>
      <c r="Q269" s="1">
        <v>15230</v>
      </c>
      <c r="R269" s="1">
        <v>13139</v>
      </c>
      <c r="S269" s="1">
        <v>11381</v>
      </c>
      <c r="T269" s="1">
        <v>9186</v>
      </c>
      <c r="U269" s="1">
        <v>6950</v>
      </c>
      <c r="V269" s="1">
        <v>4096</v>
      </c>
      <c r="W269" s="1">
        <v>2089</v>
      </c>
      <c r="X269" s="9">
        <f>SUM(Table2[[#This Row],[Age 20 to 24]:[Age 90 and Over]])</f>
        <v>225647</v>
      </c>
      <c r="Y269" s="9">
        <f>_xlfn.XLOOKUP(Table2[[#This Row],[Area]],Referendum!E:E,Referendum!L:L,"")</f>
        <v>49004</v>
      </c>
      <c r="Z269" s="9">
        <f>_xlfn.XLOOKUP(Table2[[#This Row],[Area]],Referendum!E:E,Referendum!M:M,"")</f>
        <v>98250</v>
      </c>
      <c r="AA269" s="10">
        <f>(Table2[[#This Row],[Leave Votes]]+Table2[[#This Row],[Remain Votes]])/Table2[[#This Row],[Residents Age &gt;=20]]</f>
        <v>0.65258567585653693</v>
      </c>
      <c r="AB269" s="10">
        <f>Table2[[#This Row],[Remain Votes]]/Table2[[#This Row],[Residents Age &gt;=20]]</f>
        <v>0.21717106808422004</v>
      </c>
      <c r="AC269" s="10">
        <f>Table2[[#This Row],[Leave Votes]]/Table2[[#This Row],[Residents Age &gt;=20]]</f>
        <v>0.43541460777231694</v>
      </c>
    </row>
    <row r="270" spans="1:29" x14ac:dyDescent="0.45">
      <c r="A270" t="s">
        <v>830</v>
      </c>
      <c r="B270" t="s">
        <v>167</v>
      </c>
      <c r="C270" t="s">
        <v>168</v>
      </c>
      <c r="D270" s="1">
        <v>108793</v>
      </c>
      <c r="E270" s="1">
        <v>5317</v>
      </c>
      <c r="F270" s="1">
        <v>5071</v>
      </c>
      <c r="G270" s="1">
        <v>5718</v>
      </c>
      <c r="H270" s="1">
        <v>6540</v>
      </c>
      <c r="I270" s="1">
        <v>6268</v>
      </c>
      <c r="J270" s="1">
        <v>5367</v>
      </c>
      <c r="K270" s="1">
        <v>4703</v>
      </c>
      <c r="L270" s="1">
        <v>5655</v>
      </c>
      <c r="M270" s="1">
        <v>6933</v>
      </c>
      <c r="N270" s="1">
        <v>7998</v>
      </c>
      <c r="O270" s="1">
        <v>7683</v>
      </c>
      <c r="P270" s="1">
        <v>7500</v>
      </c>
      <c r="Q270" s="1">
        <v>8720</v>
      </c>
      <c r="R270" s="1">
        <v>7212</v>
      </c>
      <c r="S270" s="1">
        <v>6099</v>
      </c>
      <c r="T270" s="1">
        <v>4821</v>
      </c>
      <c r="U270" s="1">
        <v>3713</v>
      </c>
      <c r="V270" s="1">
        <v>2259</v>
      </c>
      <c r="W270" s="1">
        <v>1216</v>
      </c>
      <c r="X270" s="9">
        <f>SUM(Table2[[#This Row],[Age 20 to 24]:[Age 90 and Over]])</f>
        <v>86147</v>
      </c>
      <c r="Y270" s="9">
        <f>_xlfn.XLOOKUP(Table2[[#This Row],[Area]],Referendum!E:E,Referendum!L:L,"")</f>
        <v>22999</v>
      </c>
      <c r="Z270" s="9">
        <f>_xlfn.XLOOKUP(Table2[[#This Row],[Area]],Referendum!E:E,Referendum!M:M,"")</f>
        <v>37512</v>
      </c>
      <c r="AA270" s="10">
        <f>(Table2[[#This Row],[Leave Votes]]+Table2[[#This Row],[Remain Votes]])/Table2[[#This Row],[Residents Age &gt;=20]]</f>
        <v>0.70241563838555032</v>
      </c>
      <c r="AB270" s="10">
        <f>Table2[[#This Row],[Remain Votes]]/Table2[[#This Row],[Residents Age &gt;=20]]</f>
        <v>0.26697389346117684</v>
      </c>
      <c r="AC270" s="10">
        <f>Table2[[#This Row],[Leave Votes]]/Table2[[#This Row],[Residents Age &gt;=20]]</f>
        <v>0.43544174492437343</v>
      </c>
    </row>
    <row r="271" spans="1:29" x14ac:dyDescent="0.45">
      <c r="A271" t="s">
        <v>837</v>
      </c>
      <c r="B271" t="s">
        <v>705</v>
      </c>
      <c r="C271" t="s">
        <v>706</v>
      </c>
      <c r="D271" s="1">
        <v>113900</v>
      </c>
      <c r="E271" s="1">
        <v>5700</v>
      </c>
      <c r="F271" s="1">
        <v>5900</v>
      </c>
      <c r="G271" s="1">
        <v>6300</v>
      </c>
      <c r="H271" s="1">
        <v>6400</v>
      </c>
      <c r="I271" s="1">
        <v>5300</v>
      </c>
      <c r="J271" s="1">
        <v>5000</v>
      </c>
      <c r="K271" s="1">
        <v>5100</v>
      </c>
      <c r="L271" s="1">
        <v>6700</v>
      </c>
      <c r="M271" s="1">
        <v>8700</v>
      </c>
      <c r="N271" s="1">
        <v>9200</v>
      </c>
      <c r="O271" s="1">
        <v>8700</v>
      </c>
      <c r="P271" s="1">
        <v>8000</v>
      </c>
      <c r="Q271" s="1">
        <v>8900</v>
      </c>
      <c r="R271" s="1">
        <v>7100</v>
      </c>
      <c r="S271" s="1">
        <v>5900</v>
      </c>
      <c r="T271" s="1">
        <v>4600</v>
      </c>
      <c r="U271" s="1">
        <v>6300</v>
      </c>
      <c r="X271" s="9">
        <f>SUM(Table2[[#This Row],[Age 20 to 24]:[Age 90 and Over]])</f>
        <v>89500</v>
      </c>
      <c r="Y271" s="9">
        <f>_xlfn.XLOOKUP(Table2[[#This Row],[Area]],Referendum!E:E,Referendum!L:L,"")</f>
        <v>37952</v>
      </c>
      <c r="Z271" s="9">
        <f>_xlfn.XLOOKUP(Table2[[#This Row],[Area]],Referendum!E:E,Referendum!M:M,"")</f>
        <v>26962</v>
      </c>
      <c r="AA271" s="10">
        <f>(Table2[[#This Row],[Leave Votes]]+Table2[[#This Row],[Remain Votes]])/Table2[[#This Row],[Residents Age &gt;=20]]</f>
        <v>0.72529608938547485</v>
      </c>
      <c r="AB271" s="10">
        <f>Table2[[#This Row],[Remain Votes]]/Table2[[#This Row],[Residents Age &gt;=20]]</f>
        <v>0.42404469273743017</v>
      </c>
      <c r="AC271" s="10">
        <f>Table2[[#This Row],[Leave Votes]]/Table2[[#This Row],[Residents Age &gt;=20]]</f>
        <v>0.30125139664804468</v>
      </c>
    </row>
    <row r="272" spans="1:29" x14ac:dyDescent="0.45">
      <c r="A272" t="s">
        <v>830</v>
      </c>
      <c r="B272" t="s">
        <v>683</v>
      </c>
      <c r="C272" t="s">
        <v>684</v>
      </c>
      <c r="D272" s="1">
        <v>114588</v>
      </c>
      <c r="E272" s="1">
        <v>6321</v>
      </c>
      <c r="F272" s="1">
        <v>5961</v>
      </c>
      <c r="G272" s="1">
        <v>6868</v>
      </c>
      <c r="H272" s="1">
        <v>7109</v>
      </c>
      <c r="I272" s="1">
        <v>6193</v>
      </c>
      <c r="J272" s="1">
        <v>5671</v>
      </c>
      <c r="K272" s="1">
        <v>5473</v>
      </c>
      <c r="L272" s="1">
        <v>6301</v>
      </c>
      <c r="M272" s="1">
        <v>8249</v>
      </c>
      <c r="N272" s="1">
        <v>8859</v>
      </c>
      <c r="O272" s="1">
        <v>8051</v>
      </c>
      <c r="P272" s="1">
        <v>7585</v>
      </c>
      <c r="Q272" s="1">
        <v>8482</v>
      </c>
      <c r="R272" s="1">
        <v>6932</v>
      </c>
      <c r="S272" s="1">
        <v>5514</v>
      </c>
      <c r="T272" s="1">
        <v>4366</v>
      </c>
      <c r="U272" s="1">
        <v>3387</v>
      </c>
      <c r="V272" s="1">
        <v>2174</v>
      </c>
      <c r="W272" s="1">
        <v>1092</v>
      </c>
      <c r="X272" s="9">
        <f>SUM(Table2[[#This Row],[Age 20 to 24]:[Age 90 and Over]])</f>
        <v>88329</v>
      </c>
      <c r="Y272" s="9">
        <f>_xlfn.XLOOKUP(Table2[[#This Row],[Area]],Referendum!E:E,Referendum!L:L,"")</f>
        <v>26545</v>
      </c>
      <c r="Z272" s="9">
        <f>_xlfn.XLOOKUP(Table2[[#This Row],[Area]],Referendum!E:E,Referendum!M:M,"")</f>
        <v>41869</v>
      </c>
      <c r="AA272" s="10">
        <f>(Table2[[#This Row],[Leave Votes]]+Table2[[#This Row],[Remain Votes]])/Table2[[#This Row],[Residents Age &gt;=20]]</f>
        <v>0.77453610931857031</v>
      </c>
      <c r="AB272" s="10">
        <f>Table2[[#This Row],[Remain Votes]]/Table2[[#This Row],[Residents Age &gt;=20]]</f>
        <v>0.30052417665772285</v>
      </c>
      <c r="AC272" s="10">
        <f>Table2[[#This Row],[Leave Votes]]/Table2[[#This Row],[Residents Age &gt;=20]]</f>
        <v>0.47401193266084751</v>
      </c>
    </row>
    <row r="273" spans="1:29" x14ac:dyDescent="0.45">
      <c r="A273" t="s">
        <v>830</v>
      </c>
      <c r="B273" t="s">
        <v>75</v>
      </c>
      <c r="C273" t="s">
        <v>76</v>
      </c>
      <c r="D273" s="1">
        <v>273790</v>
      </c>
      <c r="E273" s="1">
        <v>14601</v>
      </c>
      <c r="F273" s="1">
        <v>13768</v>
      </c>
      <c r="G273" s="1">
        <v>15672</v>
      </c>
      <c r="H273" s="1">
        <v>16642</v>
      </c>
      <c r="I273" s="1">
        <v>15915</v>
      </c>
      <c r="J273" s="1">
        <v>14915</v>
      </c>
      <c r="K273" s="1">
        <v>13445</v>
      </c>
      <c r="L273" s="1">
        <v>15389</v>
      </c>
      <c r="M273" s="1">
        <v>18772</v>
      </c>
      <c r="N273" s="1">
        <v>21160</v>
      </c>
      <c r="O273" s="1">
        <v>20290</v>
      </c>
      <c r="P273" s="1">
        <v>17790</v>
      </c>
      <c r="Q273" s="1">
        <v>18420</v>
      </c>
      <c r="R273" s="1">
        <v>15058</v>
      </c>
      <c r="S273" s="1">
        <v>13715</v>
      </c>
      <c r="T273" s="1">
        <v>11879</v>
      </c>
      <c r="U273" s="1">
        <v>8833</v>
      </c>
      <c r="V273" s="1">
        <v>4931</v>
      </c>
      <c r="W273" s="1">
        <v>2595</v>
      </c>
      <c r="X273" s="9">
        <f>SUM(Table2[[#This Row],[Age 20 to 24]:[Age 90 and Over]])</f>
        <v>213107</v>
      </c>
      <c r="Y273" s="9">
        <f>_xlfn.XLOOKUP(Table2[[#This Row],[Area]],Referendum!E:E,Referendum!L:L,"")</f>
        <v>76702</v>
      </c>
      <c r="Z273" s="9">
        <f>_xlfn.XLOOKUP(Table2[[#This Row],[Area]],Referendum!E:E,Referendum!M:M,"")</f>
        <v>71176</v>
      </c>
      <c r="AA273" s="10">
        <f>(Table2[[#This Row],[Leave Votes]]+Table2[[#This Row],[Remain Votes]])/Table2[[#This Row],[Residents Age &gt;=20]]</f>
        <v>0.69391432472889203</v>
      </c>
      <c r="AB273" s="10">
        <f>Table2[[#This Row],[Remain Votes]]/Table2[[#This Row],[Residents Age &gt;=20]]</f>
        <v>0.359922480256397</v>
      </c>
      <c r="AC273" s="10">
        <f>Table2[[#This Row],[Leave Votes]]/Table2[[#This Row],[Residents Age &gt;=20]]</f>
        <v>0.33399184447249503</v>
      </c>
    </row>
    <row r="274" spans="1:29" x14ac:dyDescent="0.45">
      <c r="A274" t="s">
        <v>830</v>
      </c>
      <c r="B274" t="s">
        <v>169</v>
      </c>
      <c r="C274" t="s">
        <v>170</v>
      </c>
      <c r="D274" s="1">
        <v>83449</v>
      </c>
      <c r="E274" s="1">
        <v>4875</v>
      </c>
      <c r="F274" s="1">
        <v>4559</v>
      </c>
      <c r="G274" s="1">
        <v>4852</v>
      </c>
      <c r="H274" s="1">
        <v>5007</v>
      </c>
      <c r="I274" s="1">
        <v>4453</v>
      </c>
      <c r="J274" s="1">
        <v>4346</v>
      </c>
      <c r="K274" s="1">
        <v>4420</v>
      </c>
      <c r="L274" s="1">
        <v>5518</v>
      </c>
      <c r="M274" s="1">
        <v>6651</v>
      </c>
      <c r="N274" s="1">
        <v>7053</v>
      </c>
      <c r="O274" s="1">
        <v>6289</v>
      </c>
      <c r="P274" s="1">
        <v>5419</v>
      </c>
      <c r="Q274" s="1">
        <v>6001</v>
      </c>
      <c r="R274" s="1">
        <v>4463</v>
      </c>
      <c r="S274" s="1">
        <v>3239</v>
      </c>
      <c r="T274" s="1">
        <v>2655</v>
      </c>
      <c r="U274" s="1">
        <v>1899</v>
      </c>
      <c r="V274" s="1">
        <v>1147</v>
      </c>
      <c r="W274">
        <v>603</v>
      </c>
      <c r="X274" s="9">
        <f>SUM(Table2[[#This Row],[Age 20 to 24]:[Age 90 and Over]])</f>
        <v>64156</v>
      </c>
      <c r="Y274" s="9">
        <f>_xlfn.XLOOKUP(Table2[[#This Row],[Area]],Referendum!E:E,Referendum!L:L,"")</f>
        <v>21071</v>
      </c>
      <c r="Z274" s="9">
        <f>_xlfn.XLOOKUP(Table2[[#This Row],[Area]],Referendum!E:E,Referendum!M:M,"")</f>
        <v>30532</v>
      </c>
      <c r="AA274" s="10">
        <f>(Table2[[#This Row],[Leave Votes]]+Table2[[#This Row],[Remain Votes]])/Table2[[#This Row],[Residents Age &gt;=20]]</f>
        <v>0.80433630525593869</v>
      </c>
      <c r="AB274" s="10">
        <f>Table2[[#This Row],[Remain Votes]]/Table2[[#This Row],[Residents Age &gt;=20]]</f>
        <v>0.32843381756967394</v>
      </c>
      <c r="AC274" s="10">
        <f>Table2[[#This Row],[Leave Votes]]/Table2[[#This Row],[Residents Age &gt;=20]]</f>
        <v>0.47590248768626475</v>
      </c>
    </row>
    <row r="275" spans="1:29" x14ac:dyDescent="0.45">
      <c r="A275" t="s">
        <v>830</v>
      </c>
      <c r="B275" t="s">
        <v>557</v>
      </c>
      <c r="C275" t="s">
        <v>558</v>
      </c>
      <c r="D275" s="1">
        <v>114893</v>
      </c>
      <c r="E275" s="1">
        <v>6976</v>
      </c>
      <c r="F275" s="1">
        <v>6933</v>
      </c>
      <c r="G275" s="1">
        <v>7093</v>
      </c>
      <c r="H275" s="1">
        <v>6877</v>
      </c>
      <c r="I275" s="1">
        <v>5232</v>
      </c>
      <c r="J275" s="1">
        <v>5234</v>
      </c>
      <c r="K275" s="1">
        <v>6263</v>
      </c>
      <c r="L275" s="1">
        <v>7374</v>
      </c>
      <c r="M275" s="1">
        <v>8740</v>
      </c>
      <c r="N275" s="1">
        <v>9084</v>
      </c>
      <c r="O275" s="1">
        <v>8030</v>
      </c>
      <c r="P275" s="1">
        <v>7202</v>
      </c>
      <c r="Q275" s="1">
        <v>8188</v>
      </c>
      <c r="R275" s="1">
        <v>6318</v>
      </c>
      <c r="S275" s="1">
        <v>4966</v>
      </c>
      <c r="T275" s="1">
        <v>4194</v>
      </c>
      <c r="U275" s="1">
        <v>3252</v>
      </c>
      <c r="V275" s="1">
        <v>1908</v>
      </c>
      <c r="W275" s="1">
        <v>1029</v>
      </c>
      <c r="X275" s="9">
        <f>SUM(Table2[[#This Row],[Age 20 to 24]:[Age 90 and Over]])</f>
        <v>87014</v>
      </c>
      <c r="Y275" s="9">
        <f>_xlfn.XLOOKUP(Table2[[#This Row],[Area]],Referendum!E:E,Referendum!L:L,"")</f>
        <v>32091</v>
      </c>
      <c r="Z275" s="9">
        <f>_xlfn.XLOOKUP(Table2[[#This Row],[Area]],Referendum!E:E,Referendum!M:M,"")</f>
        <v>38258</v>
      </c>
      <c r="AA275" s="10">
        <f>(Table2[[#This Row],[Leave Votes]]+Table2[[#This Row],[Remain Votes]])/Table2[[#This Row],[Residents Age &gt;=20]]</f>
        <v>0.80847909531799478</v>
      </c>
      <c r="AB275" s="10">
        <f>Table2[[#This Row],[Remain Votes]]/Table2[[#This Row],[Residents Age &gt;=20]]</f>
        <v>0.36880272140115383</v>
      </c>
      <c r="AC275" s="10">
        <f>Table2[[#This Row],[Leave Votes]]/Table2[[#This Row],[Residents Age &gt;=20]]</f>
        <v>0.43967637391684095</v>
      </c>
    </row>
    <row r="276" spans="1:29" x14ac:dyDescent="0.45">
      <c r="A276" t="s">
        <v>830</v>
      </c>
      <c r="B276" t="s">
        <v>135</v>
      </c>
      <c r="C276" t="s">
        <v>136</v>
      </c>
      <c r="D276" s="1">
        <v>552698</v>
      </c>
      <c r="E276" s="1">
        <v>33977</v>
      </c>
      <c r="F276" s="1">
        <v>30337</v>
      </c>
      <c r="G276" s="1">
        <v>30193</v>
      </c>
      <c r="H276" s="1">
        <v>42309</v>
      </c>
      <c r="I276" s="1">
        <v>56134</v>
      </c>
      <c r="J276" s="1">
        <v>38805</v>
      </c>
      <c r="K276" s="1">
        <v>35936</v>
      </c>
      <c r="L276" s="1">
        <v>34878</v>
      </c>
      <c r="M276" s="1">
        <v>39453</v>
      </c>
      <c r="N276" s="1">
        <v>36497</v>
      </c>
      <c r="O276" s="1">
        <v>32216</v>
      </c>
      <c r="P276" s="1">
        <v>27578</v>
      </c>
      <c r="Q276" s="1">
        <v>28687</v>
      </c>
      <c r="R276" s="1">
        <v>24114</v>
      </c>
      <c r="S276" s="1">
        <v>20574</v>
      </c>
      <c r="T276" s="1">
        <v>16800</v>
      </c>
      <c r="U276" s="1">
        <v>12437</v>
      </c>
      <c r="V276" s="1">
        <v>7600</v>
      </c>
      <c r="W276" s="1">
        <v>4173</v>
      </c>
      <c r="X276" s="9">
        <f>SUM(Table2[[#This Row],[Age 20 to 24]:[Age 90 and Over]])</f>
        <v>415882</v>
      </c>
      <c r="Y276" s="9">
        <f>_xlfn.XLOOKUP(Table2[[#This Row],[Area]],Referendum!E:E,Referendum!L:L,"")</f>
        <v>130735</v>
      </c>
      <c r="Z276" s="9">
        <f>_xlfn.XLOOKUP(Table2[[#This Row],[Area]],Referendum!E:E,Referendum!M:M,"")</f>
        <v>136018</v>
      </c>
      <c r="AA276" s="10">
        <f>(Table2[[#This Row],[Leave Votes]]+Table2[[#This Row],[Remain Votes]])/Table2[[#This Row],[Residents Age &gt;=20]]</f>
        <v>0.64141511294068987</v>
      </c>
      <c r="AB276" s="10">
        <f>Table2[[#This Row],[Remain Votes]]/Table2[[#This Row],[Residents Age &gt;=20]]</f>
        <v>0.31435599521017982</v>
      </c>
      <c r="AC276" s="10">
        <f>Table2[[#This Row],[Leave Votes]]/Table2[[#This Row],[Residents Age &gt;=20]]</f>
        <v>0.32705911773051011</v>
      </c>
    </row>
    <row r="277" spans="1:29" x14ac:dyDescent="0.45">
      <c r="A277" t="s">
        <v>830</v>
      </c>
      <c r="B277" t="s">
        <v>559</v>
      </c>
      <c r="C277" t="s">
        <v>560</v>
      </c>
      <c r="D277" s="1">
        <v>107969</v>
      </c>
      <c r="E277" s="1">
        <v>5996</v>
      </c>
      <c r="F277" s="1">
        <v>5575</v>
      </c>
      <c r="G277" s="1">
        <v>6331</v>
      </c>
      <c r="H277" s="1">
        <v>6590</v>
      </c>
      <c r="I277" s="1">
        <v>6200</v>
      </c>
      <c r="J277" s="1">
        <v>5591</v>
      </c>
      <c r="K277" s="1">
        <v>5601</v>
      </c>
      <c r="L277" s="1">
        <v>6234</v>
      </c>
      <c r="M277" s="1">
        <v>7697</v>
      </c>
      <c r="N277" s="1">
        <v>7815</v>
      </c>
      <c r="O277" s="1">
        <v>7166</v>
      </c>
      <c r="P277" s="1">
        <v>6616</v>
      </c>
      <c r="Q277" s="1">
        <v>8142</v>
      </c>
      <c r="R277" s="1">
        <v>6418</v>
      </c>
      <c r="S277" s="1">
        <v>5175</v>
      </c>
      <c r="T277" s="1">
        <v>4124</v>
      </c>
      <c r="U277" s="1">
        <v>3289</v>
      </c>
      <c r="V277" s="1">
        <v>2141</v>
      </c>
      <c r="W277" s="1">
        <v>1268</v>
      </c>
      <c r="X277" s="9">
        <f>SUM(Table2[[#This Row],[Age 20 to 24]:[Age 90 and Over]])</f>
        <v>83477</v>
      </c>
      <c r="Y277" s="9">
        <f>_xlfn.XLOOKUP(Table2[[#This Row],[Area]],Referendum!E:E,Referendum!L:L,"")</f>
        <v>22884</v>
      </c>
      <c r="Z277" s="9">
        <f>_xlfn.XLOOKUP(Table2[[#This Row],[Area]],Referendum!E:E,Referendum!M:M,"")</f>
        <v>37729</v>
      </c>
      <c r="AA277" s="10">
        <f>(Table2[[#This Row],[Leave Votes]]+Table2[[#This Row],[Remain Votes]])/Table2[[#This Row],[Residents Age &gt;=20]]</f>
        <v>0.72610419636546597</v>
      </c>
      <c r="AB277" s="10">
        <f>Table2[[#This Row],[Remain Votes]]/Table2[[#This Row],[Residents Age &gt;=20]]</f>
        <v>0.27413539058662867</v>
      </c>
      <c r="AC277" s="10">
        <f>Table2[[#This Row],[Leave Votes]]/Table2[[#This Row],[Residents Age &gt;=20]]</f>
        <v>0.4519688057788373</v>
      </c>
    </row>
    <row r="278" spans="1:29" x14ac:dyDescent="0.45">
      <c r="A278" t="s">
        <v>837</v>
      </c>
      <c r="B278" t="s">
        <v>749</v>
      </c>
      <c r="C278" t="s">
        <v>750</v>
      </c>
      <c r="D278" s="1">
        <v>23200</v>
      </c>
      <c r="E278" s="1">
        <v>1400</v>
      </c>
      <c r="F278" s="1">
        <v>1300</v>
      </c>
      <c r="G278" s="1">
        <v>1500</v>
      </c>
      <c r="H278" s="1">
        <v>1400</v>
      </c>
      <c r="I278" s="1">
        <v>1300</v>
      </c>
      <c r="J278" s="1">
        <v>1200</v>
      </c>
      <c r="K278" s="1">
        <v>1400</v>
      </c>
      <c r="L278" s="1">
        <v>1500</v>
      </c>
      <c r="M278" s="1">
        <v>1700</v>
      </c>
      <c r="N278" s="1">
        <v>1800</v>
      </c>
      <c r="O278" s="1">
        <v>1600</v>
      </c>
      <c r="P278" s="1">
        <v>1600</v>
      </c>
      <c r="Q278" s="1">
        <v>1600</v>
      </c>
      <c r="R278" s="1">
        <v>1200</v>
      </c>
      <c r="S278">
        <v>900</v>
      </c>
      <c r="T278">
        <v>700</v>
      </c>
      <c r="U278">
        <v>900</v>
      </c>
      <c r="X278" s="9">
        <f>SUM(Table2[[#This Row],[Age 20 to 24]:[Age 90 and Over]])</f>
        <v>17400</v>
      </c>
      <c r="Y278" s="9">
        <f>_xlfn.XLOOKUP(Table2[[#This Row],[Area]],Referendum!E:E,Referendum!L:L,"")</f>
        <v>6907</v>
      </c>
      <c r="Z278" s="9">
        <f>_xlfn.XLOOKUP(Table2[[#This Row],[Area]],Referendum!E:E,Referendum!M:M,"")</f>
        <v>5315</v>
      </c>
      <c r="AA278" s="10">
        <f>(Table2[[#This Row],[Leave Votes]]+Table2[[#This Row],[Remain Votes]])/Table2[[#This Row],[Residents Age &gt;=20]]</f>
        <v>0.70241379310344831</v>
      </c>
      <c r="AB278" s="10">
        <f>Table2[[#This Row],[Remain Votes]]/Table2[[#This Row],[Residents Age &gt;=20]]</f>
        <v>0.39695402298850574</v>
      </c>
      <c r="AC278" s="10">
        <f>Table2[[#This Row],[Leave Votes]]/Table2[[#This Row],[Residents Age &gt;=20]]</f>
        <v>0.30545977011494252</v>
      </c>
    </row>
    <row r="279" spans="1:29" x14ac:dyDescent="0.45">
      <c r="A279" t="s">
        <v>830</v>
      </c>
      <c r="B279" t="s">
        <v>273</v>
      </c>
      <c r="C279" t="s">
        <v>274</v>
      </c>
      <c r="D279" s="1">
        <v>306129</v>
      </c>
      <c r="E279" s="1">
        <v>15698</v>
      </c>
      <c r="F279" s="1">
        <v>15632</v>
      </c>
      <c r="G279" s="1">
        <v>17915</v>
      </c>
      <c r="H279" s="1">
        <v>18951</v>
      </c>
      <c r="I279" s="1">
        <v>16619</v>
      </c>
      <c r="J279" s="1">
        <v>15619</v>
      </c>
      <c r="K279" s="1">
        <v>15405</v>
      </c>
      <c r="L279" s="1">
        <v>17790</v>
      </c>
      <c r="M279" s="1">
        <v>22163</v>
      </c>
      <c r="N279" s="1">
        <v>23574</v>
      </c>
      <c r="O279" s="1">
        <v>21004</v>
      </c>
      <c r="P279" s="1">
        <v>20160</v>
      </c>
      <c r="Q279" s="1">
        <v>22300</v>
      </c>
      <c r="R279" s="1">
        <v>19059</v>
      </c>
      <c r="S279" s="1">
        <v>15153</v>
      </c>
      <c r="T279" s="1">
        <v>11709</v>
      </c>
      <c r="U279" s="1">
        <v>8971</v>
      </c>
      <c r="V279" s="1">
        <v>5571</v>
      </c>
      <c r="W279" s="1">
        <v>2836</v>
      </c>
      <c r="X279" s="9">
        <f>SUM(Table2[[#This Row],[Age 20 to 24]:[Age 90 and Over]])</f>
        <v>237933</v>
      </c>
      <c r="Y279" s="9">
        <f>_xlfn.XLOOKUP(Table2[[#This Row],[Area]],Referendum!E:E,Referendum!L:L,"")</f>
        <v>78987</v>
      </c>
      <c r="Z279" s="9">
        <f>_xlfn.XLOOKUP(Table2[[#This Row],[Area]],Referendum!E:E,Referendum!M:M,"")</f>
        <v>104166</v>
      </c>
      <c r="AA279" s="10">
        <f>(Table2[[#This Row],[Leave Votes]]+Table2[[#This Row],[Remain Votes]])/Table2[[#This Row],[Residents Age &gt;=20]]</f>
        <v>0.76976711931510133</v>
      </c>
      <c r="AB279" s="10">
        <f>Table2[[#This Row],[Remain Votes]]/Table2[[#This Row],[Residents Age &gt;=20]]</f>
        <v>0.33197160545195498</v>
      </c>
      <c r="AC279" s="10">
        <f>Table2[[#This Row],[Leave Votes]]/Table2[[#This Row],[Residents Age &gt;=20]]</f>
        <v>0.43779551386314636</v>
      </c>
    </row>
    <row r="280" spans="1:29" x14ac:dyDescent="0.45">
      <c r="A280" t="s">
        <v>830</v>
      </c>
      <c r="B280" t="s">
        <v>489</v>
      </c>
      <c r="C280" t="s">
        <v>490</v>
      </c>
      <c r="D280" s="1">
        <v>140205</v>
      </c>
      <c r="E280" s="1">
        <v>12777</v>
      </c>
      <c r="F280" s="1">
        <v>9994</v>
      </c>
      <c r="G280" s="1">
        <v>9034</v>
      </c>
      <c r="H280" s="1">
        <v>8574</v>
      </c>
      <c r="I280" s="1">
        <v>9574</v>
      </c>
      <c r="J280" s="1">
        <v>13351</v>
      </c>
      <c r="K280" s="1">
        <v>14201</v>
      </c>
      <c r="L280" s="1">
        <v>11608</v>
      </c>
      <c r="M280" s="1">
        <v>10093</v>
      </c>
      <c r="N280" s="1">
        <v>8993</v>
      </c>
      <c r="O280" s="1">
        <v>7631</v>
      </c>
      <c r="P280" s="1">
        <v>6391</v>
      </c>
      <c r="Q280" s="1">
        <v>5160</v>
      </c>
      <c r="R280" s="1">
        <v>3536</v>
      </c>
      <c r="S280" s="1">
        <v>3101</v>
      </c>
      <c r="T280" s="1">
        <v>2626</v>
      </c>
      <c r="U280" s="1">
        <v>1879</v>
      </c>
      <c r="V280" s="1">
        <v>1103</v>
      </c>
      <c r="W280">
        <v>579</v>
      </c>
      <c r="X280" s="9">
        <f>SUM(Table2[[#This Row],[Age 20 to 24]:[Age 90 and Over]])</f>
        <v>99826</v>
      </c>
      <c r="Y280" s="9">
        <f>_xlfn.XLOOKUP(Table2[[#This Row],[Area]],Referendum!E:E,Referendum!L:L,"")</f>
        <v>24911</v>
      </c>
      <c r="Z280" s="9">
        <f>_xlfn.XLOOKUP(Table2[[#This Row],[Area]],Referendum!E:E,Referendum!M:M,"")</f>
        <v>29631</v>
      </c>
      <c r="AA280" s="10">
        <f>(Table2[[#This Row],[Leave Votes]]+Table2[[#This Row],[Remain Votes]])/Table2[[#This Row],[Residents Age &gt;=20]]</f>
        <v>0.5463706849918859</v>
      </c>
      <c r="AB280" s="10">
        <f>Table2[[#This Row],[Remain Votes]]/Table2[[#This Row],[Residents Age &gt;=20]]</f>
        <v>0.24954420692004087</v>
      </c>
      <c r="AC280" s="10">
        <f>Table2[[#This Row],[Leave Votes]]/Table2[[#This Row],[Residents Age &gt;=20]]</f>
        <v>0.29682647807184503</v>
      </c>
    </row>
    <row r="281" spans="1:29" x14ac:dyDescent="0.45">
      <c r="A281" t="s">
        <v>830</v>
      </c>
      <c r="B281" t="s">
        <v>263</v>
      </c>
      <c r="C281" t="s">
        <v>264</v>
      </c>
      <c r="D281" s="1">
        <v>206674</v>
      </c>
      <c r="E281" s="1">
        <v>11555</v>
      </c>
      <c r="F281" s="1">
        <v>11711</v>
      </c>
      <c r="G281" s="1">
        <v>13111</v>
      </c>
      <c r="H281" s="1">
        <v>13406</v>
      </c>
      <c r="I281" s="1">
        <v>11365</v>
      </c>
      <c r="J281" s="1">
        <v>10664</v>
      </c>
      <c r="K281" s="1">
        <v>10683</v>
      </c>
      <c r="L281" s="1">
        <v>12380</v>
      </c>
      <c r="M281" s="1">
        <v>15355</v>
      </c>
      <c r="N281" s="1">
        <v>16534</v>
      </c>
      <c r="O281" s="1">
        <v>14258</v>
      </c>
      <c r="P281" s="1">
        <v>12226</v>
      </c>
      <c r="Q281" s="1">
        <v>13830</v>
      </c>
      <c r="R281" s="1">
        <v>11530</v>
      </c>
      <c r="S281" s="1">
        <v>8933</v>
      </c>
      <c r="T281" s="1">
        <v>7529</v>
      </c>
      <c r="U281" s="1">
        <v>6103</v>
      </c>
      <c r="V281" s="1">
        <v>3621</v>
      </c>
      <c r="W281" s="1">
        <v>1880</v>
      </c>
      <c r="X281" s="9">
        <f>SUM(Table2[[#This Row],[Age 20 to 24]:[Age 90 and Over]])</f>
        <v>156891</v>
      </c>
      <c r="Y281" s="9">
        <f>_xlfn.XLOOKUP(Table2[[#This Row],[Area]],Referendum!E:E,Referendum!L:L,"")</f>
        <v>53466</v>
      </c>
      <c r="Z281" s="9">
        <f>_xlfn.XLOOKUP(Table2[[#This Row],[Area]],Referendum!E:E,Referendum!M:M,"")</f>
        <v>68484</v>
      </c>
      <c r="AA281" s="10">
        <f>(Table2[[#This Row],[Leave Votes]]+Table2[[#This Row],[Remain Votes]])/Table2[[#This Row],[Residents Age &gt;=20]]</f>
        <v>0.77729124041532016</v>
      </c>
      <c r="AB281" s="10">
        <f>Table2[[#This Row],[Remain Votes]]/Table2[[#This Row],[Residents Age &gt;=20]]</f>
        <v>0.34078436621603536</v>
      </c>
      <c r="AC281" s="10">
        <f>Table2[[#This Row],[Leave Votes]]/Table2[[#This Row],[Residents Age &gt;=20]]</f>
        <v>0.43650687419928486</v>
      </c>
    </row>
    <row r="282" spans="1:29" x14ac:dyDescent="0.45">
      <c r="A282" t="s">
        <v>837</v>
      </c>
      <c r="B282" t="s">
        <v>751</v>
      </c>
      <c r="C282" t="s">
        <v>752</v>
      </c>
      <c r="D282" s="1">
        <v>112800</v>
      </c>
      <c r="E282" s="1">
        <v>5500</v>
      </c>
      <c r="F282" s="1">
        <v>5400</v>
      </c>
      <c r="G282" s="1">
        <v>6200</v>
      </c>
      <c r="H282" s="1">
        <v>6400</v>
      </c>
      <c r="I282" s="1">
        <v>6200</v>
      </c>
      <c r="J282" s="1">
        <v>5500</v>
      </c>
      <c r="K282" s="1">
        <v>5400</v>
      </c>
      <c r="L282" s="1">
        <v>6400</v>
      </c>
      <c r="M282" s="1">
        <v>7900</v>
      </c>
      <c r="N282" s="1">
        <v>8800</v>
      </c>
      <c r="O282" s="1">
        <v>8500</v>
      </c>
      <c r="P282" s="1">
        <v>7900</v>
      </c>
      <c r="Q282" s="1">
        <v>8400</v>
      </c>
      <c r="R282" s="1">
        <v>7200</v>
      </c>
      <c r="S282" s="1">
        <v>5900</v>
      </c>
      <c r="T282" s="1">
        <v>4800</v>
      </c>
      <c r="U282" s="1">
        <v>6400</v>
      </c>
      <c r="X282" s="9">
        <f>SUM(Table2[[#This Row],[Age 20 to 24]:[Age 90 and Over]])</f>
        <v>89300</v>
      </c>
      <c r="Y282" s="9">
        <f>_xlfn.XLOOKUP(Table2[[#This Row],[Area]],Referendum!E:E,Referendum!L:L,"")</f>
        <v>36265</v>
      </c>
      <c r="Z282" s="9">
        <f>_xlfn.XLOOKUP(Table2[[#This Row],[Area]],Referendum!E:E,Referendum!M:M,"")</f>
        <v>25241</v>
      </c>
      <c r="AA282" s="10">
        <f>(Table2[[#This Row],[Leave Votes]]+Table2[[#This Row],[Remain Votes]])/Table2[[#This Row],[Residents Age &gt;=20]]</f>
        <v>0.68875699888017916</v>
      </c>
      <c r="AB282" s="10">
        <f>Table2[[#This Row],[Remain Votes]]/Table2[[#This Row],[Residents Age &gt;=20]]</f>
        <v>0.40610302351623739</v>
      </c>
      <c r="AC282" s="10">
        <f>Table2[[#This Row],[Leave Votes]]/Table2[[#This Row],[Residents Age &gt;=20]]</f>
        <v>0.28265397536394177</v>
      </c>
    </row>
    <row r="283" spans="1:29" x14ac:dyDescent="0.45">
      <c r="A283" t="s">
        <v>830</v>
      </c>
      <c r="B283" t="s">
        <v>509</v>
      </c>
      <c r="C283" t="s">
        <v>510</v>
      </c>
      <c r="D283" s="1">
        <v>66867</v>
      </c>
      <c r="E283" s="1">
        <v>3931</v>
      </c>
      <c r="F283" s="1">
        <v>3817</v>
      </c>
      <c r="G283" s="1">
        <v>4090</v>
      </c>
      <c r="H283" s="1">
        <v>3897</v>
      </c>
      <c r="I283" s="1">
        <v>3114</v>
      </c>
      <c r="J283" s="1">
        <v>3414</v>
      </c>
      <c r="K283" s="1">
        <v>3464</v>
      </c>
      <c r="L283" s="1">
        <v>4057</v>
      </c>
      <c r="M283" s="1">
        <v>5202</v>
      </c>
      <c r="N283" s="1">
        <v>5412</v>
      </c>
      <c r="O283" s="1">
        <v>5002</v>
      </c>
      <c r="P283" s="1">
        <v>4233</v>
      </c>
      <c r="Q283" s="1">
        <v>4283</v>
      </c>
      <c r="R283" s="1">
        <v>3437</v>
      </c>
      <c r="S283" s="1">
        <v>3115</v>
      </c>
      <c r="T283" s="1">
        <v>2477</v>
      </c>
      <c r="U283" s="1">
        <v>2001</v>
      </c>
      <c r="V283" s="1">
        <v>1234</v>
      </c>
      <c r="W283">
        <v>687</v>
      </c>
      <c r="X283" s="9">
        <f>SUM(Table2[[#This Row],[Age 20 to 24]:[Age 90 and Over]])</f>
        <v>51132</v>
      </c>
      <c r="Y283" s="9">
        <f>_xlfn.XLOOKUP(Table2[[#This Row],[Area]],Referendum!E:E,Referendum!L:L,"")</f>
        <v>20077</v>
      </c>
      <c r="Z283" s="9">
        <f>_xlfn.XLOOKUP(Table2[[#This Row],[Area]],Referendum!E:E,Referendum!M:M,"")</f>
        <v>20647</v>
      </c>
      <c r="AA283" s="10">
        <f>(Table2[[#This Row],[Leave Votes]]+Table2[[#This Row],[Remain Votes]])/Table2[[#This Row],[Residents Age &gt;=20]]</f>
        <v>0.79644840804193073</v>
      </c>
      <c r="AB283" s="10">
        <f>Table2[[#This Row],[Remain Votes]]/Table2[[#This Row],[Residents Age &gt;=20]]</f>
        <v>0.39265039505593369</v>
      </c>
      <c r="AC283" s="10">
        <f>Table2[[#This Row],[Leave Votes]]/Table2[[#This Row],[Residents Age &gt;=20]]</f>
        <v>0.40379801298599705</v>
      </c>
    </row>
    <row r="284" spans="1:29" x14ac:dyDescent="0.45">
      <c r="A284" t="s">
        <v>830</v>
      </c>
      <c r="B284" t="s">
        <v>337</v>
      </c>
      <c r="C284" t="s">
        <v>338</v>
      </c>
      <c r="D284" s="1">
        <v>148755</v>
      </c>
      <c r="E284" s="1">
        <v>9300</v>
      </c>
      <c r="F284" s="1">
        <v>9061</v>
      </c>
      <c r="G284" s="1">
        <v>9106</v>
      </c>
      <c r="H284" s="1">
        <v>8734</v>
      </c>
      <c r="I284" s="1">
        <v>7148</v>
      </c>
      <c r="J284" s="1">
        <v>8083</v>
      </c>
      <c r="K284" s="1">
        <v>9442</v>
      </c>
      <c r="L284" s="1">
        <v>10791</v>
      </c>
      <c r="M284" s="1">
        <v>11724</v>
      </c>
      <c r="N284" s="1">
        <v>11795</v>
      </c>
      <c r="O284" s="1">
        <v>10168</v>
      </c>
      <c r="P284" s="1">
        <v>8945</v>
      </c>
      <c r="Q284" s="1">
        <v>9756</v>
      </c>
      <c r="R284" s="1">
        <v>7515</v>
      </c>
      <c r="S284" s="1">
        <v>5624</v>
      </c>
      <c r="T284" s="1">
        <v>4576</v>
      </c>
      <c r="U284" s="1">
        <v>3590</v>
      </c>
      <c r="V284" s="1">
        <v>2244</v>
      </c>
      <c r="W284" s="1">
        <v>1153</v>
      </c>
      <c r="X284" s="9">
        <f>SUM(Table2[[#This Row],[Age 20 to 24]:[Age 90 and Over]])</f>
        <v>112554</v>
      </c>
      <c r="Y284" s="9">
        <f>_xlfn.XLOOKUP(Table2[[#This Row],[Area]],Referendum!E:E,Referendum!L:L,"")</f>
        <v>56128</v>
      </c>
      <c r="Z284" s="9">
        <f>_xlfn.XLOOKUP(Table2[[#This Row],[Area]],Referendum!E:E,Referendum!M:M,"")</f>
        <v>37061</v>
      </c>
      <c r="AA284" s="10">
        <f>(Table2[[#This Row],[Leave Votes]]+Table2[[#This Row],[Remain Votes]])/Table2[[#This Row],[Residents Age &gt;=20]]</f>
        <v>0.82794925102617412</v>
      </c>
      <c r="AB284" s="10">
        <f>Table2[[#This Row],[Remain Votes]]/Table2[[#This Row],[Residents Age &gt;=20]]</f>
        <v>0.49867619098388327</v>
      </c>
      <c r="AC284" s="10">
        <f>Table2[[#This Row],[Leave Votes]]/Table2[[#This Row],[Residents Age &gt;=20]]</f>
        <v>0.32927306004229079</v>
      </c>
    </row>
    <row r="285" spans="1:29" x14ac:dyDescent="0.45">
      <c r="A285" t="s">
        <v>830</v>
      </c>
      <c r="B285" t="s">
        <v>195</v>
      </c>
      <c r="C285" t="s">
        <v>196</v>
      </c>
      <c r="D285" s="1">
        <v>94611</v>
      </c>
      <c r="E285" s="1">
        <v>5724</v>
      </c>
      <c r="F285" s="1">
        <v>5609</v>
      </c>
      <c r="G285" s="1">
        <v>6082</v>
      </c>
      <c r="H285" s="1">
        <v>5874</v>
      </c>
      <c r="I285" s="1">
        <v>4873</v>
      </c>
      <c r="J285" s="1">
        <v>5400</v>
      </c>
      <c r="K285" s="1">
        <v>5972</v>
      </c>
      <c r="L285" s="1">
        <v>6692</v>
      </c>
      <c r="M285" s="1">
        <v>7842</v>
      </c>
      <c r="N285" s="1">
        <v>7559</v>
      </c>
      <c r="O285" s="1">
        <v>6242</v>
      </c>
      <c r="P285" s="1">
        <v>5884</v>
      </c>
      <c r="Q285" s="1">
        <v>6231</v>
      </c>
      <c r="R285" s="1">
        <v>4738</v>
      </c>
      <c r="S285" s="1">
        <v>3429</v>
      </c>
      <c r="T285" s="1">
        <v>2710</v>
      </c>
      <c r="U285" s="1">
        <v>2016</v>
      </c>
      <c r="V285" s="1">
        <v>1153</v>
      </c>
      <c r="W285">
        <v>581</v>
      </c>
      <c r="X285" s="9">
        <f>SUM(Table2[[#This Row],[Age 20 to 24]:[Age 90 and Over]])</f>
        <v>71322</v>
      </c>
      <c r="Y285" s="9">
        <f>_xlfn.XLOOKUP(Table2[[#This Row],[Area]],Referendum!E:E,Referendum!L:L,"")</f>
        <v>22479</v>
      </c>
      <c r="Z285" s="9">
        <f>_xlfn.XLOOKUP(Table2[[#This Row],[Area]],Referendum!E:E,Referendum!M:M,"")</f>
        <v>34216</v>
      </c>
      <c r="AA285" s="10">
        <f>(Table2[[#This Row],[Leave Votes]]+Table2[[#This Row],[Remain Votes]])/Table2[[#This Row],[Residents Age &gt;=20]]</f>
        <v>0.79491601469392337</v>
      </c>
      <c r="AB285" s="10">
        <f>Table2[[#This Row],[Remain Votes]]/Table2[[#This Row],[Residents Age &gt;=20]]</f>
        <v>0.3151762429544881</v>
      </c>
      <c r="AC285" s="10">
        <f>Table2[[#This Row],[Leave Votes]]/Table2[[#This Row],[Residents Age &gt;=20]]</f>
        <v>0.47973977173943522</v>
      </c>
    </row>
    <row r="286" spans="1:29" x14ac:dyDescent="0.45">
      <c r="A286" t="s">
        <v>830</v>
      </c>
      <c r="B286" t="s">
        <v>623</v>
      </c>
      <c r="C286" t="s">
        <v>624</v>
      </c>
      <c r="D286" s="1">
        <v>262767</v>
      </c>
      <c r="E286" s="1">
        <v>15925</v>
      </c>
      <c r="F286" s="1">
        <v>14608</v>
      </c>
      <c r="G286" s="1">
        <v>15858</v>
      </c>
      <c r="H286" s="1">
        <v>17599</v>
      </c>
      <c r="I286" s="1">
        <v>15458</v>
      </c>
      <c r="J286" s="1">
        <v>15606</v>
      </c>
      <c r="K286" s="1">
        <v>15863</v>
      </c>
      <c r="L286" s="1">
        <v>17402</v>
      </c>
      <c r="M286" s="1">
        <v>20709</v>
      </c>
      <c r="N286" s="1">
        <v>21310</v>
      </c>
      <c r="O286" s="1">
        <v>17270</v>
      </c>
      <c r="P286" s="1">
        <v>15002</v>
      </c>
      <c r="Q286" s="1">
        <v>15748</v>
      </c>
      <c r="R286" s="1">
        <v>13465</v>
      </c>
      <c r="S286" s="1">
        <v>10575</v>
      </c>
      <c r="T286" s="1">
        <v>8749</v>
      </c>
      <c r="U286" s="1">
        <v>6086</v>
      </c>
      <c r="V286" s="1">
        <v>3648</v>
      </c>
      <c r="W286" s="1">
        <v>1886</v>
      </c>
      <c r="X286" s="9">
        <f>SUM(Table2[[#This Row],[Age 20 to 24]:[Age 90 and Over]])</f>
        <v>198777</v>
      </c>
      <c r="Y286" s="9">
        <f>_xlfn.XLOOKUP(Table2[[#This Row],[Area]],Referendum!E:E,Referendum!L:L,"")</f>
        <v>74928</v>
      </c>
      <c r="Z286" s="9">
        <f>_xlfn.XLOOKUP(Table2[[#This Row],[Area]],Referendum!E:E,Referendum!M:M,"")</f>
        <v>83405</v>
      </c>
      <c r="AA286" s="10">
        <f>(Table2[[#This Row],[Leave Votes]]+Table2[[#This Row],[Remain Votes]])/Table2[[#This Row],[Residents Age &gt;=20]]</f>
        <v>0.79653581651800764</v>
      </c>
      <c r="AB286" s="10">
        <f>Table2[[#This Row],[Remain Votes]]/Table2[[#This Row],[Residents Age &gt;=20]]</f>
        <v>0.37694501878990022</v>
      </c>
      <c r="AC286" s="10">
        <f>Table2[[#This Row],[Leave Votes]]/Table2[[#This Row],[Residents Age &gt;=20]]</f>
        <v>0.41959079772810737</v>
      </c>
    </row>
    <row r="287" spans="1:29" x14ac:dyDescent="0.45">
      <c r="A287" t="s">
        <v>830</v>
      </c>
      <c r="B287" t="s">
        <v>649</v>
      </c>
      <c r="C287" t="s">
        <v>650</v>
      </c>
      <c r="D287" s="1">
        <v>83140</v>
      </c>
      <c r="E287" s="1">
        <v>3677</v>
      </c>
      <c r="F287" s="1">
        <v>3957</v>
      </c>
      <c r="G287" s="1">
        <v>4602</v>
      </c>
      <c r="H287" s="1">
        <v>4692</v>
      </c>
      <c r="I287" s="1">
        <v>3648</v>
      </c>
      <c r="J287" s="1">
        <v>3424</v>
      </c>
      <c r="K287" s="1">
        <v>3245</v>
      </c>
      <c r="L287" s="1">
        <v>3997</v>
      </c>
      <c r="M287" s="1">
        <v>5535</v>
      </c>
      <c r="N287" s="1">
        <v>6553</v>
      </c>
      <c r="O287" s="1">
        <v>6346</v>
      </c>
      <c r="P287" s="1">
        <v>6231</v>
      </c>
      <c r="Q287" s="1">
        <v>7479</v>
      </c>
      <c r="R287" s="1">
        <v>6034</v>
      </c>
      <c r="S287" s="1">
        <v>4469</v>
      </c>
      <c r="T287" s="1">
        <v>3688</v>
      </c>
      <c r="U287" s="1">
        <v>2774</v>
      </c>
      <c r="V287" s="1">
        <v>1828</v>
      </c>
      <c r="W287">
        <v>961</v>
      </c>
      <c r="X287" s="9">
        <f>SUM(Table2[[#This Row],[Age 20 to 24]:[Age 90 and Over]])</f>
        <v>66212</v>
      </c>
      <c r="Y287" s="9">
        <f>_xlfn.XLOOKUP(Table2[[#This Row],[Area]],Referendum!E:E,Referendum!L:L,"")</f>
        <v>29308</v>
      </c>
      <c r="Z287" s="9">
        <f>_xlfn.XLOOKUP(Table2[[#This Row],[Area]],Referendum!E:E,Referendum!M:M,"")</f>
        <v>26142</v>
      </c>
      <c r="AA287" s="10">
        <f>(Table2[[#This Row],[Leave Votes]]+Table2[[#This Row],[Remain Votes]])/Table2[[#This Row],[Residents Age &gt;=20]]</f>
        <v>0.83746148734368397</v>
      </c>
      <c r="AB287" s="10">
        <f>Table2[[#This Row],[Remain Votes]]/Table2[[#This Row],[Residents Age &gt;=20]]</f>
        <v>0.44263879659276262</v>
      </c>
      <c r="AC287" s="10">
        <f>Table2[[#This Row],[Leave Votes]]/Table2[[#This Row],[Residents Age &gt;=20]]</f>
        <v>0.3948226907509213</v>
      </c>
    </row>
    <row r="288" spans="1:29" x14ac:dyDescent="0.45">
      <c r="A288" t="s">
        <v>830</v>
      </c>
      <c r="B288" t="s">
        <v>219</v>
      </c>
      <c r="C288" t="s">
        <v>220</v>
      </c>
      <c r="D288" s="1">
        <v>88270</v>
      </c>
      <c r="E288" s="1">
        <v>4488</v>
      </c>
      <c r="F288" s="1">
        <v>4295</v>
      </c>
      <c r="G288" s="1">
        <v>4982</v>
      </c>
      <c r="H288" s="1">
        <v>4928</v>
      </c>
      <c r="I288" s="1">
        <v>4523</v>
      </c>
      <c r="J288" s="1">
        <v>4705</v>
      </c>
      <c r="K288" s="1">
        <v>4668</v>
      </c>
      <c r="L288" s="1">
        <v>5303</v>
      </c>
      <c r="M288" s="1">
        <v>6150</v>
      </c>
      <c r="N288" s="1">
        <v>6595</v>
      </c>
      <c r="O288" s="1">
        <v>5843</v>
      </c>
      <c r="P288" s="1">
        <v>5548</v>
      </c>
      <c r="Q288" s="1">
        <v>6579</v>
      </c>
      <c r="R288" s="1">
        <v>5462</v>
      </c>
      <c r="S288" s="1">
        <v>4767</v>
      </c>
      <c r="T288" s="1">
        <v>3933</v>
      </c>
      <c r="U288" s="1">
        <v>2920</v>
      </c>
      <c r="V288" s="1">
        <v>1695</v>
      </c>
      <c r="W288">
        <v>886</v>
      </c>
      <c r="X288" s="9">
        <f>SUM(Table2[[#This Row],[Age 20 to 24]:[Age 90 and Over]])</f>
        <v>69577</v>
      </c>
      <c r="Y288" s="9">
        <f>_xlfn.XLOOKUP(Table2[[#This Row],[Area]],Referendum!E:E,Referendum!L:L,"")</f>
        <v>13074</v>
      </c>
      <c r="Z288" s="9">
        <f>_xlfn.XLOOKUP(Table2[[#This Row],[Area]],Referendum!E:E,Referendum!M:M,"")</f>
        <v>36423</v>
      </c>
      <c r="AA288" s="10">
        <f>(Table2[[#This Row],[Leave Votes]]+Table2[[#This Row],[Remain Votes]])/Table2[[#This Row],[Residents Age &gt;=20]]</f>
        <v>0.7113988818143927</v>
      </c>
      <c r="AB288" s="10">
        <f>Table2[[#This Row],[Remain Votes]]/Table2[[#This Row],[Residents Age &gt;=20]]</f>
        <v>0.18790692326487202</v>
      </c>
      <c r="AC288" s="10">
        <f>Table2[[#This Row],[Leave Votes]]/Table2[[#This Row],[Residents Age &gt;=20]]</f>
        <v>0.52349195854952069</v>
      </c>
    </row>
    <row r="289" spans="1:29" x14ac:dyDescent="0.45">
      <c r="A289" t="s">
        <v>830</v>
      </c>
      <c r="B289" t="s">
        <v>221</v>
      </c>
      <c r="C289" t="s">
        <v>222</v>
      </c>
      <c r="D289" s="1">
        <v>133788</v>
      </c>
      <c r="E289" s="1">
        <v>7432</v>
      </c>
      <c r="F289" s="1">
        <v>7174</v>
      </c>
      <c r="G289" s="1">
        <v>8262</v>
      </c>
      <c r="H289" s="1">
        <v>8123</v>
      </c>
      <c r="I289" s="1">
        <v>6251</v>
      </c>
      <c r="J289" s="1">
        <v>6809</v>
      </c>
      <c r="K289" s="1">
        <v>7069</v>
      </c>
      <c r="L289" s="1">
        <v>8374</v>
      </c>
      <c r="M289" s="1">
        <v>10200</v>
      </c>
      <c r="N289" s="1">
        <v>10600</v>
      </c>
      <c r="O289" s="1">
        <v>9616</v>
      </c>
      <c r="P289" s="1">
        <v>8654</v>
      </c>
      <c r="Q289" s="1">
        <v>9664</v>
      </c>
      <c r="R289" s="1">
        <v>7889</v>
      </c>
      <c r="S289" s="1">
        <v>5905</v>
      </c>
      <c r="T289" s="1">
        <v>4640</v>
      </c>
      <c r="U289" s="1">
        <v>3583</v>
      </c>
      <c r="V289" s="1">
        <v>2379</v>
      </c>
      <c r="W289" s="1">
        <v>1164</v>
      </c>
      <c r="X289" s="9">
        <f>SUM(Table2[[#This Row],[Age 20 to 24]:[Age 90 and Over]])</f>
        <v>102797</v>
      </c>
      <c r="Y289" s="9">
        <f>_xlfn.XLOOKUP(Table2[[#This Row],[Area]],Referendum!E:E,Referendum!L:L,"")</f>
        <v>33047</v>
      </c>
      <c r="Z289" s="9">
        <f>_xlfn.XLOOKUP(Table2[[#This Row],[Area]],Referendum!E:E,Referendum!M:M,"")</f>
        <v>49424</v>
      </c>
      <c r="AA289" s="10">
        <f>(Table2[[#This Row],[Leave Votes]]+Table2[[#This Row],[Remain Votes]])/Table2[[#This Row],[Residents Age &gt;=20]]</f>
        <v>0.80227049427512476</v>
      </c>
      <c r="AB289" s="10">
        <f>Table2[[#This Row],[Remain Votes]]/Table2[[#This Row],[Residents Age &gt;=20]]</f>
        <v>0.32147825325641799</v>
      </c>
      <c r="AC289" s="10">
        <f>Table2[[#This Row],[Leave Votes]]/Table2[[#This Row],[Residents Age &gt;=20]]</f>
        <v>0.48079224101870677</v>
      </c>
    </row>
    <row r="290" spans="1:29" x14ac:dyDescent="0.45">
      <c r="A290" t="s">
        <v>830</v>
      </c>
      <c r="B290" t="s">
        <v>101</v>
      </c>
      <c r="C290" t="s">
        <v>102</v>
      </c>
      <c r="D290" s="1">
        <v>103658</v>
      </c>
      <c r="E290" s="1">
        <v>4466</v>
      </c>
      <c r="F290" s="1">
        <v>4729</v>
      </c>
      <c r="G290" s="1">
        <v>5438</v>
      </c>
      <c r="H290" s="1">
        <v>5798</v>
      </c>
      <c r="I290" s="1">
        <v>4272</v>
      </c>
      <c r="J290" s="1">
        <v>4571</v>
      </c>
      <c r="K290" s="1">
        <v>4758</v>
      </c>
      <c r="L290" s="1">
        <v>5535</v>
      </c>
      <c r="M290" s="1">
        <v>7436</v>
      </c>
      <c r="N290" s="1">
        <v>7913</v>
      </c>
      <c r="O290" s="1">
        <v>7604</v>
      </c>
      <c r="P290" s="1">
        <v>7227</v>
      </c>
      <c r="Q290" s="1">
        <v>8790</v>
      </c>
      <c r="R290" s="1">
        <v>7387</v>
      </c>
      <c r="S290" s="1">
        <v>5788</v>
      </c>
      <c r="T290" s="1">
        <v>4639</v>
      </c>
      <c r="U290" s="1">
        <v>3778</v>
      </c>
      <c r="V290" s="1">
        <v>2295</v>
      </c>
      <c r="W290" s="1">
        <v>1234</v>
      </c>
      <c r="X290" s="9">
        <f>SUM(Table2[[#This Row],[Age 20 to 24]:[Age 90 and Over]])</f>
        <v>83227</v>
      </c>
      <c r="Y290" s="9">
        <f>_xlfn.XLOOKUP(Table2[[#This Row],[Area]],Referendum!E:E,Referendum!L:L,"")</f>
        <v>34531</v>
      </c>
      <c r="Z290" s="9">
        <f>_xlfn.XLOOKUP(Table2[[#This Row],[Area]],Referendum!E:E,Referendum!M:M,"")</f>
        <v>30800</v>
      </c>
      <c r="AA290" s="10">
        <f>(Table2[[#This Row],[Leave Votes]]+Table2[[#This Row],[Remain Votes]])/Table2[[#This Row],[Residents Age &gt;=20]]</f>
        <v>0.78497362634721901</v>
      </c>
      <c r="AB290" s="10">
        <f>Table2[[#This Row],[Remain Votes]]/Table2[[#This Row],[Residents Age &gt;=20]]</f>
        <v>0.41490141420452498</v>
      </c>
      <c r="AC290" s="10">
        <f>Table2[[#This Row],[Leave Votes]]/Table2[[#This Row],[Residents Age &gt;=20]]</f>
        <v>0.37007221214269409</v>
      </c>
    </row>
    <row r="291" spans="1:29" x14ac:dyDescent="0.45">
      <c r="A291" t="s">
        <v>837</v>
      </c>
      <c r="B291" t="s">
        <v>753</v>
      </c>
      <c r="C291" t="s">
        <v>754</v>
      </c>
      <c r="D291" s="1">
        <v>313800</v>
      </c>
      <c r="E291" s="1">
        <v>17400</v>
      </c>
      <c r="F291" s="1">
        <v>16500</v>
      </c>
      <c r="G291" s="1">
        <v>17900</v>
      </c>
      <c r="H291" s="1">
        <v>19200</v>
      </c>
      <c r="I291" s="1">
        <v>17600</v>
      </c>
      <c r="J291" s="1">
        <v>18200</v>
      </c>
      <c r="K291" s="1">
        <v>18400</v>
      </c>
      <c r="L291" s="1">
        <v>20800</v>
      </c>
      <c r="M291" s="1">
        <v>24700</v>
      </c>
      <c r="N291" s="1">
        <v>25500</v>
      </c>
      <c r="O291" s="1">
        <v>23900</v>
      </c>
      <c r="P291" s="1">
        <v>21100</v>
      </c>
      <c r="Q291" s="1">
        <v>19800</v>
      </c>
      <c r="R291" s="1">
        <v>15900</v>
      </c>
      <c r="S291" s="1">
        <v>13300</v>
      </c>
      <c r="T291" s="1">
        <v>10600</v>
      </c>
      <c r="U291" s="1">
        <v>13100</v>
      </c>
      <c r="X291" s="9">
        <f>SUM(Table2[[#This Row],[Age 20 to 24]:[Age 90 and Over]])</f>
        <v>242900</v>
      </c>
      <c r="Y291" s="9">
        <f>_xlfn.XLOOKUP(Table2[[#This Row],[Area]],Referendum!E:E,Referendum!L:L,"")</f>
        <v>102568</v>
      </c>
      <c r="Z291" s="9">
        <f>_xlfn.XLOOKUP(Table2[[#This Row],[Area]],Referendum!E:E,Referendum!M:M,"")</f>
        <v>60024</v>
      </c>
      <c r="AA291" s="10">
        <f>(Table2[[#This Row],[Leave Votes]]+Table2[[#This Row],[Remain Votes]])/Table2[[#This Row],[Residents Age &gt;=20]]</f>
        <v>0.66937834499794158</v>
      </c>
      <c r="AB291" s="10">
        <f>Table2[[#This Row],[Remain Votes]]/Table2[[#This Row],[Residents Age &gt;=20]]</f>
        <v>0.42226430629888845</v>
      </c>
      <c r="AC291" s="10">
        <f>Table2[[#This Row],[Leave Votes]]/Table2[[#This Row],[Residents Age &gt;=20]]</f>
        <v>0.2471140386990531</v>
      </c>
    </row>
    <row r="292" spans="1:29" x14ac:dyDescent="0.45">
      <c r="A292" t="s">
        <v>830</v>
      </c>
      <c r="B292" t="s">
        <v>395</v>
      </c>
      <c r="C292" t="s">
        <v>396</v>
      </c>
      <c r="D292" s="1">
        <v>124012</v>
      </c>
      <c r="E292" s="1">
        <v>6816</v>
      </c>
      <c r="F292" s="1">
        <v>6377</v>
      </c>
      <c r="G292" s="1">
        <v>7557</v>
      </c>
      <c r="H292" s="1">
        <v>7265</v>
      </c>
      <c r="I292" s="1">
        <v>5357</v>
      </c>
      <c r="J292" s="1">
        <v>5740</v>
      </c>
      <c r="K292" s="1">
        <v>6200</v>
      </c>
      <c r="L292" s="1">
        <v>7608</v>
      </c>
      <c r="M292" s="1">
        <v>9031</v>
      </c>
      <c r="N292" s="1">
        <v>9403</v>
      </c>
      <c r="O292" s="1">
        <v>8529</v>
      </c>
      <c r="P292" s="1">
        <v>8033</v>
      </c>
      <c r="Q292" s="1">
        <v>9573</v>
      </c>
      <c r="R292" s="1">
        <v>7939</v>
      </c>
      <c r="S292" s="1">
        <v>6204</v>
      </c>
      <c r="T292" s="1">
        <v>5046</v>
      </c>
      <c r="U292" s="1">
        <v>3842</v>
      </c>
      <c r="V292" s="1">
        <v>2381</v>
      </c>
      <c r="W292" s="1">
        <v>1111</v>
      </c>
      <c r="X292" s="9">
        <f>SUM(Table2[[#This Row],[Age 20 to 24]:[Age 90 and Over]])</f>
        <v>95997</v>
      </c>
      <c r="Y292" s="9">
        <f>_xlfn.XLOOKUP(Table2[[#This Row],[Area]],Referendum!E:E,Referendum!L:L,"")</f>
        <v>38817</v>
      </c>
      <c r="Z292" s="9">
        <f>_xlfn.XLOOKUP(Table2[[#This Row],[Area]],Referendum!E:E,Referendum!M:M,"")</f>
        <v>41541</v>
      </c>
      <c r="AA292" s="10">
        <f>(Table2[[#This Row],[Leave Votes]]+Table2[[#This Row],[Remain Votes]])/Table2[[#This Row],[Residents Age &gt;=20]]</f>
        <v>0.83708865902059437</v>
      </c>
      <c r="AB292" s="10">
        <f>Table2[[#This Row],[Remain Votes]]/Table2[[#This Row],[Residents Age &gt;=20]]</f>
        <v>0.40435638613706676</v>
      </c>
      <c r="AC292" s="10">
        <f>Table2[[#This Row],[Leave Votes]]/Table2[[#This Row],[Residents Age &gt;=20]]</f>
        <v>0.43273227288352761</v>
      </c>
    </row>
    <row r="293" spans="1:29" x14ac:dyDescent="0.45">
      <c r="A293" t="s">
        <v>830</v>
      </c>
      <c r="B293" t="s">
        <v>235</v>
      </c>
      <c r="C293" t="s">
        <v>236</v>
      </c>
      <c r="D293" s="1">
        <v>85189</v>
      </c>
      <c r="E293" s="1">
        <v>4771</v>
      </c>
      <c r="F293" s="1">
        <v>5201</v>
      </c>
      <c r="G293" s="1">
        <v>5507</v>
      </c>
      <c r="H293" s="1">
        <v>4978</v>
      </c>
      <c r="I293" s="1">
        <v>3589</v>
      </c>
      <c r="J293" s="1">
        <v>3603</v>
      </c>
      <c r="K293" s="1">
        <v>4299</v>
      </c>
      <c r="L293" s="1">
        <v>5883</v>
      </c>
      <c r="M293" s="1">
        <v>7242</v>
      </c>
      <c r="N293" s="1">
        <v>7359</v>
      </c>
      <c r="O293" s="1">
        <v>6420</v>
      </c>
      <c r="P293" s="1">
        <v>5598</v>
      </c>
      <c r="Q293" s="1">
        <v>6340</v>
      </c>
      <c r="R293" s="1">
        <v>4754</v>
      </c>
      <c r="S293" s="1">
        <v>3342</v>
      </c>
      <c r="T293" s="1">
        <v>2588</v>
      </c>
      <c r="U293" s="1">
        <v>1909</v>
      </c>
      <c r="V293" s="1">
        <v>1190</v>
      </c>
      <c r="W293">
        <v>616</v>
      </c>
      <c r="X293" s="9">
        <f>SUM(Table2[[#This Row],[Age 20 to 24]:[Age 90 and Over]])</f>
        <v>64732</v>
      </c>
      <c r="Y293" s="9">
        <f>_xlfn.XLOOKUP(Table2[[#This Row],[Area]],Referendum!E:E,Referendum!L:L,"")</f>
        <v>25853</v>
      </c>
      <c r="Z293" s="9">
        <f>_xlfn.XLOOKUP(Table2[[#This Row],[Area]],Referendum!E:E,Referendum!M:M,"")</f>
        <v>30771</v>
      </c>
      <c r="AA293" s="10">
        <f>(Table2[[#This Row],[Leave Votes]]+Table2[[#This Row],[Remain Votes]])/Table2[[#This Row],[Residents Age &gt;=20]]</f>
        <v>0.87474510288574425</v>
      </c>
      <c r="AB293" s="10">
        <f>Table2[[#This Row],[Remain Votes]]/Table2[[#This Row],[Residents Age &gt;=20]]</f>
        <v>0.39938515726379537</v>
      </c>
      <c r="AC293" s="10">
        <f>Table2[[#This Row],[Leave Votes]]/Table2[[#This Row],[Residents Age &gt;=20]]</f>
        <v>0.47535994562194894</v>
      </c>
    </row>
    <row r="294" spans="1:29" x14ac:dyDescent="0.45">
      <c r="A294" t="s">
        <v>830</v>
      </c>
      <c r="B294" t="s">
        <v>573</v>
      </c>
      <c r="C294" t="s">
        <v>574</v>
      </c>
      <c r="D294" s="1">
        <v>134257</v>
      </c>
      <c r="E294" s="1">
        <v>8213</v>
      </c>
      <c r="F294" s="1">
        <v>7843</v>
      </c>
      <c r="G294" s="1">
        <v>8210</v>
      </c>
      <c r="H294" s="1">
        <v>7741</v>
      </c>
      <c r="I294" s="1">
        <v>6214</v>
      </c>
      <c r="J294" s="1">
        <v>7155</v>
      </c>
      <c r="K294" s="1">
        <v>7561</v>
      </c>
      <c r="L294" s="1">
        <v>9212</v>
      </c>
      <c r="M294" s="1">
        <v>10807</v>
      </c>
      <c r="N294" s="1">
        <v>10763</v>
      </c>
      <c r="O294" s="1">
        <v>9353</v>
      </c>
      <c r="P294" s="1">
        <v>8083</v>
      </c>
      <c r="Q294" s="1">
        <v>8722</v>
      </c>
      <c r="R294" s="1">
        <v>7255</v>
      </c>
      <c r="S294" s="1">
        <v>5785</v>
      </c>
      <c r="T294" s="1">
        <v>4591</v>
      </c>
      <c r="U294" s="1">
        <v>3374</v>
      </c>
      <c r="V294" s="1">
        <v>2195</v>
      </c>
      <c r="W294" s="1">
        <v>1180</v>
      </c>
      <c r="X294" s="9">
        <f>SUM(Table2[[#This Row],[Age 20 to 24]:[Age 90 and Over]])</f>
        <v>102250</v>
      </c>
      <c r="Y294" s="9">
        <f>_xlfn.XLOOKUP(Table2[[#This Row],[Area]],Referendum!E:E,Referendum!L:L,"")</f>
        <v>46245</v>
      </c>
      <c r="Z294" s="9">
        <f>_xlfn.XLOOKUP(Table2[[#This Row],[Area]],Referendum!E:E,Referendum!M:M,"")</f>
        <v>37865</v>
      </c>
      <c r="AA294" s="10">
        <f>(Table2[[#This Row],[Leave Votes]]+Table2[[#This Row],[Remain Votes]])/Table2[[#This Row],[Residents Age &gt;=20]]</f>
        <v>0.82259168704156482</v>
      </c>
      <c r="AB294" s="10">
        <f>Table2[[#This Row],[Remain Votes]]/Table2[[#This Row],[Residents Age &gt;=20]]</f>
        <v>0.45227383863080683</v>
      </c>
      <c r="AC294" s="10">
        <f>Table2[[#This Row],[Leave Votes]]/Table2[[#This Row],[Residents Age &gt;=20]]</f>
        <v>0.37031784841075793</v>
      </c>
    </row>
    <row r="295" spans="1:29" x14ac:dyDescent="0.45">
      <c r="A295" t="s">
        <v>830</v>
      </c>
      <c r="B295" t="s">
        <v>121</v>
      </c>
      <c r="C295" t="s">
        <v>122</v>
      </c>
      <c r="D295" s="1">
        <v>109057</v>
      </c>
      <c r="E295" s="1">
        <v>6331</v>
      </c>
      <c r="F295" s="1">
        <v>5883</v>
      </c>
      <c r="G295" s="1">
        <v>6359</v>
      </c>
      <c r="H295" s="1">
        <v>6473</v>
      </c>
      <c r="I295" s="1">
        <v>6349</v>
      </c>
      <c r="J295" s="1">
        <v>6290</v>
      </c>
      <c r="K295" s="1">
        <v>6119</v>
      </c>
      <c r="L295" s="1">
        <v>7400</v>
      </c>
      <c r="M295" s="1">
        <v>8336</v>
      </c>
      <c r="N295" s="1">
        <v>8584</v>
      </c>
      <c r="O295" s="1">
        <v>7284</v>
      </c>
      <c r="P295" s="1">
        <v>6727</v>
      </c>
      <c r="Q295" s="1">
        <v>7510</v>
      </c>
      <c r="R295" s="1">
        <v>5896</v>
      </c>
      <c r="S295" s="1">
        <v>4811</v>
      </c>
      <c r="T295" s="1">
        <v>3607</v>
      </c>
      <c r="U295" s="1">
        <v>2744</v>
      </c>
      <c r="V295" s="1">
        <v>1629</v>
      </c>
      <c r="W295">
        <v>725</v>
      </c>
      <c r="X295" s="9">
        <f>SUM(Table2[[#This Row],[Age 20 to 24]:[Age 90 and Over]])</f>
        <v>84011</v>
      </c>
      <c r="Y295" s="9">
        <f>_xlfn.XLOOKUP(Table2[[#This Row],[Area]],Referendum!E:E,Referendum!L:L,"")</f>
        <v>26406</v>
      </c>
      <c r="Z295" s="9">
        <f>_xlfn.XLOOKUP(Table2[[#This Row],[Area]],Referendum!E:E,Referendum!M:M,"")</f>
        <v>37318</v>
      </c>
      <c r="AA295" s="10">
        <f>(Table2[[#This Row],[Leave Votes]]+Table2[[#This Row],[Remain Votes]])/Table2[[#This Row],[Residents Age &gt;=20]]</f>
        <v>0.75851971765602122</v>
      </c>
      <c r="AB295" s="10">
        <f>Table2[[#This Row],[Remain Votes]]/Table2[[#This Row],[Residents Age &gt;=20]]</f>
        <v>0.31431598243087217</v>
      </c>
      <c r="AC295" s="10">
        <f>Table2[[#This Row],[Leave Votes]]/Table2[[#This Row],[Residents Age &gt;=20]]</f>
        <v>0.44420373522514911</v>
      </c>
    </row>
    <row r="296" spans="1:29" x14ac:dyDescent="0.45">
      <c r="A296" t="s">
        <v>830</v>
      </c>
      <c r="B296" t="s">
        <v>685</v>
      </c>
      <c r="C296" t="s">
        <v>686</v>
      </c>
      <c r="D296" s="1">
        <v>161243</v>
      </c>
      <c r="E296" s="1">
        <v>8771</v>
      </c>
      <c r="F296" s="1">
        <v>8389</v>
      </c>
      <c r="G296" s="1">
        <v>9424</v>
      </c>
      <c r="H296" s="1">
        <v>9588</v>
      </c>
      <c r="I296" s="1">
        <v>8513</v>
      </c>
      <c r="J296" s="1">
        <v>8127</v>
      </c>
      <c r="K296" s="1">
        <v>7860</v>
      </c>
      <c r="L296" s="1">
        <v>9242</v>
      </c>
      <c r="M296" s="1">
        <v>11202</v>
      </c>
      <c r="N296" s="1">
        <v>11747</v>
      </c>
      <c r="O296" s="1">
        <v>10808</v>
      </c>
      <c r="P296" s="1">
        <v>10495</v>
      </c>
      <c r="Q296" s="1">
        <v>12252</v>
      </c>
      <c r="R296" s="1">
        <v>10083</v>
      </c>
      <c r="S296" s="1">
        <v>7907</v>
      </c>
      <c r="T296" s="1">
        <v>6490</v>
      </c>
      <c r="U296" s="1">
        <v>5260</v>
      </c>
      <c r="V296" s="1">
        <v>3308</v>
      </c>
      <c r="W296" s="1">
        <v>1777</v>
      </c>
      <c r="X296" s="9">
        <f>SUM(Table2[[#This Row],[Age 20 to 24]:[Age 90 and Over]])</f>
        <v>125071</v>
      </c>
      <c r="Y296" s="9">
        <f>_xlfn.XLOOKUP(Table2[[#This Row],[Area]],Referendum!E:E,Referendum!L:L,"")</f>
        <v>42527</v>
      </c>
      <c r="Z296" s="9">
        <f>_xlfn.XLOOKUP(Table2[[#This Row],[Area]],Referendum!E:E,Referendum!M:M,"")</f>
        <v>56940</v>
      </c>
      <c r="AA296" s="10">
        <f>(Table2[[#This Row],[Leave Votes]]+Table2[[#This Row],[Remain Votes]])/Table2[[#This Row],[Residents Age &gt;=20]]</f>
        <v>0.79528427852979511</v>
      </c>
      <c r="AB296" s="10">
        <f>Table2[[#This Row],[Remain Votes]]/Table2[[#This Row],[Residents Age &gt;=20]]</f>
        <v>0.34002286701153744</v>
      </c>
      <c r="AC296" s="10">
        <f>Table2[[#This Row],[Leave Votes]]/Table2[[#This Row],[Residents Age &gt;=20]]</f>
        <v>0.45526141151825761</v>
      </c>
    </row>
    <row r="297" spans="1:29" x14ac:dyDescent="0.45">
      <c r="A297" t="s">
        <v>830</v>
      </c>
      <c r="B297" t="s">
        <v>285</v>
      </c>
      <c r="C297" t="s">
        <v>286</v>
      </c>
      <c r="D297" s="1">
        <v>108131</v>
      </c>
      <c r="E297" s="1">
        <v>4878</v>
      </c>
      <c r="F297" s="1">
        <v>5210</v>
      </c>
      <c r="G297" s="1">
        <v>6236</v>
      </c>
      <c r="H297" s="1">
        <v>6655</v>
      </c>
      <c r="I297" s="1">
        <v>6035</v>
      </c>
      <c r="J297" s="1">
        <v>4972</v>
      </c>
      <c r="K297" s="1">
        <v>4785</v>
      </c>
      <c r="L297" s="1">
        <v>6363</v>
      </c>
      <c r="M297" s="1">
        <v>8149</v>
      </c>
      <c r="N297" s="1">
        <v>8789</v>
      </c>
      <c r="O297" s="1">
        <v>8069</v>
      </c>
      <c r="P297" s="1">
        <v>7316</v>
      </c>
      <c r="Q297" s="1">
        <v>8169</v>
      </c>
      <c r="R297" s="1">
        <v>7051</v>
      </c>
      <c r="S297" s="1">
        <v>5666</v>
      </c>
      <c r="T297" s="1">
        <v>4251</v>
      </c>
      <c r="U297" s="1">
        <v>2907</v>
      </c>
      <c r="V297" s="1">
        <v>1763</v>
      </c>
      <c r="W297">
        <v>867</v>
      </c>
      <c r="X297" s="9">
        <f>SUM(Table2[[#This Row],[Age 20 to 24]:[Age 90 and Over]])</f>
        <v>85152</v>
      </c>
      <c r="Y297" s="9">
        <f>_xlfn.XLOOKUP(Table2[[#This Row],[Area]],Referendum!E:E,Referendum!L:L,"")</f>
        <v>23444</v>
      </c>
      <c r="Z297" s="9">
        <f>_xlfn.XLOOKUP(Table2[[#This Row],[Area]],Referendum!E:E,Referendum!M:M,"")</f>
        <v>43248</v>
      </c>
      <c r="AA297" s="10">
        <f>(Table2[[#This Row],[Leave Votes]]+Table2[[#This Row],[Remain Votes]])/Table2[[#This Row],[Residents Age &gt;=20]]</f>
        <v>0.78321119879744461</v>
      </c>
      <c r="AB297" s="10">
        <f>Table2[[#This Row],[Remain Votes]]/Table2[[#This Row],[Residents Age &gt;=20]]</f>
        <v>0.27531942878617061</v>
      </c>
      <c r="AC297" s="10">
        <f>Table2[[#This Row],[Leave Votes]]/Table2[[#This Row],[Residents Age &gt;=20]]</f>
        <v>0.50789177001127395</v>
      </c>
    </row>
    <row r="298" spans="1:29" x14ac:dyDescent="0.45">
      <c r="A298" t="s">
        <v>830</v>
      </c>
      <c r="B298" t="s">
        <v>29</v>
      </c>
      <c r="C298" t="s">
        <v>30</v>
      </c>
      <c r="D298" s="1">
        <v>148127</v>
      </c>
      <c r="E298" s="1">
        <v>8182</v>
      </c>
      <c r="F298" s="1">
        <v>7551</v>
      </c>
      <c r="G298" s="1">
        <v>8233</v>
      </c>
      <c r="H298" s="1">
        <v>9493</v>
      </c>
      <c r="I298" s="1">
        <v>9447</v>
      </c>
      <c r="J298" s="1">
        <v>8901</v>
      </c>
      <c r="K298" s="1">
        <v>8343</v>
      </c>
      <c r="L298" s="1">
        <v>8610</v>
      </c>
      <c r="M298" s="1">
        <v>10483</v>
      </c>
      <c r="N298" s="1">
        <v>11720</v>
      </c>
      <c r="O298" s="1">
        <v>11143</v>
      </c>
      <c r="P298" s="1">
        <v>9531</v>
      </c>
      <c r="Q298" s="1">
        <v>9637</v>
      </c>
      <c r="R298" s="1">
        <v>7096</v>
      </c>
      <c r="S298" s="1">
        <v>6538</v>
      </c>
      <c r="T298" s="1">
        <v>5492</v>
      </c>
      <c r="U298" s="1">
        <v>4140</v>
      </c>
      <c r="V298" s="1">
        <v>2503</v>
      </c>
      <c r="W298" s="1">
        <v>1084</v>
      </c>
      <c r="X298" s="9">
        <f>SUM(Table2[[#This Row],[Age 20 to 24]:[Age 90 and Over]])</f>
        <v>114668</v>
      </c>
      <c r="Y298" s="9">
        <f>_xlfn.XLOOKUP(Table2[[#This Row],[Area]],Referendum!E:E,Referendum!L:L,"")</f>
        <v>30014</v>
      </c>
      <c r="Z298" s="9">
        <f>_xlfn.XLOOKUP(Table2[[#This Row],[Area]],Referendum!E:E,Referendum!M:M,"")</f>
        <v>49065</v>
      </c>
      <c r="AA298" s="10">
        <f>(Table2[[#This Row],[Leave Votes]]+Table2[[#This Row],[Remain Votes]])/Table2[[#This Row],[Residents Age &gt;=20]]</f>
        <v>0.68963442285554821</v>
      </c>
      <c r="AB298" s="10">
        <f>Table2[[#This Row],[Remain Votes]]/Table2[[#This Row],[Residents Age &gt;=20]]</f>
        <v>0.2617469564307392</v>
      </c>
      <c r="AC298" s="10">
        <f>Table2[[#This Row],[Leave Votes]]/Table2[[#This Row],[Residents Age &gt;=20]]</f>
        <v>0.42788746642480902</v>
      </c>
    </row>
    <row r="299" spans="1:29" x14ac:dyDescent="0.45">
      <c r="A299" t="s">
        <v>830</v>
      </c>
      <c r="B299" t="s">
        <v>501</v>
      </c>
      <c r="C299" t="s">
        <v>502</v>
      </c>
      <c r="D299" s="1">
        <v>236882</v>
      </c>
      <c r="E299" s="1">
        <v>15407</v>
      </c>
      <c r="F299" s="1">
        <v>11847</v>
      </c>
      <c r="G299" s="1">
        <v>11555</v>
      </c>
      <c r="H299" s="1">
        <v>17942</v>
      </c>
      <c r="I299" s="1">
        <v>29384</v>
      </c>
      <c r="J299" s="1">
        <v>21785</v>
      </c>
      <c r="K299" s="1">
        <v>18600</v>
      </c>
      <c r="L299" s="1">
        <v>15686</v>
      </c>
      <c r="M299" s="1">
        <v>14602</v>
      </c>
      <c r="N299" s="1">
        <v>14797</v>
      </c>
      <c r="O299" s="1">
        <v>12716</v>
      </c>
      <c r="P299" s="1">
        <v>10839</v>
      </c>
      <c r="Q299" s="1">
        <v>10946</v>
      </c>
      <c r="R299" s="1">
        <v>8647</v>
      </c>
      <c r="S299" s="1">
        <v>6796</v>
      </c>
      <c r="T299" s="1">
        <v>5902</v>
      </c>
      <c r="U299" s="1">
        <v>4759</v>
      </c>
      <c r="V299" s="1">
        <v>3084</v>
      </c>
      <c r="W299" s="1">
        <v>1588</v>
      </c>
      <c r="X299" s="9">
        <f>SUM(Table2[[#This Row],[Age 20 to 24]:[Age 90 and Over]])</f>
        <v>180131</v>
      </c>
      <c r="Y299" s="9">
        <f>_xlfn.XLOOKUP(Table2[[#This Row],[Area]],Referendum!E:E,Referendum!L:L,"")</f>
        <v>49738</v>
      </c>
      <c r="Z299" s="9">
        <f>_xlfn.XLOOKUP(Table2[[#This Row],[Area]],Referendum!E:E,Referendum!M:M,"")</f>
        <v>57927</v>
      </c>
      <c r="AA299" s="10">
        <f>(Table2[[#This Row],[Leave Votes]]+Table2[[#This Row],[Remain Votes]])/Table2[[#This Row],[Residents Age &gt;=20]]</f>
        <v>0.59770389327767015</v>
      </c>
      <c r="AB299" s="10">
        <f>Table2[[#This Row],[Remain Votes]]/Table2[[#This Row],[Residents Age &gt;=20]]</f>
        <v>0.27612126729990949</v>
      </c>
      <c r="AC299" s="10">
        <f>Table2[[#This Row],[Leave Votes]]/Table2[[#This Row],[Residents Age &gt;=20]]</f>
        <v>0.32158262597776061</v>
      </c>
    </row>
    <row r="300" spans="1:29" x14ac:dyDescent="0.45">
      <c r="A300" t="s">
        <v>830</v>
      </c>
      <c r="B300" t="s">
        <v>325</v>
      </c>
      <c r="C300" t="s">
        <v>326</v>
      </c>
      <c r="D300" s="1">
        <v>173658</v>
      </c>
      <c r="E300" s="1">
        <v>11213</v>
      </c>
      <c r="F300" s="1">
        <v>9498</v>
      </c>
      <c r="G300" s="1">
        <v>10194</v>
      </c>
      <c r="H300" s="1">
        <v>10184</v>
      </c>
      <c r="I300" s="1">
        <v>9832</v>
      </c>
      <c r="J300" s="1">
        <v>11282</v>
      </c>
      <c r="K300" s="1">
        <v>11623</v>
      </c>
      <c r="L300" s="1">
        <v>12223</v>
      </c>
      <c r="M300" s="1">
        <v>13083</v>
      </c>
      <c r="N300" s="1">
        <v>12755</v>
      </c>
      <c r="O300" s="1">
        <v>10887</v>
      </c>
      <c r="P300" s="1">
        <v>9667</v>
      </c>
      <c r="Q300" s="1">
        <v>10419</v>
      </c>
      <c r="R300" s="1">
        <v>8468</v>
      </c>
      <c r="S300" s="1">
        <v>6716</v>
      </c>
      <c r="T300" s="1">
        <v>5779</v>
      </c>
      <c r="U300" s="1">
        <v>4769</v>
      </c>
      <c r="V300" s="1">
        <v>3223</v>
      </c>
      <c r="W300" s="1">
        <v>1843</v>
      </c>
      <c r="X300" s="9">
        <f>SUM(Table2[[#This Row],[Age 20 to 24]:[Age 90 and Over]])</f>
        <v>132569</v>
      </c>
      <c r="Y300" s="9">
        <f>_xlfn.XLOOKUP(Table2[[#This Row],[Area]],Referendum!E:E,Referendum!L:L,"")</f>
        <v>39348</v>
      </c>
      <c r="Z300" s="9">
        <f>_xlfn.XLOOKUP(Table2[[#This Row],[Area]],Referendum!E:E,Referendum!M:M,"")</f>
        <v>54522</v>
      </c>
      <c r="AA300" s="10">
        <f>(Table2[[#This Row],[Leave Votes]]+Table2[[#This Row],[Remain Votes]])/Table2[[#This Row],[Residents Age &gt;=20]]</f>
        <v>0.70808409205772094</v>
      </c>
      <c r="AB300" s="10">
        <f>Table2[[#This Row],[Remain Votes]]/Table2[[#This Row],[Residents Age &gt;=20]]</f>
        <v>0.29681147176187495</v>
      </c>
      <c r="AC300" s="10">
        <f>Table2[[#This Row],[Leave Votes]]/Table2[[#This Row],[Residents Age &gt;=20]]</f>
        <v>0.41127262029584594</v>
      </c>
    </row>
    <row r="301" spans="1:29" x14ac:dyDescent="0.45">
      <c r="A301" t="s">
        <v>830</v>
      </c>
      <c r="B301" t="s">
        <v>467</v>
      </c>
      <c r="C301" t="s">
        <v>468</v>
      </c>
      <c r="D301" s="1">
        <v>288283</v>
      </c>
      <c r="E301" s="1">
        <v>20739</v>
      </c>
      <c r="F301" s="1">
        <v>15562</v>
      </c>
      <c r="G301" s="1">
        <v>14097</v>
      </c>
      <c r="H301" s="1">
        <v>15966</v>
      </c>
      <c r="I301" s="1">
        <v>26996</v>
      </c>
      <c r="J301" s="1">
        <v>35725</v>
      </c>
      <c r="K301" s="1">
        <v>32297</v>
      </c>
      <c r="L301" s="1">
        <v>25299</v>
      </c>
      <c r="M301" s="1">
        <v>22926</v>
      </c>
      <c r="N301" s="1">
        <v>20121</v>
      </c>
      <c r="O301" s="1">
        <v>16070</v>
      </c>
      <c r="P301" s="1">
        <v>11084</v>
      </c>
      <c r="Q301" s="1">
        <v>9072</v>
      </c>
      <c r="R301" s="1">
        <v>6547</v>
      </c>
      <c r="S301" s="1">
        <v>5432</v>
      </c>
      <c r="T301" s="1">
        <v>4271</v>
      </c>
      <c r="U301" s="1">
        <v>3195</v>
      </c>
      <c r="V301" s="1">
        <v>1949</v>
      </c>
      <c r="W301">
        <v>935</v>
      </c>
      <c r="X301" s="9">
        <f>SUM(Table2[[#This Row],[Age 20 to 24]:[Age 90 and Over]])</f>
        <v>221919</v>
      </c>
      <c r="Y301" s="9">
        <f>_xlfn.XLOOKUP(Table2[[#This Row],[Area]],Referendum!E:E,Referendum!L:L,"")</f>
        <v>94293</v>
      </c>
      <c r="Z301" s="9">
        <f>_xlfn.XLOOKUP(Table2[[#This Row],[Area]],Referendum!E:E,Referendum!M:M,"")</f>
        <v>35209</v>
      </c>
      <c r="AA301" s="10">
        <f>(Table2[[#This Row],[Leave Votes]]+Table2[[#This Row],[Remain Votes]])/Table2[[#This Row],[Residents Age &gt;=20]]</f>
        <v>0.58355526115384437</v>
      </c>
      <c r="AB301" s="10">
        <f>Table2[[#This Row],[Remain Votes]]/Table2[[#This Row],[Residents Age &gt;=20]]</f>
        <v>0.4248982736944561</v>
      </c>
      <c r="AC301" s="10">
        <f>Table2[[#This Row],[Leave Votes]]/Table2[[#This Row],[Residents Age &gt;=20]]</f>
        <v>0.15865698745938833</v>
      </c>
    </row>
    <row r="302" spans="1:29" x14ac:dyDescent="0.45">
      <c r="A302" t="s">
        <v>830</v>
      </c>
      <c r="B302" t="s">
        <v>591</v>
      </c>
      <c r="C302" t="s">
        <v>592</v>
      </c>
      <c r="D302" s="1">
        <v>95598</v>
      </c>
      <c r="E302" s="1">
        <v>6017</v>
      </c>
      <c r="F302" s="1">
        <v>5165</v>
      </c>
      <c r="G302" s="1">
        <v>5175</v>
      </c>
      <c r="H302" s="1">
        <v>5396</v>
      </c>
      <c r="I302" s="1">
        <v>5179</v>
      </c>
      <c r="J302" s="1">
        <v>5940</v>
      </c>
      <c r="K302" s="1">
        <v>6605</v>
      </c>
      <c r="L302" s="1">
        <v>6653</v>
      </c>
      <c r="M302" s="1">
        <v>7442</v>
      </c>
      <c r="N302" s="1">
        <v>7845</v>
      </c>
      <c r="O302" s="1">
        <v>6471</v>
      </c>
      <c r="P302" s="1">
        <v>5419</v>
      </c>
      <c r="Q302" s="1">
        <v>5611</v>
      </c>
      <c r="R302" s="1">
        <v>4537</v>
      </c>
      <c r="S302" s="1">
        <v>3970</v>
      </c>
      <c r="T302" s="1">
        <v>3332</v>
      </c>
      <c r="U302" s="1">
        <v>2509</v>
      </c>
      <c r="V302" s="1">
        <v>1547</v>
      </c>
      <c r="W302">
        <v>785</v>
      </c>
      <c r="X302" s="9">
        <f>SUM(Table2[[#This Row],[Age 20 to 24]:[Age 90 and Over]])</f>
        <v>73845</v>
      </c>
      <c r="Y302" s="9">
        <f>_xlfn.XLOOKUP(Table2[[#This Row],[Area]],Referendum!E:E,Referendum!L:L,"")</f>
        <v>22474</v>
      </c>
      <c r="Z302" s="9">
        <f>_xlfn.XLOOKUP(Table2[[#This Row],[Area]],Referendum!E:E,Referendum!M:M,"")</f>
        <v>34135</v>
      </c>
      <c r="AA302" s="10">
        <f>(Table2[[#This Row],[Leave Votes]]+Table2[[#This Row],[Remain Votes]])/Table2[[#This Row],[Residents Age &gt;=20]]</f>
        <v>0.76659218633624482</v>
      </c>
      <c r="AB302" s="10">
        <f>Table2[[#This Row],[Remain Votes]]/Table2[[#This Row],[Residents Age &gt;=20]]</f>
        <v>0.30434017198185387</v>
      </c>
      <c r="AC302" s="10">
        <f>Table2[[#This Row],[Leave Votes]]/Table2[[#This Row],[Residents Age &gt;=20]]</f>
        <v>0.46225201435439095</v>
      </c>
    </row>
    <row r="303" spans="1:29" x14ac:dyDescent="0.45">
      <c r="A303" t="s">
        <v>830</v>
      </c>
      <c r="B303" t="s">
        <v>833</v>
      </c>
      <c r="C303" t="s">
        <v>374</v>
      </c>
      <c r="D303" s="1">
        <v>140664</v>
      </c>
      <c r="E303" s="1">
        <v>10296</v>
      </c>
      <c r="F303" s="1">
        <v>9082</v>
      </c>
      <c r="G303" s="1">
        <v>8926</v>
      </c>
      <c r="H303" s="1">
        <v>7972</v>
      </c>
      <c r="I303" s="1">
        <v>6342</v>
      </c>
      <c r="J303" s="1">
        <v>7831</v>
      </c>
      <c r="K303" s="1">
        <v>9626</v>
      </c>
      <c r="L303" s="1">
        <v>11242</v>
      </c>
      <c r="M303" s="1">
        <v>11541</v>
      </c>
      <c r="N303" s="1">
        <v>10981</v>
      </c>
      <c r="O303" s="1">
        <v>9223</v>
      </c>
      <c r="P303" s="1">
        <v>7916</v>
      </c>
      <c r="Q303" s="1">
        <v>7910</v>
      </c>
      <c r="R303" s="1">
        <v>6031</v>
      </c>
      <c r="S303" s="1">
        <v>5018</v>
      </c>
      <c r="T303" s="1">
        <v>4214</v>
      </c>
      <c r="U303" s="1">
        <v>3319</v>
      </c>
      <c r="V303" s="1">
        <v>2092</v>
      </c>
      <c r="W303" s="1">
        <v>1102</v>
      </c>
      <c r="X303" s="9">
        <f>SUM(Table2[[#This Row],[Age 20 to 24]:[Age 90 and Over]])</f>
        <v>104388</v>
      </c>
      <c r="Y303" s="9">
        <f>_xlfn.XLOOKUP(Table2[[#This Row],[Area]],Referendum!E:E,Referendum!L:L,"")</f>
        <v>54208</v>
      </c>
      <c r="Z303" s="9">
        <f>_xlfn.XLOOKUP(Table2[[#This Row],[Area]],Referendum!E:E,Referendum!M:M,"")</f>
        <v>32237</v>
      </c>
      <c r="AA303" s="10">
        <f>(Table2[[#This Row],[Leave Votes]]+Table2[[#This Row],[Remain Votes]])/Table2[[#This Row],[Residents Age &gt;=20]]</f>
        <v>0.8281124267157145</v>
      </c>
      <c r="AB303" s="10">
        <f>Table2[[#This Row],[Remain Votes]]/Table2[[#This Row],[Residents Age &gt;=20]]</f>
        <v>0.51929340537226498</v>
      </c>
      <c r="AC303" s="10">
        <f>Table2[[#This Row],[Leave Votes]]/Table2[[#This Row],[Residents Age &gt;=20]]</f>
        <v>0.30881902134344946</v>
      </c>
    </row>
    <row r="304" spans="1:29" x14ac:dyDescent="0.45">
      <c r="A304" t="s">
        <v>830</v>
      </c>
      <c r="B304" t="s">
        <v>405</v>
      </c>
      <c r="C304" t="s">
        <v>406</v>
      </c>
      <c r="D304" s="1">
        <v>111008</v>
      </c>
      <c r="E304" s="1">
        <v>6663</v>
      </c>
      <c r="F304" s="1">
        <v>6035</v>
      </c>
      <c r="G304" s="1">
        <v>6337</v>
      </c>
      <c r="H304" s="1">
        <v>6466</v>
      </c>
      <c r="I304" s="1">
        <v>6493</v>
      </c>
      <c r="J304" s="1">
        <v>7211</v>
      </c>
      <c r="K304" s="1">
        <v>6548</v>
      </c>
      <c r="L304" s="1">
        <v>7009</v>
      </c>
      <c r="M304" s="1">
        <v>8219</v>
      </c>
      <c r="N304" s="1">
        <v>8276</v>
      </c>
      <c r="O304" s="1">
        <v>6827</v>
      </c>
      <c r="P304" s="1">
        <v>6427</v>
      </c>
      <c r="Q304" s="1">
        <v>7507</v>
      </c>
      <c r="R304" s="1">
        <v>6282</v>
      </c>
      <c r="S304" s="1">
        <v>4993</v>
      </c>
      <c r="T304" s="1">
        <v>3841</v>
      </c>
      <c r="U304" s="1">
        <v>2958</v>
      </c>
      <c r="V304" s="1">
        <v>1832</v>
      </c>
      <c r="W304" s="1">
        <v>1084</v>
      </c>
      <c r="X304" s="9">
        <f>SUM(Table2[[#This Row],[Age 20 to 24]:[Age 90 and Over]])</f>
        <v>85507</v>
      </c>
      <c r="Y304" s="9">
        <f>_xlfn.XLOOKUP(Table2[[#This Row],[Area]],Referendum!E:E,Referendum!L:L,"")</f>
        <v>26986</v>
      </c>
      <c r="Z304" s="9">
        <f>_xlfn.XLOOKUP(Table2[[#This Row],[Area]],Referendum!E:E,Referendum!M:M,"")</f>
        <v>35224</v>
      </c>
      <c r="AA304" s="10">
        <f>(Table2[[#This Row],[Leave Votes]]+Table2[[#This Row],[Remain Votes]])/Table2[[#This Row],[Residents Age &gt;=20]]</f>
        <v>0.72754277427579028</v>
      </c>
      <c r="AB304" s="10">
        <f>Table2[[#This Row],[Remain Votes]]/Table2[[#This Row],[Residents Age &gt;=20]]</f>
        <v>0.31559989240646963</v>
      </c>
      <c r="AC304" s="10">
        <f>Table2[[#This Row],[Leave Votes]]/Table2[[#This Row],[Residents Age &gt;=20]]</f>
        <v>0.41194288186932065</v>
      </c>
    </row>
    <row r="305" spans="1:29" x14ac:dyDescent="0.45">
      <c r="A305" t="s">
        <v>830</v>
      </c>
      <c r="B305" t="s">
        <v>73</v>
      </c>
      <c r="C305" t="s">
        <v>74</v>
      </c>
      <c r="D305" s="1">
        <v>175308</v>
      </c>
      <c r="E305" s="1">
        <v>10269</v>
      </c>
      <c r="F305" s="1">
        <v>9271</v>
      </c>
      <c r="G305" s="1">
        <v>10212</v>
      </c>
      <c r="H305" s="1">
        <v>10959</v>
      </c>
      <c r="I305" s="1">
        <v>10522</v>
      </c>
      <c r="J305" s="1">
        <v>10501</v>
      </c>
      <c r="K305" s="1">
        <v>9747</v>
      </c>
      <c r="L305" s="1">
        <v>11459</v>
      </c>
      <c r="M305" s="1">
        <v>12931</v>
      </c>
      <c r="N305" s="1">
        <v>13174</v>
      </c>
      <c r="O305" s="1">
        <v>11727</v>
      </c>
      <c r="P305" s="1">
        <v>10881</v>
      </c>
      <c r="Q305" s="1">
        <v>12255</v>
      </c>
      <c r="R305" s="1">
        <v>9596</v>
      </c>
      <c r="S305" s="1">
        <v>8016</v>
      </c>
      <c r="T305" s="1">
        <v>6129</v>
      </c>
      <c r="U305" s="1">
        <v>4165</v>
      </c>
      <c r="V305" s="1">
        <v>2402</v>
      </c>
      <c r="W305" s="1">
        <v>1092</v>
      </c>
      <c r="X305" s="9">
        <f>SUM(Table2[[#This Row],[Age 20 to 24]:[Age 90 and Over]])</f>
        <v>134597</v>
      </c>
      <c r="Y305" s="9">
        <f>_xlfn.XLOOKUP(Table2[[#This Row],[Area]],Referendum!E:E,Referendum!L:L,"")</f>
        <v>39322</v>
      </c>
      <c r="Z305" s="9">
        <f>_xlfn.XLOOKUP(Table2[[#This Row],[Area]],Referendum!E:E,Referendum!M:M,"")</f>
        <v>54357</v>
      </c>
      <c r="AA305" s="10">
        <f>(Table2[[#This Row],[Leave Votes]]+Table2[[#This Row],[Remain Votes]])/Table2[[#This Row],[Residents Age &gt;=20]]</f>
        <v>0.69599619605191798</v>
      </c>
      <c r="AB305" s="10">
        <f>Table2[[#This Row],[Remain Votes]]/Table2[[#This Row],[Residents Age &gt;=20]]</f>
        <v>0.29214618453605951</v>
      </c>
      <c r="AC305" s="10">
        <f>Table2[[#This Row],[Leave Votes]]/Table2[[#This Row],[Residents Age &gt;=20]]</f>
        <v>0.40385001151585848</v>
      </c>
    </row>
    <row r="306" spans="1:29" x14ac:dyDescent="0.45">
      <c r="A306" t="s">
        <v>830</v>
      </c>
      <c r="B306" t="s">
        <v>287</v>
      </c>
      <c r="C306" t="s">
        <v>288</v>
      </c>
      <c r="D306" s="1">
        <v>130869</v>
      </c>
      <c r="E306" s="1">
        <v>7007</v>
      </c>
      <c r="F306" s="1">
        <v>6583</v>
      </c>
      <c r="G306" s="1">
        <v>7200</v>
      </c>
      <c r="H306" s="1">
        <v>7853</v>
      </c>
      <c r="I306" s="1">
        <v>8009</v>
      </c>
      <c r="J306" s="1">
        <v>7102</v>
      </c>
      <c r="K306" s="1">
        <v>7124</v>
      </c>
      <c r="L306" s="1">
        <v>8225</v>
      </c>
      <c r="M306" s="1">
        <v>10030</v>
      </c>
      <c r="N306" s="1">
        <v>10127</v>
      </c>
      <c r="O306" s="1">
        <v>8900</v>
      </c>
      <c r="P306" s="1">
        <v>8268</v>
      </c>
      <c r="Q306" s="1">
        <v>9167</v>
      </c>
      <c r="R306" s="1">
        <v>7825</v>
      </c>
      <c r="S306" s="1">
        <v>6120</v>
      </c>
      <c r="T306" s="1">
        <v>4595</v>
      </c>
      <c r="U306" s="1">
        <v>3443</v>
      </c>
      <c r="V306" s="1">
        <v>2100</v>
      </c>
      <c r="W306" s="1">
        <v>1191</v>
      </c>
      <c r="X306" s="9">
        <f>SUM(Table2[[#This Row],[Age 20 to 24]:[Age 90 and Over]])</f>
        <v>102226</v>
      </c>
      <c r="Y306" s="9">
        <f>_xlfn.XLOOKUP(Table2[[#This Row],[Area]],Referendum!E:E,Referendum!L:L,"")</f>
        <v>34098</v>
      </c>
      <c r="Z306" s="9">
        <f>_xlfn.XLOOKUP(Table2[[#This Row],[Area]],Referendum!E:E,Referendum!M:M,"")</f>
        <v>43386</v>
      </c>
      <c r="AA306" s="10">
        <f>(Table2[[#This Row],[Leave Votes]]+Table2[[#This Row],[Remain Votes]])/Table2[[#This Row],[Residents Age &gt;=20]]</f>
        <v>0.75796764032633579</v>
      </c>
      <c r="AB306" s="10">
        <f>Table2[[#This Row],[Remain Votes]]/Table2[[#This Row],[Residents Age &gt;=20]]</f>
        <v>0.33355506426936393</v>
      </c>
      <c r="AC306" s="10">
        <f>Table2[[#This Row],[Leave Votes]]/Table2[[#This Row],[Residents Age &gt;=20]]</f>
        <v>0.4244125760569718</v>
      </c>
    </row>
    <row r="307" spans="1:29" x14ac:dyDescent="0.45">
      <c r="A307" t="s">
        <v>830</v>
      </c>
      <c r="B307" t="s">
        <v>289</v>
      </c>
      <c r="C307" t="s">
        <v>290</v>
      </c>
      <c r="D307" s="1">
        <v>97106</v>
      </c>
      <c r="E307" s="1">
        <v>4671</v>
      </c>
      <c r="F307" s="1">
        <v>4800</v>
      </c>
      <c r="G307" s="1">
        <v>5377</v>
      </c>
      <c r="H307" s="1">
        <v>5632</v>
      </c>
      <c r="I307" s="1">
        <v>4760</v>
      </c>
      <c r="J307" s="1">
        <v>4467</v>
      </c>
      <c r="K307" s="1">
        <v>4596</v>
      </c>
      <c r="L307" s="1">
        <v>5864</v>
      </c>
      <c r="M307" s="1">
        <v>7611</v>
      </c>
      <c r="N307" s="1">
        <v>7606</v>
      </c>
      <c r="O307" s="1">
        <v>6824</v>
      </c>
      <c r="P307" s="1">
        <v>6678</v>
      </c>
      <c r="Q307" s="1">
        <v>7839</v>
      </c>
      <c r="R307" s="1">
        <v>6381</v>
      </c>
      <c r="S307" s="1">
        <v>4979</v>
      </c>
      <c r="T307" s="1">
        <v>3866</v>
      </c>
      <c r="U307" s="1">
        <v>2685</v>
      </c>
      <c r="V307" s="1">
        <v>1618</v>
      </c>
      <c r="W307">
        <v>852</v>
      </c>
      <c r="X307" s="9">
        <f>SUM(Table2[[#This Row],[Age 20 to 24]:[Age 90 and Over]])</f>
        <v>76626</v>
      </c>
      <c r="Y307" s="9">
        <f>_xlfn.XLOOKUP(Table2[[#This Row],[Area]],Referendum!E:E,Referendum!L:L,"")</f>
        <v>21076</v>
      </c>
      <c r="Z307" s="9">
        <f>_xlfn.XLOOKUP(Table2[[#This Row],[Area]],Referendum!E:E,Referendum!M:M,"")</f>
        <v>38684</v>
      </c>
      <c r="AA307" s="10">
        <f>(Table2[[#This Row],[Leave Votes]]+Table2[[#This Row],[Remain Votes]])/Table2[[#This Row],[Residents Age &gt;=20]]</f>
        <v>0.77989194268264039</v>
      </c>
      <c r="AB307" s="10">
        <f>Table2[[#This Row],[Remain Votes]]/Table2[[#This Row],[Residents Age &gt;=20]]</f>
        <v>0.27505024404249212</v>
      </c>
      <c r="AC307" s="10">
        <f>Table2[[#This Row],[Leave Votes]]/Table2[[#This Row],[Residents Age &gt;=20]]</f>
        <v>0.50484169864014827</v>
      </c>
    </row>
    <row r="308" spans="1:29" x14ac:dyDescent="0.45">
      <c r="A308" t="s">
        <v>830</v>
      </c>
      <c r="B308" t="s">
        <v>834</v>
      </c>
      <c r="C308" t="s">
        <v>376</v>
      </c>
      <c r="D308" s="1">
        <v>83957</v>
      </c>
      <c r="E308" s="1">
        <v>5906</v>
      </c>
      <c r="F308" s="1">
        <v>4971</v>
      </c>
      <c r="G308" s="1">
        <v>5100</v>
      </c>
      <c r="H308" s="1">
        <v>5591</v>
      </c>
      <c r="I308" s="1">
        <v>5448</v>
      </c>
      <c r="J308" s="1">
        <v>6089</v>
      </c>
      <c r="K308" s="1">
        <v>5703</v>
      </c>
      <c r="L308" s="1">
        <v>5645</v>
      </c>
      <c r="M308" s="1">
        <v>6425</v>
      </c>
      <c r="N308" s="1">
        <v>6790</v>
      </c>
      <c r="O308" s="1">
        <v>5763</v>
      </c>
      <c r="P308" s="1">
        <v>4500</v>
      </c>
      <c r="Q308" s="1">
        <v>4154</v>
      </c>
      <c r="R308" s="1">
        <v>3241</v>
      </c>
      <c r="S308" s="1">
        <v>2753</v>
      </c>
      <c r="T308" s="1">
        <v>2464</v>
      </c>
      <c r="U308" s="1">
        <v>1867</v>
      </c>
      <c r="V308" s="1">
        <v>1035</v>
      </c>
      <c r="W308">
        <v>512</v>
      </c>
      <c r="X308" s="9">
        <f>SUM(Table2[[#This Row],[Age 20 to 24]:[Age 90 and Over]])</f>
        <v>62389</v>
      </c>
      <c r="Y308" s="9">
        <f>_xlfn.XLOOKUP(Table2[[#This Row],[Area]],Referendum!E:E,Referendum!L:L,"")</f>
        <v>18659</v>
      </c>
      <c r="Z308" s="9">
        <f>_xlfn.XLOOKUP(Table2[[#This Row],[Area]],Referendum!E:E,Referendum!M:M,"")</f>
        <v>27126</v>
      </c>
      <c r="AA308" s="10">
        <f>(Table2[[#This Row],[Leave Votes]]+Table2[[#This Row],[Remain Votes]])/Table2[[#This Row],[Residents Age &gt;=20]]</f>
        <v>0.73386334129413844</v>
      </c>
      <c r="AB308" s="10">
        <f>Table2[[#This Row],[Remain Votes]]/Table2[[#This Row],[Residents Age &gt;=20]]</f>
        <v>0.29907515747968394</v>
      </c>
      <c r="AC308" s="10">
        <f>Table2[[#This Row],[Leave Votes]]/Table2[[#This Row],[Residents Age &gt;=20]]</f>
        <v>0.4347881838144545</v>
      </c>
    </row>
    <row r="309" spans="1:29" x14ac:dyDescent="0.45">
      <c r="A309" t="s">
        <v>837</v>
      </c>
      <c r="B309" t="s">
        <v>755</v>
      </c>
      <c r="C309" t="s">
        <v>756</v>
      </c>
      <c r="D309" s="1">
        <v>90200</v>
      </c>
      <c r="E309" s="1">
        <v>4400</v>
      </c>
      <c r="F309" s="1">
        <v>4800</v>
      </c>
      <c r="G309" s="1">
        <v>5600</v>
      </c>
      <c r="H309" s="1">
        <v>6600</v>
      </c>
      <c r="I309" s="1">
        <v>7200</v>
      </c>
      <c r="J309" s="1">
        <v>4900</v>
      </c>
      <c r="K309" s="1">
        <v>4500</v>
      </c>
      <c r="L309" s="1">
        <v>5300</v>
      </c>
      <c r="M309" s="1">
        <v>6700</v>
      </c>
      <c r="N309" s="1">
        <v>7100</v>
      </c>
      <c r="O309" s="1">
        <v>6300</v>
      </c>
      <c r="P309" s="1">
        <v>5400</v>
      </c>
      <c r="Q309" s="1">
        <v>5800</v>
      </c>
      <c r="R309" s="1">
        <v>4600</v>
      </c>
      <c r="S309" s="1">
        <v>3900</v>
      </c>
      <c r="T309" s="1">
        <v>3100</v>
      </c>
      <c r="U309" s="1">
        <v>3900</v>
      </c>
      <c r="X309" s="9">
        <f>SUM(Table2[[#This Row],[Age 20 to 24]:[Age 90 and Over]])</f>
        <v>68700</v>
      </c>
      <c r="Y309" s="9">
        <f>_xlfn.XLOOKUP(Table2[[#This Row],[Area]],Referendum!E:E,Referendum!L:L,"")</f>
        <v>33112</v>
      </c>
      <c r="Z309" s="9">
        <f>_xlfn.XLOOKUP(Table2[[#This Row],[Area]],Referendum!E:E,Referendum!M:M,"")</f>
        <v>15787</v>
      </c>
      <c r="AA309" s="10">
        <f>(Table2[[#This Row],[Leave Votes]]+Table2[[#This Row],[Remain Votes]])/Table2[[#This Row],[Residents Age &gt;=20]]</f>
        <v>0.71177583697234348</v>
      </c>
      <c r="AB309" s="10">
        <f>Table2[[#This Row],[Remain Votes]]/Table2[[#This Row],[Residents Age &gt;=20]]</f>
        <v>0.48197962154294033</v>
      </c>
      <c r="AC309" s="10">
        <f>Table2[[#This Row],[Leave Votes]]/Table2[[#This Row],[Residents Age &gt;=20]]</f>
        <v>0.22979621542940321</v>
      </c>
    </row>
    <row r="310" spans="1:29" x14ac:dyDescent="0.45">
      <c r="A310" t="s">
        <v>830</v>
      </c>
      <c r="B310" t="s">
        <v>61</v>
      </c>
      <c r="C310" t="s">
        <v>62</v>
      </c>
      <c r="D310" s="1">
        <v>283275</v>
      </c>
      <c r="E310" s="1">
        <v>17342</v>
      </c>
      <c r="F310" s="1">
        <v>15808</v>
      </c>
      <c r="G310" s="1">
        <v>16759</v>
      </c>
      <c r="H310" s="1">
        <v>16875</v>
      </c>
      <c r="I310" s="1">
        <v>15184</v>
      </c>
      <c r="J310" s="1">
        <v>15896</v>
      </c>
      <c r="K310" s="1">
        <v>17124</v>
      </c>
      <c r="L310" s="1">
        <v>18582</v>
      </c>
      <c r="M310" s="1">
        <v>21363</v>
      </c>
      <c r="N310" s="1">
        <v>22206</v>
      </c>
      <c r="O310" s="1">
        <v>19670</v>
      </c>
      <c r="P310" s="1">
        <v>17176</v>
      </c>
      <c r="Q310" s="1">
        <v>18263</v>
      </c>
      <c r="R310" s="1">
        <v>14277</v>
      </c>
      <c r="S310" s="1">
        <v>12238</v>
      </c>
      <c r="T310" s="1">
        <v>10122</v>
      </c>
      <c r="U310" s="1">
        <v>7640</v>
      </c>
      <c r="V310" s="1">
        <v>4441</v>
      </c>
      <c r="W310" s="1">
        <v>2309</v>
      </c>
      <c r="X310" s="9">
        <f>SUM(Table2[[#This Row],[Age 20 to 24]:[Age 90 and Over]])</f>
        <v>216491</v>
      </c>
      <c r="Y310" s="9">
        <f>_xlfn.XLOOKUP(Table2[[#This Row],[Area]],Referendum!E:E,Referendum!L:L,"")</f>
        <v>85559</v>
      </c>
      <c r="Z310" s="9">
        <f>_xlfn.XLOOKUP(Table2[[#This Row],[Area]],Referendum!E:E,Referendum!M:M,"")</f>
        <v>77930</v>
      </c>
      <c r="AA310" s="10">
        <f>(Table2[[#This Row],[Leave Votes]]+Table2[[#This Row],[Remain Votes]])/Table2[[#This Row],[Residents Age &gt;=20]]</f>
        <v>0.75517688957046714</v>
      </c>
      <c r="AB310" s="10">
        <f>Table2[[#This Row],[Remain Votes]]/Table2[[#This Row],[Residents Age &gt;=20]]</f>
        <v>0.39520811488699298</v>
      </c>
      <c r="AC310" s="10">
        <f>Table2[[#This Row],[Leave Votes]]/Table2[[#This Row],[Residents Age &gt;=20]]</f>
        <v>0.35996877468347416</v>
      </c>
    </row>
    <row r="311" spans="1:29" x14ac:dyDescent="0.45">
      <c r="A311" t="s">
        <v>830</v>
      </c>
      <c r="B311" t="s">
        <v>39</v>
      </c>
      <c r="C311" t="s">
        <v>40</v>
      </c>
      <c r="D311" s="1">
        <v>191610</v>
      </c>
      <c r="E311" s="1">
        <v>12322</v>
      </c>
      <c r="F311" s="1">
        <v>10973</v>
      </c>
      <c r="G311" s="1">
        <v>11457</v>
      </c>
      <c r="H311" s="1">
        <v>12819</v>
      </c>
      <c r="I311" s="1">
        <v>12651</v>
      </c>
      <c r="J311" s="1">
        <v>12602</v>
      </c>
      <c r="K311" s="1">
        <v>11445</v>
      </c>
      <c r="L311" s="1">
        <v>12003</v>
      </c>
      <c r="M311" s="1">
        <v>14087</v>
      </c>
      <c r="N311" s="1">
        <v>14644</v>
      </c>
      <c r="O311" s="1">
        <v>13399</v>
      </c>
      <c r="P311" s="1">
        <v>11609</v>
      </c>
      <c r="Q311" s="1">
        <v>11648</v>
      </c>
      <c r="R311" s="1">
        <v>8745</v>
      </c>
      <c r="S311" s="1">
        <v>7357</v>
      </c>
      <c r="T311" s="1">
        <v>6089</v>
      </c>
      <c r="U311" s="1">
        <v>4279</v>
      </c>
      <c r="V311" s="1">
        <v>2429</v>
      </c>
      <c r="W311" s="1">
        <v>1052</v>
      </c>
      <c r="X311" s="9">
        <f>SUM(Table2[[#This Row],[Age 20 to 24]:[Age 90 and Over]])</f>
        <v>144039</v>
      </c>
      <c r="Y311" s="9">
        <f>_xlfn.XLOOKUP(Table2[[#This Row],[Area]],Referendum!E:E,Referendum!L:L,"")</f>
        <v>38433</v>
      </c>
      <c r="Z311" s="9">
        <f>_xlfn.XLOOKUP(Table2[[#This Row],[Area]],Referendum!E:E,Referendum!M:M,"")</f>
        <v>61982</v>
      </c>
      <c r="AA311" s="10">
        <f>(Table2[[#This Row],[Leave Votes]]+Table2[[#This Row],[Remain Votes]])/Table2[[#This Row],[Residents Age &gt;=20]]</f>
        <v>0.69713758079409049</v>
      </c>
      <c r="AB311" s="10">
        <f>Table2[[#This Row],[Remain Votes]]/Table2[[#This Row],[Residents Age &gt;=20]]</f>
        <v>0.26682356861683293</v>
      </c>
      <c r="AC311" s="10">
        <f>Table2[[#This Row],[Leave Votes]]/Table2[[#This Row],[Residents Age &gt;=20]]</f>
        <v>0.43031401217725757</v>
      </c>
    </row>
    <row r="312" spans="1:29" x14ac:dyDescent="0.45">
      <c r="A312" t="s">
        <v>830</v>
      </c>
      <c r="B312" t="s">
        <v>275</v>
      </c>
      <c r="C312" t="s">
        <v>276</v>
      </c>
      <c r="D312" s="1">
        <v>249008</v>
      </c>
      <c r="E312" s="1">
        <v>17092</v>
      </c>
      <c r="F312" s="1">
        <v>14189</v>
      </c>
      <c r="G312" s="1">
        <v>14260</v>
      </c>
      <c r="H312" s="1">
        <v>16035</v>
      </c>
      <c r="I312" s="1">
        <v>19089</v>
      </c>
      <c r="J312" s="1">
        <v>18156</v>
      </c>
      <c r="K312" s="1">
        <v>15829</v>
      </c>
      <c r="L312" s="1">
        <v>16113</v>
      </c>
      <c r="M312" s="1">
        <v>17810</v>
      </c>
      <c r="N312" s="1">
        <v>17353</v>
      </c>
      <c r="O312" s="1">
        <v>15534</v>
      </c>
      <c r="P312" s="1">
        <v>14009</v>
      </c>
      <c r="Q312" s="1">
        <v>14721</v>
      </c>
      <c r="R312" s="1">
        <v>11616</v>
      </c>
      <c r="S312" s="1">
        <v>9368</v>
      </c>
      <c r="T312" s="1">
        <v>7480</v>
      </c>
      <c r="U312" s="1">
        <v>5639</v>
      </c>
      <c r="V312" s="1">
        <v>3296</v>
      </c>
      <c r="W312" s="1">
        <v>1419</v>
      </c>
      <c r="X312" s="9">
        <f>SUM(Table2[[#This Row],[Age 20 to 24]:[Age 90 and Over]])</f>
        <v>187432</v>
      </c>
      <c r="Y312" s="9">
        <f>_xlfn.XLOOKUP(Table2[[#This Row],[Area]],Referendum!E:E,Referendum!L:L,"")</f>
        <v>36027</v>
      </c>
      <c r="Z312" s="9">
        <f>_xlfn.XLOOKUP(Table2[[#This Row],[Area]],Referendum!E:E,Referendum!M:M,"")</f>
        <v>81563</v>
      </c>
      <c r="AA312" s="10">
        <f>(Table2[[#This Row],[Leave Votes]]+Table2[[#This Row],[Remain Votes]])/Table2[[#This Row],[Residents Age &gt;=20]]</f>
        <v>0.62737419437449315</v>
      </c>
      <c r="AB312" s="10">
        <f>Table2[[#This Row],[Remain Votes]]/Table2[[#This Row],[Residents Age &gt;=20]]</f>
        <v>0.19221370950531394</v>
      </c>
      <c r="AC312" s="10">
        <f>Table2[[#This Row],[Leave Votes]]/Table2[[#This Row],[Residents Age &gt;=20]]</f>
        <v>0.43516048486917924</v>
      </c>
    </row>
    <row r="313" spans="1:29" x14ac:dyDescent="0.45">
      <c r="A313" t="s">
        <v>830</v>
      </c>
      <c r="B313" t="s">
        <v>299</v>
      </c>
      <c r="C313" t="s">
        <v>300</v>
      </c>
      <c r="D313" s="1">
        <v>120485</v>
      </c>
      <c r="E313" s="1">
        <v>5965</v>
      </c>
      <c r="F313" s="1">
        <v>6176</v>
      </c>
      <c r="G313" s="1">
        <v>6849</v>
      </c>
      <c r="H313" s="1">
        <v>6737</v>
      </c>
      <c r="I313" s="1">
        <v>5257</v>
      </c>
      <c r="J313" s="1">
        <v>5382</v>
      </c>
      <c r="K313" s="1">
        <v>5558</v>
      </c>
      <c r="L313" s="1">
        <v>7242</v>
      </c>
      <c r="M313" s="1">
        <v>8897</v>
      </c>
      <c r="N313" s="1">
        <v>9596</v>
      </c>
      <c r="O313" s="1">
        <v>8718</v>
      </c>
      <c r="P313" s="1">
        <v>8187</v>
      </c>
      <c r="Q313" s="1">
        <v>9341</v>
      </c>
      <c r="R313" s="1">
        <v>8117</v>
      </c>
      <c r="S313" s="1">
        <v>6149</v>
      </c>
      <c r="T313" s="1">
        <v>4931</v>
      </c>
      <c r="U313" s="1">
        <v>3761</v>
      </c>
      <c r="V313" s="1">
        <v>2317</v>
      </c>
      <c r="W313" s="1">
        <v>1305</v>
      </c>
      <c r="X313" s="9">
        <f>SUM(Table2[[#This Row],[Age 20 to 24]:[Age 90 and Over]])</f>
        <v>94758</v>
      </c>
      <c r="Y313" s="9">
        <f>_xlfn.XLOOKUP(Table2[[#This Row],[Area]],Referendum!E:E,Referendum!L:L,"")</f>
        <v>38341</v>
      </c>
      <c r="Z313" s="9">
        <f>_xlfn.XLOOKUP(Table2[[#This Row],[Area]],Referendum!E:E,Referendum!M:M,"")</f>
        <v>40817</v>
      </c>
      <c r="AA313" s="10">
        <f>(Table2[[#This Row],[Leave Votes]]+Table2[[#This Row],[Remain Votes]])/Table2[[#This Row],[Residents Age &gt;=20]]</f>
        <v>0.83537010067751538</v>
      </c>
      <c r="AB313" s="10">
        <f>Table2[[#This Row],[Remain Votes]]/Table2[[#This Row],[Residents Age &gt;=20]]</f>
        <v>0.40462019037970409</v>
      </c>
      <c r="AC313" s="10">
        <f>Table2[[#This Row],[Leave Votes]]/Table2[[#This Row],[Residents Age &gt;=20]]</f>
        <v>0.43074991029781129</v>
      </c>
    </row>
    <row r="314" spans="1:29" x14ac:dyDescent="0.45">
      <c r="A314" t="s">
        <v>830</v>
      </c>
      <c r="B314" t="s">
        <v>677</v>
      </c>
      <c r="C314" t="s">
        <v>678</v>
      </c>
      <c r="D314" s="1">
        <v>112779</v>
      </c>
      <c r="E314" s="1">
        <v>6113</v>
      </c>
      <c r="F314" s="1">
        <v>6166</v>
      </c>
      <c r="G314" s="1">
        <v>6791</v>
      </c>
      <c r="H314" s="1">
        <v>6885</v>
      </c>
      <c r="I314" s="1">
        <v>5246</v>
      </c>
      <c r="J314" s="1">
        <v>4910</v>
      </c>
      <c r="K314" s="1">
        <v>5438</v>
      </c>
      <c r="L314" s="1">
        <v>7194</v>
      </c>
      <c r="M314" s="1">
        <v>8815</v>
      </c>
      <c r="N314" s="1">
        <v>8978</v>
      </c>
      <c r="O314" s="1">
        <v>8303</v>
      </c>
      <c r="P314" s="1">
        <v>7671</v>
      </c>
      <c r="Q314" s="1">
        <v>8292</v>
      </c>
      <c r="R314" s="1">
        <v>6574</v>
      </c>
      <c r="S314" s="1">
        <v>5107</v>
      </c>
      <c r="T314" s="1">
        <v>4122</v>
      </c>
      <c r="U314" s="1">
        <v>3110</v>
      </c>
      <c r="V314" s="1">
        <v>2015</v>
      </c>
      <c r="W314" s="1">
        <v>1049</v>
      </c>
      <c r="X314" s="9">
        <f>SUM(Table2[[#This Row],[Age 20 to 24]:[Age 90 and Over]])</f>
        <v>86824</v>
      </c>
      <c r="Y314" s="9">
        <f>_xlfn.XLOOKUP(Table2[[#This Row],[Area]],Referendum!E:E,Referendum!L:L,"")</f>
        <v>40446</v>
      </c>
      <c r="Z314" s="9">
        <f>_xlfn.XLOOKUP(Table2[[#This Row],[Area]],Referendum!E:E,Referendum!M:M,"")</f>
        <v>33618</v>
      </c>
      <c r="AA314" s="10">
        <f>(Table2[[#This Row],[Leave Votes]]+Table2[[#This Row],[Remain Votes]])/Table2[[#This Row],[Residents Age &gt;=20]]</f>
        <v>0.85303602690500324</v>
      </c>
      <c r="AB314" s="10">
        <f>Table2[[#This Row],[Remain Votes]]/Table2[[#This Row],[Residents Age &gt;=20]]</f>
        <v>0.46583893854233854</v>
      </c>
      <c r="AC314" s="10">
        <f>Table2[[#This Row],[Leave Votes]]/Table2[[#This Row],[Residents Age &gt;=20]]</f>
        <v>0.3871970883626647</v>
      </c>
    </row>
    <row r="315" spans="1:29" x14ac:dyDescent="0.45">
      <c r="A315" t="s">
        <v>830</v>
      </c>
      <c r="B315" t="s">
        <v>407</v>
      </c>
      <c r="C315" t="s">
        <v>408</v>
      </c>
      <c r="D315" s="1">
        <v>124298</v>
      </c>
      <c r="E315" s="1">
        <v>6243</v>
      </c>
      <c r="F315" s="1">
        <v>6485</v>
      </c>
      <c r="G315" s="1">
        <v>7547</v>
      </c>
      <c r="H315" s="1">
        <v>7342</v>
      </c>
      <c r="I315" s="1">
        <v>5325</v>
      </c>
      <c r="J315" s="1">
        <v>4992</v>
      </c>
      <c r="K315" s="1">
        <v>5471</v>
      </c>
      <c r="L315" s="1">
        <v>6872</v>
      </c>
      <c r="M315" s="1">
        <v>8716</v>
      </c>
      <c r="N315" s="1">
        <v>9439</v>
      </c>
      <c r="O315" s="1">
        <v>8849</v>
      </c>
      <c r="P315" s="1">
        <v>8294</v>
      </c>
      <c r="Q315" s="1">
        <v>9918</v>
      </c>
      <c r="R315" s="1">
        <v>8098</v>
      </c>
      <c r="S315" s="1">
        <v>6556</v>
      </c>
      <c r="T315" s="1">
        <v>5578</v>
      </c>
      <c r="U315" s="1">
        <v>4341</v>
      </c>
      <c r="V315" s="1">
        <v>2702</v>
      </c>
      <c r="W315" s="1">
        <v>1530</v>
      </c>
      <c r="X315" s="9">
        <f>SUM(Table2[[#This Row],[Age 20 to 24]:[Age 90 and Over]])</f>
        <v>96681</v>
      </c>
      <c r="Y315" s="9">
        <f>_xlfn.XLOOKUP(Table2[[#This Row],[Area]],Referendum!E:E,Referendum!L:L,"")</f>
        <v>37218</v>
      </c>
      <c r="Z315" s="9">
        <f>_xlfn.XLOOKUP(Table2[[#This Row],[Area]],Referendum!E:E,Referendum!M:M,"")</f>
        <v>41966</v>
      </c>
      <c r="AA315" s="10">
        <f>(Table2[[#This Row],[Leave Votes]]+Table2[[#This Row],[Remain Votes]])/Table2[[#This Row],[Residents Age &gt;=20]]</f>
        <v>0.81902338618756532</v>
      </c>
      <c r="AB315" s="10">
        <f>Table2[[#This Row],[Remain Votes]]/Table2[[#This Row],[Residents Age &gt;=20]]</f>
        <v>0.38495671331492226</v>
      </c>
      <c r="AC315" s="10">
        <f>Table2[[#This Row],[Leave Votes]]/Table2[[#This Row],[Residents Age &gt;=20]]</f>
        <v>0.434066672872643</v>
      </c>
    </row>
    <row r="316" spans="1:29" x14ac:dyDescent="0.45">
      <c r="A316" t="s">
        <v>830</v>
      </c>
      <c r="B316" t="s">
        <v>31</v>
      </c>
      <c r="C316" t="s">
        <v>32</v>
      </c>
      <c r="D316" s="1">
        <v>275506</v>
      </c>
      <c r="E316" s="1">
        <v>15378</v>
      </c>
      <c r="F316" s="1">
        <v>14133</v>
      </c>
      <c r="G316" s="1">
        <v>15355</v>
      </c>
      <c r="H316" s="1">
        <v>17787</v>
      </c>
      <c r="I316" s="1">
        <v>19709</v>
      </c>
      <c r="J316" s="1">
        <v>16945</v>
      </c>
      <c r="K316" s="1">
        <v>15877</v>
      </c>
      <c r="L316" s="1">
        <v>17040</v>
      </c>
      <c r="M316" s="1">
        <v>19937</v>
      </c>
      <c r="N316" s="1">
        <v>20944</v>
      </c>
      <c r="O316" s="1">
        <v>20020</v>
      </c>
      <c r="P316" s="1">
        <v>17577</v>
      </c>
      <c r="Q316" s="1">
        <v>18011</v>
      </c>
      <c r="R316" s="1">
        <v>13198</v>
      </c>
      <c r="S316" s="1">
        <v>11833</v>
      </c>
      <c r="T316" s="1">
        <v>9759</v>
      </c>
      <c r="U316" s="1">
        <v>6841</v>
      </c>
      <c r="V316" s="1">
        <v>3576</v>
      </c>
      <c r="W316" s="1">
        <v>1586</v>
      </c>
      <c r="X316" s="9">
        <f>SUM(Table2[[#This Row],[Age 20 to 24]:[Age 90 and Over]])</f>
        <v>212853</v>
      </c>
      <c r="Y316" s="9">
        <f>_xlfn.XLOOKUP(Table2[[#This Row],[Area]],Referendum!E:E,Referendum!L:L,"")</f>
        <v>51930</v>
      </c>
      <c r="Z316" s="9">
        <f>_xlfn.XLOOKUP(Table2[[#This Row],[Area]],Referendum!E:E,Referendum!M:M,"")</f>
        <v>82394</v>
      </c>
      <c r="AA316" s="10">
        <f>(Table2[[#This Row],[Leave Votes]]+Table2[[#This Row],[Remain Votes]])/Table2[[#This Row],[Residents Age &gt;=20]]</f>
        <v>0.63106463145927005</v>
      </c>
      <c r="AB316" s="10">
        <f>Table2[[#This Row],[Remain Votes]]/Table2[[#This Row],[Residents Age &gt;=20]]</f>
        <v>0.24397119138560414</v>
      </c>
      <c r="AC316" s="10">
        <f>Table2[[#This Row],[Leave Votes]]/Table2[[#This Row],[Residents Age &gt;=20]]</f>
        <v>0.38709344007366586</v>
      </c>
    </row>
    <row r="317" spans="1:29" x14ac:dyDescent="0.45">
      <c r="A317" t="s">
        <v>830</v>
      </c>
      <c r="B317" t="s">
        <v>593</v>
      </c>
      <c r="C317" t="s">
        <v>594</v>
      </c>
      <c r="D317" s="1">
        <v>86144</v>
      </c>
      <c r="E317" s="1">
        <v>5129</v>
      </c>
      <c r="F317" s="1">
        <v>5153</v>
      </c>
      <c r="G317" s="1">
        <v>5464</v>
      </c>
      <c r="H317" s="1">
        <v>5131</v>
      </c>
      <c r="I317" s="1">
        <v>4207</v>
      </c>
      <c r="J317" s="1">
        <v>4581</v>
      </c>
      <c r="K317" s="1">
        <v>5072</v>
      </c>
      <c r="L317" s="1">
        <v>6133</v>
      </c>
      <c r="M317" s="1">
        <v>7101</v>
      </c>
      <c r="N317" s="1">
        <v>7144</v>
      </c>
      <c r="O317" s="1">
        <v>6146</v>
      </c>
      <c r="P317" s="1">
        <v>5191</v>
      </c>
      <c r="Q317" s="1">
        <v>5287</v>
      </c>
      <c r="R317" s="1">
        <v>4267</v>
      </c>
      <c r="S317" s="1">
        <v>3401</v>
      </c>
      <c r="T317" s="1">
        <v>2954</v>
      </c>
      <c r="U317" s="1">
        <v>1955</v>
      </c>
      <c r="V317" s="1">
        <v>1182</v>
      </c>
      <c r="W317">
        <v>646</v>
      </c>
      <c r="X317" s="9">
        <f>SUM(Table2[[#This Row],[Age 20 to 24]:[Age 90 and Over]])</f>
        <v>65267</v>
      </c>
      <c r="Y317" s="9">
        <f>_xlfn.XLOOKUP(Table2[[#This Row],[Area]],Referendum!E:E,Referendum!L:L,"")</f>
        <v>25638</v>
      </c>
      <c r="Z317" s="9">
        <f>_xlfn.XLOOKUP(Table2[[#This Row],[Area]],Referendum!E:E,Referendum!M:M,"")</f>
        <v>26667</v>
      </c>
      <c r="AA317" s="10">
        <f>(Table2[[#This Row],[Leave Votes]]+Table2[[#This Row],[Remain Votes]])/Table2[[#This Row],[Residents Age &gt;=20]]</f>
        <v>0.80140040142798041</v>
      </c>
      <c r="AB317" s="10">
        <f>Table2[[#This Row],[Remain Votes]]/Table2[[#This Row],[Residents Age &gt;=20]]</f>
        <v>0.39281719705210905</v>
      </c>
      <c r="AC317" s="10">
        <f>Table2[[#This Row],[Leave Votes]]/Table2[[#This Row],[Residents Age &gt;=20]]</f>
        <v>0.40858320437587142</v>
      </c>
    </row>
    <row r="318" spans="1:29" x14ac:dyDescent="0.45">
      <c r="A318" t="s">
        <v>830</v>
      </c>
      <c r="B318" t="s">
        <v>469</v>
      </c>
      <c r="C318" t="s">
        <v>470</v>
      </c>
      <c r="D318" s="1">
        <v>190146</v>
      </c>
      <c r="E318" s="1">
        <v>12750</v>
      </c>
      <c r="F318" s="1">
        <v>11095</v>
      </c>
      <c r="G318" s="1">
        <v>11673</v>
      </c>
      <c r="H318" s="1">
        <v>11487</v>
      </c>
      <c r="I318" s="1">
        <v>10657</v>
      </c>
      <c r="J318" s="1">
        <v>13185</v>
      </c>
      <c r="K318" s="1">
        <v>14303</v>
      </c>
      <c r="L318" s="1">
        <v>14737</v>
      </c>
      <c r="M318" s="1">
        <v>15413</v>
      </c>
      <c r="N318" s="1">
        <v>14928</v>
      </c>
      <c r="O318" s="1">
        <v>12274</v>
      </c>
      <c r="P318" s="1">
        <v>10045</v>
      </c>
      <c r="Q318" s="1">
        <v>10366</v>
      </c>
      <c r="R318" s="1">
        <v>7563</v>
      </c>
      <c r="S318" s="1">
        <v>6222</v>
      </c>
      <c r="T318" s="1">
        <v>5345</v>
      </c>
      <c r="U318" s="1">
        <v>4103</v>
      </c>
      <c r="V318" s="1">
        <v>2637</v>
      </c>
      <c r="W318" s="1">
        <v>1363</v>
      </c>
      <c r="X318" s="9">
        <f>SUM(Table2[[#This Row],[Age 20 to 24]:[Age 90 and Over]])</f>
        <v>143141</v>
      </c>
      <c r="Y318" s="9">
        <f>_xlfn.XLOOKUP(Table2[[#This Row],[Area]],Referendum!E:E,Referendum!L:L,"")</f>
        <v>49319</v>
      </c>
      <c r="Z318" s="9">
        <f>_xlfn.XLOOKUP(Table2[[#This Row],[Area]],Referendum!E:E,Referendum!M:M,"")</f>
        <v>57241</v>
      </c>
      <c r="AA318" s="10">
        <f>(Table2[[#This Row],[Leave Votes]]+Table2[[#This Row],[Remain Votes]])/Table2[[#This Row],[Residents Age &gt;=20]]</f>
        <v>0.74444079613807368</v>
      </c>
      <c r="AB318" s="10">
        <f>Table2[[#This Row],[Remain Votes]]/Table2[[#This Row],[Residents Age &gt;=20]]</f>
        <v>0.34454838236424223</v>
      </c>
      <c r="AC318" s="10">
        <f>Table2[[#This Row],[Leave Votes]]/Table2[[#This Row],[Residents Age &gt;=20]]</f>
        <v>0.39989241377383139</v>
      </c>
    </row>
    <row r="319" spans="1:29" x14ac:dyDescent="0.45">
      <c r="A319" t="s">
        <v>830</v>
      </c>
      <c r="B319" t="s">
        <v>561</v>
      </c>
      <c r="C319" t="s">
        <v>562</v>
      </c>
      <c r="D319" s="1">
        <v>135835</v>
      </c>
      <c r="E319" s="1">
        <v>8747</v>
      </c>
      <c r="F319" s="1">
        <v>7972</v>
      </c>
      <c r="G319" s="1">
        <v>8780</v>
      </c>
      <c r="H319" s="1">
        <v>8710</v>
      </c>
      <c r="I319" s="1">
        <v>7790</v>
      </c>
      <c r="J319" s="1">
        <v>8180</v>
      </c>
      <c r="K319" s="1">
        <v>7775</v>
      </c>
      <c r="L319" s="1">
        <v>8495</v>
      </c>
      <c r="M319" s="1">
        <v>10072</v>
      </c>
      <c r="N319" s="1">
        <v>10502</v>
      </c>
      <c r="O319" s="1">
        <v>8979</v>
      </c>
      <c r="P319" s="1">
        <v>7986</v>
      </c>
      <c r="Q319" s="1">
        <v>9224</v>
      </c>
      <c r="R319" s="1">
        <v>7180</v>
      </c>
      <c r="S319" s="1">
        <v>5511</v>
      </c>
      <c r="T319" s="1">
        <v>4168</v>
      </c>
      <c r="U319" s="1">
        <v>3105</v>
      </c>
      <c r="V319" s="1">
        <v>1744</v>
      </c>
      <c r="W319">
        <v>915</v>
      </c>
      <c r="X319" s="9">
        <f>SUM(Table2[[#This Row],[Age 20 to 24]:[Age 90 and Over]])</f>
        <v>101626</v>
      </c>
      <c r="Y319" s="9">
        <f>_xlfn.XLOOKUP(Table2[[#This Row],[Area]],Referendum!E:E,Referendum!L:L,"")</f>
        <v>28481</v>
      </c>
      <c r="Z319" s="9">
        <f>_xlfn.XLOOKUP(Table2[[#This Row],[Area]],Referendum!E:E,Referendum!M:M,"")</f>
        <v>47388</v>
      </c>
      <c r="AA319" s="10">
        <f>(Table2[[#This Row],[Leave Votes]]+Table2[[#This Row],[Remain Votes]])/Table2[[#This Row],[Residents Age &gt;=20]]</f>
        <v>0.74655107944817267</v>
      </c>
      <c r="AB319" s="10">
        <f>Table2[[#This Row],[Remain Votes]]/Table2[[#This Row],[Residents Age &gt;=20]]</f>
        <v>0.28025308484049355</v>
      </c>
      <c r="AC319" s="10">
        <f>Table2[[#This Row],[Leave Votes]]/Table2[[#This Row],[Residents Age &gt;=20]]</f>
        <v>0.46629799460767912</v>
      </c>
    </row>
    <row r="320" spans="1:29" x14ac:dyDescent="0.45">
      <c r="A320" t="s">
        <v>830</v>
      </c>
      <c r="B320" t="s">
        <v>783</v>
      </c>
      <c r="C320" t="s">
        <v>784</v>
      </c>
      <c r="D320" s="1">
        <v>239023</v>
      </c>
      <c r="E320" s="1">
        <v>13110</v>
      </c>
      <c r="F320" s="1">
        <v>12439</v>
      </c>
      <c r="G320" s="1">
        <v>13214</v>
      </c>
      <c r="H320" s="1">
        <v>16049</v>
      </c>
      <c r="I320" s="1">
        <v>20520</v>
      </c>
      <c r="J320" s="1">
        <v>15559</v>
      </c>
      <c r="K320" s="1">
        <v>14389</v>
      </c>
      <c r="L320" s="1">
        <v>14713</v>
      </c>
      <c r="M320" s="1">
        <v>15929</v>
      </c>
      <c r="N320" s="1">
        <v>16301</v>
      </c>
      <c r="O320" s="1">
        <v>15156</v>
      </c>
      <c r="P320" s="1">
        <v>13856</v>
      </c>
      <c r="Q320" s="1">
        <v>14976</v>
      </c>
      <c r="R320" s="1">
        <v>12048</v>
      </c>
      <c r="S320" s="1">
        <v>10108</v>
      </c>
      <c r="T320" s="1">
        <v>8636</v>
      </c>
      <c r="U320" s="1">
        <v>6265</v>
      </c>
      <c r="V320" s="1">
        <v>3815</v>
      </c>
      <c r="W320" s="1">
        <v>1940</v>
      </c>
      <c r="X320" s="9">
        <f>SUM(Table2[[#This Row],[Age 20 to 24]:[Age 90 and Over]])</f>
        <v>184211</v>
      </c>
      <c r="Y320" s="9">
        <f>_xlfn.XLOOKUP(Table2[[#This Row],[Area]],Referendum!E:E,Referendum!L:L,"")</f>
        <v>58307</v>
      </c>
      <c r="Z320" s="9">
        <f>_xlfn.XLOOKUP(Table2[[#This Row],[Area]],Referendum!E:E,Referendum!M:M,"")</f>
        <v>61936</v>
      </c>
      <c r="AA320" s="10">
        <f>(Table2[[#This Row],[Leave Votes]]+Table2[[#This Row],[Remain Votes]])/Table2[[#This Row],[Residents Age &gt;=20]]</f>
        <v>0.65274603579590795</v>
      </c>
      <c r="AB320" s="10">
        <f>Table2[[#This Row],[Remain Votes]]/Table2[[#This Row],[Residents Age &gt;=20]]</f>
        <v>0.31652290036968478</v>
      </c>
      <c r="AC320" s="10">
        <f>Table2[[#This Row],[Leave Votes]]/Table2[[#This Row],[Residents Age &gt;=20]]</f>
        <v>0.33622313542622317</v>
      </c>
    </row>
    <row r="321" spans="1:29" x14ac:dyDescent="0.45">
      <c r="A321" t="s">
        <v>830</v>
      </c>
      <c r="B321" t="s">
        <v>637</v>
      </c>
      <c r="C321" t="s">
        <v>638</v>
      </c>
      <c r="D321" s="1">
        <v>209156</v>
      </c>
      <c r="E321" s="1">
        <v>14083</v>
      </c>
      <c r="F321" s="1">
        <v>12273</v>
      </c>
      <c r="G321" s="1">
        <v>12433</v>
      </c>
      <c r="H321" s="1">
        <v>12424</v>
      </c>
      <c r="I321" s="1">
        <v>12859</v>
      </c>
      <c r="J321" s="1">
        <v>15075</v>
      </c>
      <c r="K321" s="1">
        <v>15172</v>
      </c>
      <c r="L321" s="1">
        <v>16297</v>
      </c>
      <c r="M321" s="1">
        <v>16869</v>
      </c>
      <c r="N321" s="1">
        <v>16371</v>
      </c>
      <c r="O321" s="1">
        <v>13822</v>
      </c>
      <c r="P321" s="1">
        <v>11634</v>
      </c>
      <c r="Q321" s="1">
        <v>10990</v>
      </c>
      <c r="R321" s="1">
        <v>8453</v>
      </c>
      <c r="S321" s="1">
        <v>6707</v>
      </c>
      <c r="T321" s="1">
        <v>5633</v>
      </c>
      <c r="U321" s="1">
        <v>4266</v>
      </c>
      <c r="V321" s="1">
        <v>2616</v>
      </c>
      <c r="W321" s="1">
        <v>1179</v>
      </c>
      <c r="X321" s="9">
        <f>SUM(Table2[[#This Row],[Age 20 to 24]:[Age 90 and Over]])</f>
        <v>157943</v>
      </c>
      <c r="Y321" s="9">
        <f>_xlfn.XLOOKUP(Table2[[#This Row],[Area]],Referendum!E:E,Referendum!L:L,"")</f>
        <v>51220</v>
      </c>
      <c r="Z321" s="9">
        <f>_xlfn.XLOOKUP(Table2[[#This Row],[Area]],Referendum!E:E,Referendum!M:M,"")</f>
        <v>61745</v>
      </c>
      <c r="AA321" s="10">
        <f>(Table2[[#This Row],[Leave Votes]]+Table2[[#This Row],[Remain Votes]])/Table2[[#This Row],[Residents Age &gt;=20]]</f>
        <v>0.71522637913677722</v>
      </c>
      <c r="AB321" s="10">
        <f>Table2[[#This Row],[Remain Votes]]/Table2[[#This Row],[Residents Age &gt;=20]]</f>
        <v>0.32429420740393688</v>
      </c>
      <c r="AC321" s="10">
        <f>Table2[[#This Row],[Leave Votes]]/Table2[[#This Row],[Residents Age &gt;=20]]</f>
        <v>0.39093217173284034</v>
      </c>
    </row>
    <row r="322" spans="1:29" x14ac:dyDescent="0.45">
      <c r="A322" t="s">
        <v>830</v>
      </c>
      <c r="B322" t="s">
        <v>63</v>
      </c>
      <c r="C322" t="s">
        <v>64</v>
      </c>
      <c r="D322" s="1">
        <v>219324</v>
      </c>
      <c r="E322" s="1">
        <v>14439</v>
      </c>
      <c r="F322" s="1">
        <v>12455</v>
      </c>
      <c r="G322" s="1">
        <v>13029</v>
      </c>
      <c r="H322" s="1">
        <v>13987</v>
      </c>
      <c r="I322" s="1">
        <v>13744</v>
      </c>
      <c r="J322" s="1">
        <v>14320</v>
      </c>
      <c r="K322" s="1">
        <v>13588</v>
      </c>
      <c r="L322" s="1">
        <v>14467</v>
      </c>
      <c r="M322" s="1">
        <v>16827</v>
      </c>
      <c r="N322" s="1">
        <v>17066</v>
      </c>
      <c r="O322" s="1">
        <v>14721</v>
      </c>
      <c r="P322" s="1">
        <v>12613</v>
      </c>
      <c r="Q322" s="1">
        <v>13867</v>
      </c>
      <c r="R322" s="1">
        <v>10526</v>
      </c>
      <c r="S322" s="1">
        <v>8518</v>
      </c>
      <c r="T322" s="1">
        <v>6456</v>
      </c>
      <c r="U322" s="1">
        <v>4521</v>
      </c>
      <c r="V322" s="1">
        <v>2822</v>
      </c>
      <c r="W322" s="1">
        <v>1358</v>
      </c>
      <c r="X322" s="9">
        <f>SUM(Table2[[#This Row],[Age 20 to 24]:[Age 90 and Over]])</f>
        <v>165414</v>
      </c>
      <c r="Y322" s="9">
        <f>_xlfn.XLOOKUP(Table2[[#This Row],[Area]],Referendum!E:E,Referendum!L:L,"")</f>
        <v>43118</v>
      </c>
      <c r="Z322" s="9">
        <f>_xlfn.XLOOKUP(Table2[[#This Row],[Area]],Referendum!E:E,Referendum!M:M,"")</f>
        <v>67829</v>
      </c>
      <c r="AA322" s="10">
        <f>(Table2[[#This Row],[Leave Votes]]+Table2[[#This Row],[Remain Votes]])/Table2[[#This Row],[Residents Age &gt;=20]]</f>
        <v>0.67072315523474435</v>
      </c>
      <c r="AB322" s="10">
        <f>Table2[[#This Row],[Remain Votes]]/Table2[[#This Row],[Residents Age &gt;=20]]</f>
        <v>0.26066717448341736</v>
      </c>
      <c r="AC322" s="10">
        <f>Table2[[#This Row],[Leave Votes]]/Table2[[#This Row],[Residents Age &gt;=20]]</f>
        <v>0.41005598075132699</v>
      </c>
    </row>
    <row r="323" spans="1:29" x14ac:dyDescent="0.45">
      <c r="A323" t="s">
        <v>830</v>
      </c>
      <c r="B323" t="s">
        <v>291</v>
      </c>
      <c r="C323" t="s">
        <v>292</v>
      </c>
      <c r="D323" s="1">
        <v>76813</v>
      </c>
      <c r="E323" s="1">
        <v>5061</v>
      </c>
      <c r="F323" s="1">
        <v>4542</v>
      </c>
      <c r="G323" s="1">
        <v>4789</v>
      </c>
      <c r="H323" s="1">
        <v>4792</v>
      </c>
      <c r="I323" s="1">
        <v>4744</v>
      </c>
      <c r="J323" s="1">
        <v>5181</v>
      </c>
      <c r="K323" s="1">
        <v>4845</v>
      </c>
      <c r="L323" s="1">
        <v>5408</v>
      </c>
      <c r="M323" s="1">
        <v>5911</v>
      </c>
      <c r="N323" s="1">
        <v>5511</v>
      </c>
      <c r="O323" s="1">
        <v>5048</v>
      </c>
      <c r="P323" s="1">
        <v>4850</v>
      </c>
      <c r="Q323" s="1">
        <v>4987</v>
      </c>
      <c r="R323" s="1">
        <v>3733</v>
      </c>
      <c r="S323" s="1">
        <v>2777</v>
      </c>
      <c r="T323" s="1">
        <v>2032</v>
      </c>
      <c r="U323" s="1">
        <v>1428</v>
      </c>
      <c r="V323">
        <v>808</v>
      </c>
      <c r="W323">
        <v>366</v>
      </c>
      <c r="X323" s="9">
        <f>SUM(Table2[[#This Row],[Age 20 to 24]:[Age 90 and Over]])</f>
        <v>57629</v>
      </c>
      <c r="Y323" s="9">
        <f>_xlfn.XLOOKUP(Table2[[#This Row],[Area]],Referendum!E:E,Referendum!L:L,"")</f>
        <v>13705</v>
      </c>
      <c r="Z323" s="9">
        <f>_xlfn.XLOOKUP(Table2[[#This Row],[Area]],Referendum!E:E,Referendum!M:M,"")</f>
        <v>28424</v>
      </c>
      <c r="AA323" s="10">
        <f>(Table2[[#This Row],[Leave Votes]]+Table2[[#This Row],[Remain Votes]])/Table2[[#This Row],[Residents Age &gt;=20]]</f>
        <v>0.73103819257665414</v>
      </c>
      <c r="AB323" s="10">
        <f>Table2[[#This Row],[Remain Votes]]/Table2[[#This Row],[Residents Age &gt;=20]]</f>
        <v>0.23781429488625519</v>
      </c>
      <c r="AC323" s="10">
        <f>Table2[[#This Row],[Leave Votes]]/Table2[[#This Row],[Residents Age &gt;=20]]</f>
        <v>0.49322389769039893</v>
      </c>
    </row>
    <row r="324" spans="1:29" x14ac:dyDescent="0.45">
      <c r="A324" t="s">
        <v>830</v>
      </c>
      <c r="B324" t="s">
        <v>595</v>
      </c>
      <c r="C324" t="s">
        <v>596</v>
      </c>
      <c r="D324" s="1">
        <v>82998</v>
      </c>
      <c r="E324" s="1">
        <v>4886</v>
      </c>
      <c r="F324" s="1">
        <v>4715</v>
      </c>
      <c r="G324" s="1">
        <v>5391</v>
      </c>
      <c r="H324" s="1">
        <v>4984</v>
      </c>
      <c r="I324" s="1">
        <v>3997</v>
      </c>
      <c r="J324" s="1">
        <v>3905</v>
      </c>
      <c r="K324" s="1">
        <v>4572</v>
      </c>
      <c r="L324" s="1">
        <v>5281</v>
      </c>
      <c r="M324" s="1">
        <v>6402</v>
      </c>
      <c r="N324" s="1">
        <v>6789</v>
      </c>
      <c r="O324" s="1">
        <v>5900</v>
      </c>
      <c r="P324" s="1">
        <v>5209</v>
      </c>
      <c r="Q324" s="1">
        <v>5612</v>
      </c>
      <c r="R324" s="1">
        <v>4499</v>
      </c>
      <c r="S324" s="1">
        <v>3391</v>
      </c>
      <c r="T324" s="1">
        <v>2807</v>
      </c>
      <c r="U324" s="1">
        <v>2367</v>
      </c>
      <c r="V324" s="1">
        <v>1417</v>
      </c>
      <c r="W324">
        <v>874</v>
      </c>
      <c r="X324" s="9">
        <f>SUM(Table2[[#This Row],[Age 20 to 24]:[Age 90 and Over]])</f>
        <v>63022</v>
      </c>
      <c r="Y324" s="9">
        <f>_xlfn.XLOOKUP(Table2[[#This Row],[Area]],Referendum!E:E,Referendum!L:L,"")</f>
        <v>24251</v>
      </c>
      <c r="Z324" s="9">
        <f>_xlfn.XLOOKUP(Table2[[#This Row],[Area]],Referendum!E:E,Referendum!M:M,"")</f>
        <v>27169</v>
      </c>
      <c r="AA324" s="10">
        <f>(Table2[[#This Row],[Leave Votes]]+Table2[[#This Row],[Remain Votes]])/Table2[[#This Row],[Residents Age &gt;=20]]</f>
        <v>0.81590555678969245</v>
      </c>
      <c r="AB324" s="10">
        <f>Table2[[#This Row],[Remain Votes]]/Table2[[#This Row],[Residents Age &gt;=20]]</f>
        <v>0.38480213258861984</v>
      </c>
      <c r="AC324" s="10">
        <f>Table2[[#This Row],[Leave Votes]]/Table2[[#This Row],[Residents Age &gt;=20]]</f>
        <v>0.43110342420107262</v>
      </c>
    </row>
    <row r="325" spans="1:29" x14ac:dyDescent="0.45">
      <c r="A325" t="s">
        <v>830</v>
      </c>
      <c r="B325" t="s">
        <v>687</v>
      </c>
      <c r="C325" t="s">
        <v>688</v>
      </c>
      <c r="D325" s="1">
        <v>110187</v>
      </c>
      <c r="E325" s="1">
        <v>6266</v>
      </c>
      <c r="F325" s="1">
        <v>5843</v>
      </c>
      <c r="G325" s="1">
        <v>6389</v>
      </c>
      <c r="H325" s="1">
        <v>7222</v>
      </c>
      <c r="I325" s="1">
        <v>6226</v>
      </c>
      <c r="J325" s="1">
        <v>6047</v>
      </c>
      <c r="K325" s="1">
        <v>5877</v>
      </c>
      <c r="L325" s="1">
        <v>6628</v>
      </c>
      <c r="M325" s="1">
        <v>7739</v>
      </c>
      <c r="N325" s="1">
        <v>8077</v>
      </c>
      <c r="O325" s="1">
        <v>7442</v>
      </c>
      <c r="P325" s="1">
        <v>6915</v>
      </c>
      <c r="Q325" s="1">
        <v>7504</v>
      </c>
      <c r="R325" s="1">
        <v>6048</v>
      </c>
      <c r="S325" s="1">
        <v>4776</v>
      </c>
      <c r="T325" s="1">
        <v>4152</v>
      </c>
      <c r="U325" s="1">
        <v>3495</v>
      </c>
      <c r="V325" s="1">
        <v>2261</v>
      </c>
      <c r="W325" s="1">
        <v>1280</v>
      </c>
      <c r="X325" s="9">
        <f>SUM(Table2[[#This Row],[Age 20 to 24]:[Age 90 and Over]])</f>
        <v>84467</v>
      </c>
      <c r="Y325" s="9">
        <f>_xlfn.XLOOKUP(Table2[[#This Row],[Area]],Referendum!E:E,Referendum!L:L,"")</f>
        <v>30944</v>
      </c>
      <c r="Z325" s="9">
        <f>_xlfn.XLOOKUP(Table2[[#This Row],[Area]],Referendum!E:E,Referendum!M:M,"")</f>
        <v>34789</v>
      </c>
      <c r="AA325" s="10">
        <f>(Table2[[#This Row],[Leave Votes]]+Table2[[#This Row],[Remain Votes]])/Table2[[#This Row],[Residents Age &gt;=20]]</f>
        <v>0.77820924147892079</v>
      </c>
      <c r="AB325" s="10">
        <f>Table2[[#This Row],[Remain Votes]]/Table2[[#This Row],[Residents Age &gt;=20]]</f>
        <v>0.36634425278511135</v>
      </c>
      <c r="AC325" s="10">
        <f>Table2[[#This Row],[Leave Votes]]/Table2[[#This Row],[Residents Age &gt;=20]]</f>
        <v>0.41186498869380944</v>
      </c>
    </row>
    <row r="326" spans="1:29" x14ac:dyDescent="0.45">
      <c r="A326" t="s">
        <v>830</v>
      </c>
      <c r="B326" t="s">
        <v>651</v>
      </c>
      <c r="C326" t="s">
        <v>652</v>
      </c>
      <c r="D326" s="1">
        <v>124220</v>
      </c>
      <c r="E326" s="1">
        <v>5984</v>
      </c>
      <c r="F326" s="1">
        <v>6041</v>
      </c>
      <c r="G326" s="1">
        <v>6966</v>
      </c>
      <c r="H326" s="1">
        <v>7157</v>
      </c>
      <c r="I326" s="1">
        <v>5694</v>
      </c>
      <c r="J326" s="1">
        <v>5432</v>
      </c>
      <c r="K326" s="1">
        <v>5617</v>
      </c>
      <c r="L326" s="1">
        <v>6646</v>
      </c>
      <c r="M326" s="1">
        <v>8694</v>
      </c>
      <c r="N326" s="1">
        <v>9713</v>
      </c>
      <c r="O326" s="1">
        <v>8671</v>
      </c>
      <c r="P326" s="1">
        <v>8609</v>
      </c>
      <c r="Q326" s="1">
        <v>9980</v>
      </c>
      <c r="R326" s="1">
        <v>8397</v>
      </c>
      <c r="S326" s="1">
        <v>6352</v>
      </c>
      <c r="T326" s="1">
        <v>5357</v>
      </c>
      <c r="U326" s="1">
        <v>4302</v>
      </c>
      <c r="V326" s="1">
        <v>2997</v>
      </c>
      <c r="W326" s="1">
        <v>1611</v>
      </c>
      <c r="X326" s="9">
        <f>SUM(Table2[[#This Row],[Age 20 to 24]:[Age 90 and Over]])</f>
        <v>98072</v>
      </c>
      <c r="Y326" s="9">
        <f>_xlfn.XLOOKUP(Table2[[#This Row],[Area]],Referendum!E:E,Referendum!L:L,"")</f>
        <v>37949</v>
      </c>
      <c r="Z326" s="9">
        <f>_xlfn.XLOOKUP(Table2[[#This Row],[Area]],Referendum!E:E,Referendum!M:M,"")</f>
        <v>44363</v>
      </c>
      <c r="AA326" s="10">
        <f>(Table2[[#This Row],[Leave Votes]]+Table2[[#This Row],[Remain Votes]])/Table2[[#This Row],[Residents Age &gt;=20]]</f>
        <v>0.83930173749898029</v>
      </c>
      <c r="AB326" s="10">
        <f>Table2[[#This Row],[Remain Votes]]/Table2[[#This Row],[Residents Age &gt;=20]]</f>
        <v>0.38695040378497431</v>
      </c>
      <c r="AC326" s="10">
        <f>Table2[[#This Row],[Leave Votes]]/Table2[[#This Row],[Residents Age &gt;=20]]</f>
        <v>0.45235133371400604</v>
      </c>
    </row>
    <row r="327" spans="1:29" x14ac:dyDescent="0.45">
      <c r="A327" t="s">
        <v>830</v>
      </c>
      <c r="B327" t="s">
        <v>271</v>
      </c>
      <c r="C327" t="s">
        <v>272</v>
      </c>
      <c r="D327" s="1">
        <v>166641</v>
      </c>
      <c r="E327" s="1">
        <v>11344</v>
      </c>
      <c r="F327" s="1">
        <v>10007</v>
      </c>
      <c r="G327" s="1">
        <v>10594</v>
      </c>
      <c r="H327" s="1">
        <v>11496</v>
      </c>
      <c r="I327" s="1">
        <v>10863</v>
      </c>
      <c r="J327" s="1">
        <v>10888</v>
      </c>
      <c r="K327" s="1">
        <v>10334</v>
      </c>
      <c r="L327" s="1">
        <v>11145</v>
      </c>
      <c r="M327" s="1">
        <v>12850</v>
      </c>
      <c r="N327" s="1">
        <v>12653</v>
      </c>
      <c r="O327" s="1">
        <v>10502</v>
      </c>
      <c r="P327" s="1">
        <v>9866</v>
      </c>
      <c r="Q327" s="1">
        <v>10010</v>
      </c>
      <c r="R327" s="1">
        <v>7934</v>
      </c>
      <c r="S327" s="1">
        <v>5994</v>
      </c>
      <c r="T327" s="1">
        <v>4439</v>
      </c>
      <c r="U327" s="1">
        <v>3042</v>
      </c>
      <c r="V327" s="1">
        <v>1771</v>
      </c>
      <c r="W327">
        <v>909</v>
      </c>
      <c r="X327" s="9">
        <f>SUM(Table2[[#This Row],[Age 20 to 24]:[Age 90 and Over]])</f>
        <v>123200</v>
      </c>
      <c r="Y327" s="9">
        <f>_xlfn.XLOOKUP(Table2[[#This Row],[Area]],Referendum!E:E,Referendum!L:L,"")</f>
        <v>32954</v>
      </c>
      <c r="Z327" s="9">
        <f>_xlfn.XLOOKUP(Table2[[#This Row],[Area]],Referendum!E:E,Referendum!M:M,"")</f>
        <v>56649</v>
      </c>
      <c r="AA327" s="10">
        <f>(Table2[[#This Row],[Leave Votes]]+Table2[[#This Row],[Remain Votes]])/Table2[[#This Row],[Residents Age &gt;=20]]</f>
        <v>0.72729707792207787</v>
      </c>
      <c r="AB327" s="10">
        <f>Table2[[#This Row],[Remain Votes]]/Table2[[#This Row],[Residents Age &gt;=20]]</f>
        <v>0.26748376623376624</v>
      </c>
      <c r="AC327" s="10">
        <f>Table2[[#This Row],[Leave Votes]]/Table2[[#This Row],[Residents Age &gt;=20]]</f>
        <v>0.45981331168831169</v>
      </c>
    </row>
    <row r="328" spans="1:29" x14ac:dyDescent="0.45">
      <c r="A328" t="s">
        <v>830</v>
      </c>
      <c r="B328" t="s">
        <v>359</v>
      </c>
      <c r="C328" t="s">
        <v>360</v>
      </c>
      <c r="D328" s="1">
        <v>138048</v>
      </c>
      <c r="E328" s="1">
        <v>6753</v>
      </c>
      <c r="F328" s="1">
        <v>6502</v>
      </c>
      <c r="G328" s="1">
        <v>7671</v>
      </c>
      <c r="H328" s="1">
        <v>7970</v>
      </c>
      <c r="I328" s="1">
        <v>6709</v>
      </c>
      <c r="J328" s="1">
        <v>5672</v>
      </c>
      <c r="K328" s="1">
        <v>5578</v>
      </c>
      <c r="L328" s="1">
        <v>6856</v>
      </c>
      <c r="M328" s="1">
        <v>8732</v>
      </c>
      <c r="N328" s="1">
        <v>9434</v>
      </c>
      <c r="O328" s="1">
        <v>8825</v>
      </c>
      <c r="P328" s="1">
        <v>8725</v>
      </c>
      <c r="Q328" s="1">
        <v>11348</v>
      </c>
      <c r="R328" s="1">
        <v>10221</v>
      </c>
      <c r="S328" s="1">
        <v>8607</v>
      </c>
      <c r="T328" s="1">
        <v>7185</v>
      </c>
      <c r="U328" s="1">
        <v>5612</v>
      </c>
      <c r="V328" s="1">
        <v>3653</v>
      </c>
      <c r="W328" s="1">
        <v>1995</v>
      </c>
      <c r="X328" s="9">
        <f>SUM(Table2[[#This Row],[Age 20 to 24]:[Age 90 and Over]])</f>
        <v>109152</v>
      </c>
      <c r="Y328" s="9">
        <f>_xlfn.XLOOKUP(Table2[[#This Row],[Area]],Referendum!E:E,Referendum!L:L,"")</f>
        <v>25210</v>
      </c>
      <c r="Z328" s="9">
        <f>_xlfn.XLOOKUP(Table2[[#This Row],[Area]],Referendum!E:E,Referendum!M:M,"")</f>
        <v>57447</v>
      </c>
      <c r="AA328" s="10">
        <f>(Table2[[#This Row],[Leave Votes]]+Table2[[#This Row],[Remain Votes]])/Table2[[#This Row],[Residents Age &gt;=20]]</f>
        <v>0.7572650982116681</v>
      </c>
      <c r="AB328" s="10">
        <f>Table2[[#This Row],[Remain Votes]]/Table2[[#This Row],[Residents Age &gt;=20]]</f>
        <v>0.23096232776311931</v>
      </c>
      <c r="AC328" s="10">
        <f>Table2[[#This Row],[Leave Votes]]/Table2[[#This Row],[Residents Age &gt;=20]]</f>
        <v>0.52630277044854878</v>
      </c>
    </row>
    <row r="329" spans="1:29" x14ac:dyDescent="0.45">
      <c r="A329" t="s">
        <v>830</v>
      </c>
      <c r="B329" t="s">
        <v>541</v>
      </c>
      <c r="C329" t="s">
        <v>542</v>
      </c>
      <c r="D329" s="1">
        <v>116398</v>
      </c>
      <c r="E329" s="1">
        <v>6711</v>
      </c>
      <c r="F329" s="1">
        <v>6596</v>
      </c>
      <c r="G329" s="1">
        <v>7117</v>
      </c>
      <c r="H329" s="1">
        <v>7081</v>
      </c>
      <c r="I329" s="1">
        <v>5694</v>
      </c>
      <c r="J329" s="1">
        <v>5399</v>
      </c>
      <c r="K329" s="1">
        <v>5988</v>
      </c>
      <c r="L329" s="1">
        <v>7712</v>
      </c>
      <c r="M329" s="1">
        <v>8966</v>
      </c>
      <c r="N329" s="1">
        <v>9706</v>
      </c>
      <c r="O329" s="1">
        <v>8392</v>
      </c>
      <c r="P329" s="1">
        <v>7316</v>
      </c>
      <c r="Q329" s="1">
        <v>8323</v>
      </c>
      <c r="R329" s="1">
        <v>6640</v>
      </c>
      <c r="S329" s="1">
        <v>4995</v>
      </c>
      <c r="T329" s="1">
        <v>4013</v>
      </c>
      <c r="U329" s="1">
        <v>2912</v>
      </c>
      <c r="V329" s="1">
        <v>1826</v>
      </c>
      <c r="W329" s="1">
        <v>1011</v>
      </c>
      <c r="X329" s="9">
        <f>SUM(Table2[[#This Row],[Age 20 to 24]:[Age 90 and Over]])</f>
        <v>88893</v>
      </c>
      <c r="Y329" s="9">
        <f>_xlfn.XLOOKUP(Table2[[#This Row],[Area]],Referendum!E:E,Referendum!L:L,"")</f>
        <v>36170</v>
      </c>
      <c r="Z329" s="9">
        <f>_xlfn.XLOOKUP(Table2[[#This Row],[Area]],Referendum!E:E,Referendum!M:M,"")</f>
        <v>39091</v>
      </c>
      <c r="AA329" s="10">
        <f>(Table2[[#This Row],[Leave Votes]]+Table2[[#This Row],[Remain Votes]])/Table2[[#This Row],[Residents Age &gt;=20]]</f>
        <v>0.84664709257196857</v>
      </c>
      <c r="AB329" s="10">
        <f>Table2[[#This Row],[Remain Votes]]/Table2[[#This Row],[Residents Age &gt;=20]]</f>
        <v>0.406893681167246</v>
      </c>
      <c r="AC329" s="10">
        <f>Table2[[#This Row],[Leave Votes]]/Table2[[#This Row],[Residents Age &gt;=20]]</f>
        <v>0.43975341140472252</v>
      </c>
    </row>
    <row r="330" spans="1:29" x14ac:dyDescent="0.45">
      <c r="A330" t="s">
        <v>830</v>
      </c>
      <c r="B330" t="s">
        <v>679</v>
      </c>
      <c r="C330" t="s">
        <v>680</v>
      </c>
      <c r="D330" s="1">
        <v>81943</v>
      </c>
      <c r="E330" s="1">
        <v>4616</v>
      </c>
      <c r="F330" s="1">
        <v>4327</v>
      </c>
      <c r="G330" s="1">
        <v>4688</v>
      </c>
      <c r="H330" s="1">
        <v>4468</v>
      </c>
      <c r="I330" s="1">
        <v>4088</v>
      </c>
      <c r="J330" s="1">
        <v>4023</v>
      </c>
      <c r="K330" s="1">
        <v>4437</v>
      </c>
      <c r="L330" s="1">
        <v>5263</v>
      </c>
      <c r="M330" s="1">
        <v>6280</v>
      </c>
      <c r="N330" s="1">
        <v>6522</v>
      </c>
      <c r="O330" s="1">
        <v>5754</v>
      </c>
      <c r="P330" s="1">
        <v>5251</v>
      </c>
      <c r="Q330" s="1">
        <v>5717</v>
      </c>
      <c r="R330" s="1">
        <v>4835</v>
      </c>
      <c r="S330" s="1">
        <v>4001</v>
      </c>
      <c r="T330" s="1">
        <v>3083</v>
      </c>
      <c r="U330" s="1">
        <v>2322</v>
      </c>
      <c r="V330" s="1">
        <v>1516</v>
      </c>
      <c r="W330">
        <v>752</v>
      </c>
      <c r="X330" s="9">
        <f>SUM(Table2[[#This Row],[Age 20 to 24]:[Age 90 and Over]])</f>
        <v>63844</v>
      </c>
      <c r="Y330" s="9">
        <f>_xlfn.XLOOKUP(Table2[[#This Row],[Area]],Referendum!E:E,Referendum!L:L,"")</f>
        <v>25084</v>
      </c>
      <c r="Z330" s="9">
        <f>_xlfn.XLOOKUP(Table2[[#This Row],[Area]],Referendum!E:E,Referendum!M:M,"")</f>
        <v>28568</v>
      </c>
      <c r="AA330" s="10">
        <f>(Table2[[#This Row],[Leave Votes]]+Table2[[#This Row],[Remain Votes]])/Table2[[#This Row],[Residents Age &gt;=20]]</f>
        <v>0.84036087964413253</v>
      </c>
      <c r="AB330" s="10">
        <f>Table2[[#This Row],[Remain Votes]]/Table2[[#This Row],[Residents Age &gt;=20]]</f>
        <v>0.39289518200613999</v>
      </c>
      <c r="AC330" s="10">
        <f>Table2[[#This Row],[Leave Votes]]/Table2[[#This Row],[Residents Age &gt;=20]]</f>
        <v>0.4474656976379926</v>
      </c>
    </row>
    <row r="331" spans="1:29" x14ac:dyDescent="0.45">
      <c r="A331" t="s">
        <v>830</v>
      </c>
      <c r="B331" t="s">
        <v>563</v>
      </c>
      <c r="C331" t="s">
        <v>564</v>
      </c>
      <c r="D331" s="1">
        <v>134186</v>
      </c>
      <c r="E331" s="1">
        <v>8093</v>
      </c>
      <c r="F331" s="1">
        <v>7241</v>
      </c>
      <c r="G331" s="1">
        <v>8570</v>
      </c>
      <c r="H331" s="1">
        <v>8593</v>
      </c>
      <c r="I331" s="1">
        <v>7396</v>
      </c>
      <c r="J331" s="1">
        <v>7320</v>
      </c>
      <c r="K331" s="1">
        <v>6813</v>
      </c>
      <c r="L331" s="1">
        <v>7347</v>
      </c>
      <c r="M331" s="1">
        <v>8932</v>
      </c>
      <c r="N331" s="1">
        <v>9346</v>
      </c>
      <c r="O331" s="1">
        <v>8461</v>
      </c>
      <c r="P331" s="1">
        <v>8080</v>
      </c>
      <c r="Q331" s="1">
        <v>9581</v>
      </c>
      <c r="R331" s="1">
        <v>7908</v>
      </c>
      <c r="S331" s="1">
        <v>6401</v>
      </c>
      <c r="T331" s="1">
        <v>5238</v>
      </c>
      <c r="U331" s="1">
        <v>4333</v>
      </c>
      <c r="V331" s="1">
        <v>2866</v>
      </c>
      <c r="W331" s="1">
        <v>1667</v>
      </c>
      <c r="X331" s="9">
        <f>SUM(Table2[[#This Row],[Age 20 to 24]:[Age 90 and Over]])</f>
        <v>101689</v>
      </c>
      <c r="Y331" s="9">
        <f>_xlfn.XLOOKUP(Table2[[#This Row],[Area]],Referendum!E:E,Referendum!L:L,"")</f>
        <v>26065</v>
      </c>
      <c r="Z331" s="9">
        <f>_xlfn.XLOOKUP(Table2[[#This Row],[Area]],Referendum!E:E,Referendum!M:M,"")</f>
        <v>46037</v>
      </c>
      <c r="AA331" s="10">
        <f>(Table2[[#This Row],[Leave Votes]]+Table2[[#This Row],[Remain Votes]])/Table2[[#This Row],[Residents Age &gt;=20]]</f>
        <v>0.70904424274011935</v>
      </c>
      <c r="AB331" s="10">
        <f>Table2[[#This Row],[Remain Votes]]/Table2[[#This Row],[Residents Age &gt;=20]]</f>
        <v>0.25632074265653121</v>
      </c>
      <c r="AC331" s="10">
        <f>Table2[[#This Row],[Leave Votes]]/Table2[[#This Row],[Residents Age &gt;=20]]</f>
        <v>0.45272350008358819</v>
      </c>
    </row>
    <row r="332" spans="1:29" x14ac:dyDescent="0.45">
      <c r="A332" t="s">
        <v>830</v>
      </c>
      <c r="B332" t="s">
        <v>377</v>
      </c>
      <c r="C332" t="s">
        <v>378</v>
      </c>
      <c r="D332" s="1">
        <v>87317</v>
      </c>
      <c r="E332" s="1">
        <v>5433</v>
      </c>
      <c r="F332" s="1">
        <v>5249</v>
      </c>
      <c r="G332" s="1">
        <v>5673</v>
      </c>
      <c r="H332" s="1">
        <v>5299</v>
      </c>
      <c r="I332" s="1">
        <v>4357</v>
      </c>
      <c r="J332" s="1">
        <v>4716</v>
      </c>
      <c r="K332" s="1">
        <v>5412</v>
      </c>
      <c r="L332" s="1">
        <v>6124</v>
      </c>
      <c r="M332" s="1">
        <v>6733</v>
      </c>
      <c r="N332" s="1">
        <v>7164</v>
      </c>
      <c r="O332" s="1">
        <v>6000</v>
      </c>
      <c r="P332" s="1">
        <v>5137</v>
      </c>
      <c r="Q332" s="1">
        <v>5314</v>
      </c>
      <c r="R332" s="1">
        <v>4001</v>
      </c>
      <c r="S332" s="1">
        <v>3326</v>
      </c>
      <c r="T332" s="1">
        <v>3007</v>
      </c>
      <c r="U332" s="1">
        <v>2160</v>
      </c>
      <c r="V332" s="1">
        <v>1425</v>
      </c>
      <c r="W332">
        <v>787</v>
      </c>
      <c r="X332" s="9">
        <f>SUM(Table2[[#This Row],[Age 20 to 24]:[Age 90 and Over]])</f>
        <v>65663</v>
      </c>
      <c r="Y332" s="9">
        <f>_xlfn.XLOOKUP(Table2[[#This Row],[Area]],Referendum!E:E,Referendum!L:L,"")</f>
        <v>25751</v>
      </c>
      <c r="Z332" s="9">
        <f>_xlfn.XLOOKUP(Table2[[#This Row],[Area]],Referendum!E:E,Referendum!M:M,"")</f>
        <v>27097</v>
      </c>
      <c r="AA332" s="10">
        <f>(Table2[[#This Row],[Leave Votes]]+Table2[[#This Row],[Remain Votes]])/Table2[[#This Row],[Residents Age &gt;=20]]</f>
        <v>0.80483681829949894</v>
      </c>
      <c r="AB332" s="10">
        <f>Table2[[#This Row],[Remain Votes]]/Table2[[#This Row],[Residents Age &gt;=20]]</f>
        <v>0.39216910588916132</v>
      </c>
      <c r="AC332" s="10">
        <f>Table2[[#This Row],[Leave Votes]]/Table2[[#This Row],[Residents Age &gt;=20]]</f>
        <v>0.41266771241033762</v>
      </c>
    </row>
    <row r="333" spans="1:29" x14ac:dyDescent="0.45">
      <c r="A333" t="s">
        <v>830</v>
      </c>
      <c r="B333" t="s">
        <v>327</v>
      </c>
      <c r="C333" t="s">
        <v>328</v>
      </c>
      <c r="D333" s="1">
        <v>157705</v>
      </c>
      <c r="E333" s="1">
        <v>12005</v>
      </c>
      <c r="F333" s="1">
        <v>10231</v>
      </c>
      <c r="G333" s="1">
        <v>9949</v>
      </c>
      <c r="H333" s="1">
        <v>9853</v>
      </c>
      <c r="I333" s="1">
        <v>9804</v>
      </c>
      <c r="J333" s="1">
        <v>11162</v>
      </c>
      <c r="K333" s="1">
        <v>11808</v>
      </c>
      <c r="L333" s="1">
        <v>12200</v>
      </c>
      <c r="M333" s="1">
        <v>12558</v>
      </c>
      <c r="N333" s="1">
        <v>11535</v>
      </c>
      <c r="O333" s="1">
        <v>9453</v>
      </c>
      <c r="P333" s="1">
        <v>8387</v>
      </c>
      <c r="Q333" s="1">
        <v>8739</v>
      </c>
      <c r="R333" s="1">
        <v>5996</v>
      </c>
      <c r="S333" s="1">
        <v>4742</v>
      </c>
      <c r="T333" s="1">
        <v>3784</v>
      </c>
      <c r="U333" s="1">
        <v>2873</v>
      </c>
      <c r="V333" s="1">
        <v>1844</v>
      </c>
      <c r="W333">
        <v>782</v>
      </c>
      <c r="X333" s="9">
        <f>SUM(Table2[[#This Row],[Age 20 to 24]:[Age 90 and Over]])</f>
        <v>115667</v>
      </c>
      <c r="Y333" s="9">
        <f>_xlfn.XLOOKUP(Table2[[#This Row],[Area]],Referendum!E:E,Referendum!L:L,"")</f>
        <v>22151</v>
      </c>
      <c r="Z333" s="9">
        <f>_xlfn.XLOOKUP(Table2[[#This Row],[Area]],Referendum!E:E,Referendum!M:M,"")</f>
        <v>57765</v>
      </c>
      <c r="AA333" s="10">
        <f>(Table2[[#This Row],[Leave Votes]]+Table2[[#This Row],[Remain Votes]])/Table2[[#This Row],[Residents Age &gt;=20]]</f>
        <v>0.69091443540508524</v>
      </c>
      <c r="AB333" s="10">
        <f>Table2[[#This Row],[Remain Votes]]/Table2[[#This Row],[Residents Age &gt;=20]]</f>
        <v>0.19150665271858006</v>
      </c>
      <c r="AC333" s="10">
        <f>Table2[[#This Row],[Leave Votes]]/Table2[[#This Row],[Residents Age &gt;=20]]</f>
        <v>0.49940778268650521</v>
      </c>
    </row>
    <row r="334" spans="1:29" x14ac:dyDescent="0.45">
      <c r="A334" t="s">
        <v>830</v>
      </c>
      <c r="B334" t="s">
        <v>565</v>
      </c>
      <c r="C334" t="s">
        <v>566</v>
      </c>
      <c r="D334" s="1">
        <v>120805</v>
      </c>
      <c r="E334" s="1">
        <v>7447</v>
      </c>
      <c r="F334" s="1">
        <v>7668</v>
      </c>
      <c r="G334" s="1">
        <v>8169</v>
      </c>
      <c r="H334" s="1">
        <v>8078</v>
      </c>
      <c r="I334" s="1">
        <v>5841</v>
      </c>
      <c r="J334" s="1">
        <v>5804</v>
      </c>
      <c r="K334" s="1">
        <v>6599</v>
      </c>
      <c r="L334" s="1">
        <v>8450</v>
      </c>
      <c r="M334" s="1">
        <v>9831</v>
      </c>
      <c r="N334" s="1">
        <v>9668</v>
      </c>
      <c r="O334" s="1">
        <v>8330</v>
      </c>
      <c r="P334" s="1">
        <v>6900</v>
      </c>
      <c r="Q334" s="1">
        <v>7593</v>
      </c>
      <c r="R334" s="1">
        <v>6088</v>
      </c>
      <c r="S334" s="1">
        <v>4953</v>
      </c>
      <c r="T334" s="1">
        <v>4033</v>
      </c>
      <c r="U334" s="1">
        <v>2917</v>
      </c>
      <c r="V334" s="1">
        <v>1580</v>
      </c>
      <c r="W334">
        <v>856</v>
      </c>
      <c r="X334" s="9">
        <f>SUM(Table2[[#This Row],[Age 20 to 24]:[Age 90 and Over]])</f>
        <v>89443</v>
      </c>
      <c r="Y334" s="9">
        <f>_xlfn.XLOOKUP(Table2[[#This Row],[Area]],Referendum!E:E,Referendum!L:L,"")</f>
        <v>32792</v>
      </c>
      <c r="Z334" s="9">
        <f>_xlfn.XLOOKUP(Table2[[#This Row],[Area]],Referendum!E:E,Referendum!M:M,"")</f>
        <v>41229</v>
      </c>
      <c r="AA334" s="10">
        <f>(Table2[[#This Row],[Leave Votes]]+Table2[[#This Row],[Remain Votes]])/Table2[[#This Row],[Residents Age &gt;=20]]</f>
        <v>0.82757733975828185</v>
      </c>
      <c r="AB334" s="10">
        <f>Table2[[#This Row],[Remain Votes]]/Table2[[#This Row],[Residents Age &gt;=20]]</f>
        <v>0.36662455418534712</v>
      </c>
      <c r="AC334" s="10">
        <f>Table2[[#This Row],[Leave Votes]]/Table2[[#This Row],[Residents Age &gt;=20]]</f>
        <v>0.46095278557293473</v>
      </c>
    </row>
    <row r="335" spans="1:29" x14ac:dyDescent="0.45">
      <c r="A335" t="s">
        <v>830</v>
      </c>
      <c r="B335" t="s">
        <v>631</v>
      </c>
      <c r="C335" t="s">
        <v>632</v>
      </c>
      <c r="D335" s="1">
        <v>130959</v>
      </c>
      <c r="E335" s="1">
        <v>6690</v>
      </c>
      <c r="F335" s="1">
        <v>6277</v>
      </c>
      <c r="G335" s="1">
        <v>7092</v>
      </c>
      <c r="H335" s="1">
        <v>7569</v>
      </c>
      <c r="I335" s="1">
        <v>6779</v>
      </c>
      <c r="J335" s="1">
        <v>6700</v>
      </c>
      <c r="K335" s="1">
        <v>6140</v>
      </c>
      <c r="L335" s="1">
        <v>7060</v>
      </c>
      <c r="M335" s="1">
        <v>8855</v>
      </c>
      <c r="N335" s="1">
        <v>9547</v>
      </c>
      <c r="O335" s="1">
        <v>8809</v>
      </c>
      <c r="P335" s="1">
        <v>8418</v>
      </c>
      <c r="Q335" s="1">
        <v>10169</v>
      </c>
      <c r="R335" s="1">
        <v>8594</v>
      </c>
      <c r="S335" s="1">
        <v>6970</v>
      </c>
      <c r="T335" s="1">
        <v>5804</v>
      </c>
      <c r="U335" s="1">
        <v>4415</v>
      </c>
      <c r="V335" s="1">
        <v>3190</v>
      </c>
      <c r="W335" s="1">
        <v>1881</v>
      </c>
      <c r="X335" s="9">
        <f>SUM(Table2[[#This Row],[Age 20 to 24]:[Age 90 and Over]])</f>
        <v>103331</v>
      </c>
      <c r="Y335" s="9">
        <f>_xlfn.XLOOKUP(Table2[[#This Row],[Area]],Referendum!E:E,Referendum!L:L,"")</f>
        <v>27935</v>
      </c>
      <c r="Z335" s="9">
        <f>_xlfn.XLOOKUP(Table2[[#This Row],[Area]],Referendum!E:E,Referendum!M:M,"")</f>
        <v>47889</v>
      </c>
      <c r="AA335" s="10">
        <f>(Table2[[#This Row],[Leave Votes]]+Table2[[#This Row],[Remain Votes]])/Table2[[#This Row],[Residents Age &gt;=20]]</f>
        <v>0.7337972147758175</v>
      </c>
      <c r="AB335" s="10">
        <f>Table2[[#This Row],[Remain Votes]]/Table2[[#This Row],[Residents Age &gt;=20]]</f>
        <v>0.27034481423774087</v>
      </c>
      <c r="AC335" s="10">
        <f>Table2[[#This Row],[Leave Votes]]/Table2[[#This Row],[Residents Age &gt;=20]]</f>
        <v>0.46345240053807668</v>
      </c>
    </row>
    <row r="336" spans="1:29" x14ac:dyDescent="0.45">
      <c r="A336" t="s">
        <v>830</v>
      </c>
      <c r="B336" t="s">
        <v>799</v>
      </c>
      <c r="C336" t="s">
        <v>800</v>
      </c>
      <c r="D336" s="1">
        <v>91075</v>
      </c>
      <c r="E336" s="1">
        <v>5381</v>
      </c>
      <c r="F336" s="1">
        <v>5033</v>
      </c>
      <c r="G336" s="1">
        <v>5620</v>
      </c>
      <c r="H336" s="1">
        <v>6078</v>
      </c>
      <c r="I336" s="1">
        <v>5588</v>
      </c>
      <c r="J336" s="1">
        <v>5574</v>
      </c>
      <c r="K336" s="1">
        <v>5069</v>
      </c>
      <c r="L336" s="1">
        <v>5183</v>
      </c>
      <c r="M336" s="1">
        <v>6457</v>
      </c>
      <c r="N336" s="1">
        <v>6854</v>
      </c>
      <c r="O336" s="1">
        <v>6189</v>
      </c>
      <c r="P336" s="1">
        <v>5639</v>
      </c>
      <c r="Q336" s="1">
        <v>6040</v>
      </c>
      <c r="R336" s="1">
        <v>4837</v>
      </c>
      <c r="S336" s="1">
        <v>3807</v>
      </c>
      <c r="T336" s="1">
        <v>3221</v>
      </c>
      <c r="U336" s="1">
        <v>2347</v>
      </c>
      <c r="V336" s="1">
        <v>1419</v>
      </c>
      <c r="W336">
        <v>739</v>
      </c>
      <c r="X336" s="9">
        <f>SUM(Table2[[#This Row],[Age 20 to 24]:[Age 90 and Over]])</f>
        <v>68963</v>
      </c>
      <c r="Y336" s="9">
        <f>_xlfn.XLOOKUP(Table2[[#This Row],[Area]],Referendum!E:E,Referendum!L:L,"")</f>
        <v>19363</v>
      </c>
      <c r="Z336" s="9">
        <f>_xlfn.XLOOKUP(Table2[[#This Row],[Area]],Referendum!E:E,Referendum!M:M,"")</f>
        <v>28781</v>
      </c>
      <c r="AA336" s="10">
        <f>(Table2[[#This Row],[Leave Votes]]+Table2[[#This Row],[Remain Votes]])/Table2[[#This Row],[Residents Age &gt;=20]]</f>
        <v>0.69811348114206173</v>
      </c>
      <c r="AB336" s="10">
        <f>Table2[[#This Row],[Remain Votes]]/Table2[[#This Row],[Residents Age &gt;=20]]</f>
        <v>0.28077374824181084</v>
      </c>
      <c r="AC336" s="10">
        <f>Table2[[#This Row],[Leave Votes]]/Table2[[#This Row],[Residents Age &gt;=20]]</f>
        <v>0.41733973290025084</v>
      </c>
    </row>
    <row r="337" spans="1:29" x14ac:dyDescent="0.45">
      <c r="A337" t="s">
        <v>830</v>
      </c>
      <c r="B337" t="s">
        <v>653</v>
      </c>
      <c r="C337" t="s">
        <v>654</v>
      </c>
      <c r="D337" s="1">
        <v>63839</v>
      </c>
      <c r="E337" s="1">
        <v>3157</v>
      </c>
      <c r="F337" s="1">
        <v>3091</v>
      </c>
      <c r="G337" s="1">
        <v>3493</v>
      </c>
      <c r="H337" s="1">
        <v>3631</v>
      </c>
      <c r="I337" s="1">
        <v>3025</v>
      </c>
      <c r="J337" s="1">
        <v>2634</v>
      </c>
      <c r="K337" s="1">
        <v>2891</v>
      </c>
      <c r="L337" s="1">
        <v>3318</v>
      </c>
      <c r="M337" s="1">
        <v>4294</v>
      </c>
      <c r="N337" s="1">
        <v>4681</v>
      </c>
      <c r="O337" s="1">
        <v>4508</v>
      </c>
      <c r="P337" s="1">
        <v>4579</v>
      </c>
      <c r="Q337" s="1">
        <v>5559</v>
      </c>
      <c r="R337" s="1">
        <v>4687</v>
      </c>
      <c r="S337" s="1">
        <v>3480</v>
      </c>
      <c r="T337" s="1">
        <v>2819</v>
      </c>
      <c r="U337" s="1">
        <v>2032</v>
      </c>
      <c r="V337" s="1">
        <v>1306</v>
      </c>
      <c r="W337">
        <v>654</v>
      </c>
      <c r="X337" s="9">
        <f>SUM(Table2[[#This Row],[Age 20 to 24]:[Age 90 and Over]])</f>
        <v>50467</v>
      </c>
      <c r="Y337" s="9">
        <f>_xlfn.XLOOKUP(Table2[[#This Row],[Area]],Referendum!E:E,Referendum!L:L,"")</f>
        <v>16229</v>
      </c>
      <c r="Z337" s="9">
        <f>_xlfn.XLOOKUP(Table2[[#This Row],[Area]],Referendum!E:E,Referendum!M:M,"")</f>
        <v>25200</v>
      </c>
      <c r="AA337" s="10">
        <f>(Table2[[#This Row],[Leave Votes]]+Table2[[#This Row],[Remain Votes]])/Table2[[#This Row],[Residents Age &gt;=20]]</f>
        <v>0.82091267560980441</v>
      </c>
      <c r="AB337" s="10">
        <f>Table2[[#This Row],[Remain Votes]]/Table2[[#This Row],[Residents Age &gt;=20]]</f>
        <v>0.32157647571680503</v>
      </c>
      <c r="AC337" s="10">
        <f>Table2[[#This Row],[Leave Votes]]/Table2[[#This Row],[Residents Age &gt;=20]]</f>
        <v>0.49933619989299938</v>
      </c>
    </row>
    <row r="338" spans="1:29" x14ac:dyDescent="0.45">
      <c r="A338" t="s">
        <v>830</v>
      </c>
      <c r="B338" t="s">
        <v>471</v>
      </c>
      <c r="C338" t="s">
        <v>472</v>
      </c>
      <c r="D338" s="1">
        <v>254096</v>
      </c>
      <c r="E338" s="1">
        <v>18750</v>
      </c>
      <c r="F338" s="1">
        <v>15531</v>
      </c>
      <c r="G338" s="1">
        <v>13202</v>
      </c>
      <c r="H338" s="1">
        <v>14623</v>
      </c>
      <c r="I338" s="1">
        <v>30818</v>
      </c>
      <c r="J338" s="1">
        <v>40157</v>
      </c>
      <c r="K338" s="1">
        <v>33028</v>
      </c>
      <c r="L338" s="1">
        <v>21539</v>
      </c>
      <c r="M338" s="1">
        <v>15678</v>
      </c>
      <c r="N338" s="1">
        <v>11778</v>
      </c>
      <c r="O338" s="1">
        <v>9736</v>
      </c>
      <c r="P338" s="1">
        <v>7823</v>
      </c>
      <c r="Q338" s="1">
        <v>5863</v>
      </c>
      <c r="R338" s="1">
        <v>4140</v>
      </c>
      <c r="S338" s="1">
        <v>4029</v>
      </c>
      <c r="T338" s="1">
        <v>3204</v>
      </c>
      <c r="U338" s="1">
        <v>2407</v>
      </c>
      <c r="V338" s="1">
        <v>1256</v>
      </c>
      <c r="W338">
        <v>534</v>
      </c>
      <c r="X338" s="9">
        <f>SUM(Table2[[#This Row],[Age 20 to 24]:[Age 90 and Over]])</f>
        <v>191990</v>
      </c>
      <c r="Y338" s="9">
        <f>_xlfn.XLOOKUP(Table2[[#This Row],[Area]],Referendum!E:E,Referendum!L:L,"")</f>
        <v>73011</v>
      </c>
      <c r="Z338" s="9">
        <f>_xlfn.XLOOKUP(Table2[[#This Row],[Area]],Referendum!E:E,Referendum!M:M,"")</f>
        <v>35224</v>
      </c>
      <c r="AA338" s="10">
        <f>(Table2[[#This Row],[Leave Votes]]+Table2[[#This Row],[Remain Votes]])/Table2[[#This Row],[Residents Age &gt;=20]]</f>
        <v>0.56375332048544191</v>
      </c>
      <c r="AB338" s="10">
        <f>Table2[[#This Row],[Remain Votes]]/Table2[[#This Row],[Residents Age &gt;=20]]</f>
        <v>0.38028543153289235</v>
      </c>
      <c r="AC338" s="10">
        <f>Table2[[#This Row],[Leave Votes]]/Table2[[#This Row],[Residents Age &gt;=20]]</f>
        <v>0.18346788895254962</v>
      </c>
    </row>
    <row r="339" spans="1:29" x14ac:dyDescent="0.45">
      <c r="A339" t="s">
        <v>830</v>
      </c>
      <c r="B339" t="s">
        <v>65</v>
      </c>
      <c r="C339" t="s">
        <v>66</v>
      </c>
      <c r="D339" s="1">
        <v>226578</v>
      </c>
      <c r="E339" s="1">
        <v>14870</v>
      </c>
      <c r="F339" s="1">
        <v>14032</v>
      </c>
      <c r="G339" s="1">
        <v>14076</v>
      </c>
      <c r="H339" s="1">
        <v>13526</v>
      </c>
      <c r="I339" s="1">
        <v>11776</v>
      </c>
      <c r="J339" s="1">
        <v>13764</v>
      </c>
      <c r="K339" s="1">
        <v>15010</v>
      </c>
      <c r="L339" s="1">
        <v>16430</v>
      </c>
      <c r="M339" s="1">
        <v>17781</v>
      </c>
      <c r="N339" s="1">
        <v>18223</v>
      </c>
      <c r="O339" s="1">
        <v>15281</v>
      </c>
      <c r="P339" s="1">
        <v>12722</v>
      </c>
      <c r="Q339" s="1">
        <v>12814</v>
      </c>
      <c r="R339" s="1">
        <v>9759</v>
      </c>
      <c r="S339" s="1">
        <v>8566</v>
      </c>
      <c r="T339" s="1">
        <v>7240</v>
      </c>
      <c r="U339" s="1">
        <v>5659</v>
      </c>
      <c r="V339" s="1">
        <v>3371</v>
      </c>
      <c r="W339" s="1">
        <v>1678</v>
      </c>
      <c r="X339" s="9">
        <f>SUM(Table2[[#This Row],[Age 20 to 24]:[Age 90 and Over]])</f>
        <v>170074</v>
      </c>
      <c r="Y339" s="9">
        <f>_xlfn.XLOOKUP(Table2[[#This Row],[Area]],Referendum!E:E,Referendum!L:L,"")</f>
        <v>72293</v>
      </c>
      <c r="Z339" s="9">
        <f>_xlfn.XLOOKUP(Table2[[#This Row],[Area]],Referendum!E:E,Referendum!M:M,"")</f>
        <v>53018</v>
      </c>
      <c r="AA339" s="10">
        <f>(Table2[[#This Row],[Leave Votes]]+Table2[[#This Row],[Remain Votes]])/Table2[[#This Row],[Residents Age &gt;=20]]</f>
        <v>0.73680280348554161</v>
      </c>
      <c r="AB339" s="10">
        <f>Table2[[#This Row],[Remain Votes]]/Table2[[#This Row],[Residents Age &gt;=20]]</f>
        <v>0.42506791161494406</v>
      </c>
      <c r="AC339" s="10">
        <f>Table2[[#This Row],[Leave Votes]]/Table2[[#This Row],[Residents Age &gt;=20]]</f>
        <v>0.3117348918705975</v>
      </c>
    </row>
    <row r="340" spans="1:29" x14ac:dyDescent="0.45">
      <c r="A340" t="s">
        <v>830</v>
      </c>
      <c r="B340" t="s">
        <v>567</v>
      </c>
      <c r="C340" t="s">
        <v>568</v>
      </c>
      <c r="D340" s="1">
        <v>115049</v>
      </c>
      <c r="E340" s="1">
        <v>7308</v>
      </c>
      <c r="F340" s="1">
        <v>6976</v>
      </c>
      <c r="G340" s="1">
        <v>7671</v>
      </c>
      <c r="H340" s="1">
        <v>7204</v>
      </c>
      <c r="I340" s="1">
        <v>5575</v>
      </c>
      <c r="J340" s="1">
        <v>6809</v>
      </c>
      <c r="K340" s="1">
        <v>6974</v>
      </c>
      <c r="L340" s="1">
        <v>8113</v>
      </c>
      <c r="M340" s="1">
        <v>9191</v>
      </c>
      <c r="N340" s="1">
        <v>9071</v>
      </c>
      <c r="O340" s="1">
        <v>7652</v>
      </c>
      <c r="P340" s="1">
        <v>6401</v>
      </c>
      <c r="Q340" s="1">
        <v>7029</v>
      </c>
      <c r="R340" s="1">
        <v>5487</v>
      </c>
      <c r="S340" s="1">
        <v>4157</v>
      </c>
      <c r="T340" s="1">
        <v>3545</v>
      </c>
      <c r="U340" s="1">
        <v>2948</v>
      </c>
      <c r="V340" s="1">
        <v>1836</v>
      </c>
      <c r="W340" s="1">
        <v>1102</v>
      </c>
      <c r="X340" s="9">
        <f>SUM(Table2[[#This Row],[Age 20 to 24]:[Age 90 and Over]])</f>
        <v>85890</v>
      </c>
      <c r="Y340" s="9">
        <f>_xlfn.XLOOKUP(Table2[[#This Row],[Area]],Referendum!E:E,Referendum!L:L,"")</f>
        <v>35676</v>
      </c>
      <c r="Z340" s="9">
        <f>_xlfn.XLOOKUP(Table2[[#This Row],[Area]],Referendum!E:E,Referendum!M:M,"")</f>
        <v>29320</v>
      </c>
      <c r="AA340" s="10">
        <f>(Table2[[#This Row],[Leave Votes]]+Table2[[#This Row],[Remain Votes]])/Table2[[#This Row],[Residents Age &gt;=20]]</f>
        <v>0.75673535918034696</v>
      </c>
      <c r="AB340" s="10">
        <f>Table2[[#This Row],[Remain Votes]]/Table2[[#This Row],[Residents Age &gt;=20]]</f>
        <v>0.41536849458609848</v>
      </c>
      <c r="AC340" s="10">
        <f>Table2[[#This Row],[Leave Votes]]/Table2[[#This Row],[Residents Age &gt;=20]]</f>
        <v>0.34136686459424848</v>
      </c>
    </row>
    <row r="341" spans="1:29" x14ac:dyDescent="0.45">
      <c r="A341" t="s">
        <v>830</v>
      </c>
      <c r="B341" t="s">
        <v>361</v>
      </c>
      <c r="C341" t="s">
        <v>362</v>
      </c>
      <c r="D341" s="1">
        <v>79443</v>
      </c>
      <c r="E341" s="1">
        <v>4649</v>
      </c>
      <c r="F341" s="1">
        <v>4932</v>
      </c>
      <c r="G341" s="1">
        <v>5339</v>
      </c>
      <c r="H341" s="1">
        <v>5047</v>
      </c>
      <c r="I341" s="1">
        <v>3601</v>
      </c>
      <c r="J341" s="1">
        <v>3602</v>
      </c>
      <c r="K341" s="1">
        <v>4195</v>
      </c>
      <c r="L341" s="1">
        <v>5147</v>
      </c>
      <c r="M341" s="1">
        <v>6412</v>
      </c>
      <c r="N341" s="1">
        <v>6672</v>
      </c>
      <c r="O341" s="1">
        <v>5981</v>
      </c>
      <c r="P341" s="1">
        <v>4961</v>
      </c>
      <c r="Q341" s="1">
        <v>5330</v>
      </c>
      <c r="R341" s="1">
        <v>4196</v>
      </c>
      <c r="S341" s="1">
        <v>3066</v>
      </c>
      <c r="T341" s="1">
        <v>2485</v>
      </c>
      <c r="U341" s="1">
        <v>1921</v>
      </c>
      <c r="V341" s="1">
        <v>1193</v>
      </c>
      <c r="W341">
        <v>714</v>
      </c>
      <c r="X341" s="9">
        <f>SUM(Table2[[#This Row],[Age 20 to 24]:[Age 90 and Over]])</f>
        <v>59476</v>
      </c>
      <c r="Y341" s="9">
        <f>_xlfn.XLOOKUP(Table2[[#This Row],[Area]],Referendum!E:E,Referendum!L:L,"")</f>
        <v>25619</v>
      </c>
      <c r="Z341" s="9">
        <f>_xlfn.XLOOKUP(Table2[[#This Row],[Area]],Referendum!E:E,Referendum!M:M,"")</f>
        <v>26324</v>
      </c>
      <c r="AA341" s="10">
        <f>(Table2[[#This Row],[Leave Votes]]+Table2[[#This Row],[Remain Votes]])/Table2[[#This Row],[Residents Age &gt;=20]]</f>
        <v>0.87334386979622036</v>
      </c>
      <c r="AB341" s="10">
        <f>Table2[[#This Row],[Remain Votes]]/Table2[[#This Row],[Residents Age &gt;=20]]</f>
        <v>0.43074517452417782</v>
      </c>
      <c r="AC341" s="10">
        <f>Table2[[#This Row],[Leave Votes]]/Table2[[#This Row],[Residents Age &gt;=20]]</f>
        <v>0.44259869527204249</v>
      </c>
    </row>
    <row r="342" spans="1:29" x14ac:dyDescent="0.45">
      <c r="A342" t="s">
        <v>830</v>
      </c>
      <c r="B342" t="s">
        <v>789</v>
      </c>
      <c r="C342" t="s">
        <v>790</v>
      </c>
      <c r="D342" s="1">
        <v>126336</v>
      </c>
      <c r="E342" s="1">
        <v>7333</v>
      </c>
      <c r="F342" s="1">
        <v>6918</v>
      </c>
      <c r="G342" s="1">
        <v>7902</v>
      </c>
      <c r="H342" s="1">
        <v>8152</v>
      </c>
      <c r="I342" s="1">
        <v>6825</v>
      </c>
      <c r="J342" s="1">
        <v>6969</v>
      </c>
      <c r="K342" s="1">
        <v>7237</v>
      </c>
      <c r="L342" s="1">
        <v>7958</v>
      </c>
      <c r="M342" s="1">
        <v>8943</v>
      </c>
      <c r="N342" s="1">
        <v>9463</v>
      </c>
      <c r="O342" s="1">
        <v>8883</v>
      </c>
      <c r="P342" s="1">
        <v>8211</v>
      </c>
      <c r="Q342" s="1">
        <v>8487</v>
      </c>
      <c r="R342" s="1">
        <v>6824</v>
      </c>
      <c r="S342" s="1">
        <v>5543</v>
      </c>
      <c r="T342" s="1">
        <v>4260</v>
      </c>
      <c r="U342" s="1">
        <v>3275</v>
      </c>
      <c r="V342" s="1">
        <v>2134</v>
      </c>
      <c r="W342" s="1">
        <v>1019</v>
      </c>
      <c r="X342" s="9">
        <f>SUM(Table2[[#This Row],[Age 20 to 24]:[Age 90 and Over]])</f>
        <v>96031</v>
      </c>
      <c r="Y342" s="9">
        <f>_xlfn.XLOOKUP(Table2[[#This Row],[Area]],Referendum!E:E,Referendum!L:L,"")</f>
        <v>36681</v>
      </c>
      <c r="Z342" s="9">
        <f>_xlfn.XLOOKUP(Table2[[#This Row],[Area]],Referendum!E:E,Referendum!M:M,"")</f>
        <v>35628</v>
      </c>
      <c r="AA342" s="10">
        <f>(Table2[[#This Row],[Leave Votes]]+Table2[[#This Row],[Remain Votes]])/Table2[[#This Row],[Residents Age &gt;=20]]</f>
        <v>0.75297560162864074</v>
      </c>
      <c r="AB342" s="10">
        <f>Table2[[#This Row],[Remain Votes]]/Table2[[#This Row],[Residents Age &gt;=20]]</f>
        <v>0.38197040538992616</v>
      </c>
      <c r="AC342" s="10">
        <f>Table2[[#This Row],[Leave Votes]]/Table2[[#This Row],[Residents Age &gt;=20]]</f>
        <v>0.37100519623871459</v>
      </c>
    </row>
    <row r="343" spans="1:29" x14ac:dyDescent="0.45">
      <c r="A343" t="s">
        <v>830</v>
      </c>
      <c r="B343" t="s">
        <v>575</v>
      </c>
      <c r="C343" t="s">
        <v>576</v>
      </c>
      <c r="D343" s="1">
        <v>120988</v>
      </c>
      <c r="E343" s="1">
        <v>7411</v>
      </c>
      <c r="F343" s="1">
        <v>6727</v>
      </c>
      <c r="G343" s="1">
        <v>7367</v>
      </c>
      <c r="H343" s="1">
        <v>7417</v>
      </c>
      <c r="I343" s="1">
        <v>5927</v>
      </c>
      <c r="J343" s="1">
        <v>6959</v>
      </c>
      <c r="K343" s="1">
        <v>7332</v>
      </c>
      <c r="L343" s="1">
        <v>7899</v>
      </c>
      <c r="M343" s="1">
        <v>8946</v>
      </c>
      <c r="N343" s="1">
        <v>9404</v>
      </c>
      <c r="O343" s="1">
        <v>8418</v>
      </c>
      <c r="P343" s="1">
        <v>7440</v>
      </c>
      <c r="Q343" s="1">
        <v>7980</v>
      </c>
      <c r="R343" s="1">
        <v>6317</v>
      </c>
      <c r="S343" s="1">
        <v>5054</v>
      </c>
      <c r="T343" s="1">
        <v>4205</v>
      </c>
      <c r="U343" s="1">
        <v>3133</v>
      </c>
      <c r="V343" s="1">
        <v>1979</v>
      </c>
      <c r="W343" s="1">
        <v>1073</v>
      </c>
      <c r="X343" s="9">
        <f>SUM(Table2[[#This Row],[Age 20 to 24]:[Age 90 and Over]])</f>
        <v>92066</v>
      </c>
      <c r="Y343" s="9">
        <f>_xlfn.XLOOKUP(Table2[[#This Row],[Area]],Referendum!E:E,Referendum!L:L,"")</f>
        <v>43462</v>
      </c>
      <c r="Z343" s="9">
        <f>_xlfn.XLOOKUP(Table2[[#This Row],[Area]],Referendum!E:E,Referendum!M:M,"")</f>
        <v>33192</v>
      </c>
      <c r="AA343" s="10">
        <f>(Table2[[#This Row],[Leave Votes]]+Table2[[#This Row],[Remain Votes]])/Table2[[#This Row],[Residents Age &gt;=20]]</f>
        <v>0.83259835335520171</v>
      </c>
      <c r="AB343" s="10">
        <f>Table2[[#This Row],[Remain Votes]]/Table2[[#This Row],[Residents Age &gt;=20]]</f>
        <v>0.47207438142202335</v>
      </c>
      <c r="AC343" s="10">
        <f>Table2[[#This Row],[Leave Votes]]/Table2[[#This Row],[Residents Age &gt;=20]]</f>
        <v>0.36052397193317837</v>
      </c>
    </row>
    <row r="344" spans="1:29" x14ac:dyDescent="0.45">
      <c r="A344" t="s">
        <v>830</v>
      </c>
      <c r="B344" t="s">
        <v>145</v>
      </c>
      <c r="C344" t="s">
        <v>146</v>
      </c>
      <c r="D344" s="1">
        <v>325837</v>
      </c>
      <c r="E344" s="1">
        <v>19545</v>
      </c>
      <c r="F344" s="1">
        <v>17643</v>
      </c>
      <c r="G344" s="1">
        <v>18774</v>
      </c>
      <c r="H344" s="1">
        <v>20019</v>
      </c>
      <c r="I344" s="1">
        <v>19566</v>
      </c>
      <c r="J344" s="1">
        <v>20773</v>
      </c>
      <c r="K344" s="1">
        <v>18597</v>
      </c>
      <c r="L344" s="1">
        <v>21324</v>
      </c>
      <c r="M344" s="1">
        <v>25390</v>
      </c>
      <c r="N344" s="1">
        <v>25157</v>
      </c>
      <c r="O344" s="1">
        <v>22633</v>
      </c>
      <c r="P344" s="1">
        <v>20053</v>
      </c>
      <c r="Q344" s="1">
        <v>21221</v>
      </c>
      <c r="R344" s="1">
        <v>16902</v>
      </c>
      <c r="S344" s="1">
        <v>13440</v>
      </c>
      <c r="T344" s="1">
        <v>10611</v>
      </c>
      <c r="U344" s="1">
        <v>7527</v>
      </c>
      <c r="V344" s="1">
        <v>4504</v>
      </c>
      <c r="W344" s="1">
        <v>2158</v>
      </c>
      <c r="X344" s="9">
        <f>SUM(Table2[[#This Row],[Age 20 to 24]:[Age 90 and Over]])</f>
        <v>249856</v>
      </c>
      <c r="Y344" s="9">
        <f>_xlfn.XLOOKUP(Table2[[#This Row],[Area]],Referendum!E:E,Referendum!L:L,"")</f>
        <v>58877</v>
      </c>
      <c r="Z344" s="9">
        <f>_xlfn.XLOOKUP(Table2[[#This Row],[Area]],Referendum!E:E,Referendum!M:M,"")</f>
        <v>116165</v>
      </c>
      <c r="AA344" s="10">
        <f>(Table2[[#This Row],[Leave Votes]]+Table2[[#This Row],[Remain Votes]])/Table2[[#This Row],[Residents Age &gt;=20]]</f>
        <v>0.70057152920081966</v>
      </c>
      <c r="AB344" s="10">
        <f>Table2[[#This Row],[Remain Votes]]/Table2[[#This Row],[Residents Age &gt;=20]]</f>
        <v>0.23564373078893441</v>
      </c>
      <c r="AC344" s="10">
        <f>Table2[[#This Row],[Leave Votes]]/Table2[[#This Row],[Residents Age &gt;=20]]</f>
        <v>0.46492779841188525</v>
      </c>
    </row>
    <row r="345" spans="1:29" x14ac:dyDescent="0.45">
      <c r="A345" t="s">
        <v>830</v>
      </c>
      <c r="B345" t="s">
        <v>265</v>
      </c>
      <c r="C345" t="s">
        <v>266</v>
      </c>
      <c r="D345" s="1">
        <v>269323</v>
      </c>
      <c r="E345" s="1">
        <v>18373</v>
      </c>
      <c r="F345" s="1">
        <v>16971</v>
      </c>
      <c r="G345" s="1">
        <v>17266</v>
      </c>
      <c r="H345" s="1">
        <v>17667</v>
      </c>
      <c r="I345" s="1">
        <v>17504</v>
      </c>
      <c r="J345" s="1">
        <v>17690</v>
      </c>
      <c r="K345" s="1">
        <v>16184</v>
      </c>
      <c r="L345" s="1">
        <v>16906</v>
      </c>
      <c r="M345" s="1">
        <v>19503</v>
      </c>
      <c r="N345" s="1">
        <v>19087</v>
      </c>
      <c r="O345" s="1">
        <v>16464</v>
      </c>
      <c r="P345" s="1">
        <v>14672</v>
      </c>
      <c r="Q345" s="1">
        <v>15221</v>
      </c>
      <c r="R345" s="1">
        <v>13227</v>
      </c>
      <c r="S345" s="1">
        <v>11439</v>
      </c>
      <c r="T345" s="1">
        <v>9194</v>
      </c>
      <c r="U345" s="1">
        <v>6558</v>
      </c>
      <c r="V345" s="1">
        <v>3706</v>
      </c>
      <c r="W345" s="1">
        <v>1691</v>
      </c>
      <c r="X345" s="9">
        <f>SUM(Table2[[#This Row],[Age 20 to 24]:[Age 90 and Over]])</f>
        <v>199046</v>
      </c>
      <c r="Y345" s="9">
        <f>_xlfn.XLOOKUP(Table2[[#This Row],[Area]],Referendum!E:E,Referendum!L:L,"")</f>
        <v>43572</v>
      </c>
      <c r="Z345" s="9">
        <f>_xlfn.XLOOKUP(Table2[[#This Row],[Area]],Referendum!E:E,Referendum!M:M,"")</f>
        <v>92007</v>
      </c>
      <c r="AA345" s="10">
        <f>(Table2[[#This Row],[Leave Votes]]+Table2[[#This Row],[Remain Votes]])/Table2[[#This Row],[Residents Age &gt;=20]]</f>
        <v>0.68114405715261794</v>
      </c>
      <c r="AB345" s="10">
        <f>Table2[[#This Row],[Remain Votes]]/Table2[[#This Row],[Residents Age &gt;=20]]</f>
        <v>0.2189041729047557</v>
      </c>
      <c r="AC345" s="10">
        <f>Table2[[#This Row],[Leave Votes]]/Table2[[#This Row],[Residents Age &gt;=20]]</f>
        <v>0.46223988424786228</v>
      </c>
    </row>
    <row r="346" spans="1:29" x14ac:dyDescent="0.45">
      <c r="A346" t="s">
        <v>830</v>
      </c>
      <c r="B346" t="s">
        <v>473</v>
      </c>
      <c r="C346" t="s">
        <v>474</v>
      </c>
      <c r="D346" s="1">
        <v>258249</v>
      </c>
      <c r="E346" s="1">
        <v>20839</v>
      </c>
      <c r="F346" s="1">
        <v>16463</v>
      </c>
      <c r="G346" s="1">
        <v>14760</v>
      </c>
      <c r="H346" s="1">
        <v>15241</v>
      </c>
      <c r="I346" s="1">
        <v>20604</v>
      </c>
      <c r="J346" s="1">
        <v>26508</v>
      </c>
      <c r="K346" s="1">
        <v>24168</v>
      </c>
      <c r="L346" s="1">
        <v>21112</v>
      </c>
      <c r="M346" s="1">
        <v>20243</v>
      </c>
      <c r="N346" s="1">
        <v>17340</v>
      </c>
      <c r="O346" s="1">
        <v>14321</v>
      </c>
      <c r="P346" s="1">
        <v>11301</v>
      </c>
      <c r="Q346" s="1">
        <v>9783</v>
      </c>
      <c r="R346" s="1">
        <v>7231</v>
      </c>
      <c r="S346" s="1">
        <v>6182</v>
      </c>
      <c r="T346" s="1">
        <v>4967</v>
      </c>
      <c r="U346" s="1">
        <v>3662</v>
      </c>
      <c r="V346" s="1">
        <v>2267</v>
      </c>
      <c r="W346" s="1">
        <v>1257</v>
      </c>
      <c r="X346" s="9">
        <f>SUM(Table2[[#This Row],[Age 20 to 24]:[Age 90 and Over]])</f>
        <v>190946</v>
      </c>
      <c r="Y346" s="9">
        <f>_xlfn.XLOOKUP(Table2[[#This Row],[Area]],Referendum!E:E,Referendum!L:L,"")</f>
        <v>64156</v>
      </c>
      <c r="Z346" s="9">
        <f>_xlfn.XLOOKUP(Table2[[#This Row],[Area]],Referendum!E:E,Referendum!M:M,"")</f>
        <v>44395</v>
      </c>
      <c r="AA346" s="10">
        <f>(Table2[[#This Row],[Leave Votes]]+Table2[[#This Row],[Remain Votes]])/Table2[[#This Row],[Residents Age &gt;=20]]</f>
        <v>0.56849056801399345</v>
      </c>
      <c r="AB346" s="10">
        <f>Table2[[#This Row],[Remain Votes]]/Table2[[#This Row],[Residents Age &gt;=20]]</f>
        <v>0.33599027997444303</v>
      </c>
      <c r="AC346" s="10">
        <f>Table2[[#This Row],[Leave Votes]]/Table2[[#This Row],[Residents Age &gt;=20]]</f>
        <v>0.23250028803955045</v>
      </c>
    </row>
    <row r="347" spans="1:29" x14ac:dyDescent="0.45">
      <c r="A347" t="s">
        <v>830</v>
      </c>
      <c r="B347" t="s">
        <v>475</v>
      </c>
      <c r="C347" t="s">
        <v>476</v>
      </c>
      <c r="D347" s="1">
        <v>306995</v>
      </c>
      <c r="E347" s="1">
        <v>21670</v>
      </c>
      <c r="F347" s="1">
        <v>14574</v>
      </c>
      <c r="G347" s="1">
        <v>12521</v>
      </c>
      <c r="H347" s="1">
        <v>12403</v>
      </c>
      <c r="I347" s="1">
        <v>23699</v>
      </c>
      <c r="J347" s="1">
        <v>47217</v>
      </c>
      <c r="K347" s="1">
        <v>41740</v>
      </c>
      <c r="L347" s="1">
        <v>29521</v>
      </c>
      <c r="M347" s="1">
        <v>22542</v>
      </c>
      <c r="N347" s="1">
        <v>18100</v>
      </c>
      <c r="O347" s="1">
        <v>14088</v>
      </c>
      <c r="P347" s="1">
        <v>11351</v>
      </c>
      <c r="Q347" s="1">
        <v>10658</v>
      </c>
      <c r="R347" s="1">
        <v>7710</v>
      </c>
      <c r="S347" s="1">
        <v>6745</v>
      </c>
      <c r="T347" s="1">
        <v>5126</v>
      </c>
      <c r="U347" s="1">
        <v>3637</v>
      </c>
      <c r="V347" s="1">
        <v>2355</v>
      </c>
      <c r="W347" s="1">
        <v>1338</v>
      </c>
      <c r="X347" s="9">
        <f>SUM(Table2[[#This Row],[Age 20 to 24]:[Age 90 and Over]])</f>
        <v>245827</v>
      </c>
      <c r="Y347" s="9">
        <f>_xlfn.XLOOKUP(Table2[[#This Row],[Area]],Referendum!E:E,Referendum!L:L,"")</f>
        <v>118463</v>
      </c>
      <c r="Z347" s="9">
        <f>_xlfn.XLOOKUP(Table2[[#This Row],[Area]],Referendum!E:E,Referendum!M:M,"")</f>
        <v>39421</v>
      </c>
      <c r="AA347" s="10">
        <f>(Table2[[#This Row],[Leave Votes]]+Table2[[#This Row],[Remain Votes]])/Table2[[#This Row],[Residents Age &gt;=20]]</f>
        <v>0.64225654627034456</v>
      </c>
      <c r="AB347" s="10">
        <f>Table2[[#This Row],[Remain Votes]]/Table2[[#This Row],[Residents Age &gt;=20]]</f>
        <v>0.48189580477327554</v>
      </c>
      <c r="AC347" s="10">
        <f>Table2[[#This Row],[Leave Votes]]/Table2[[#This Row],[Residents Age &gt;=20]]</f>
        <v>0.16036074149706908</v>
      </c>
    </row>
    <row r="348" spans="1:29" x14ac:dyDescent="0.45">
      <c r="A348" t="s">
        <v>830</v>
      </c>
      <c r="B348" t="s">
        <v>83</v>
      </c>
      <c r="C348" t="s">
        <v>84</v>
      </c>
      <c r="D348" s="1">
        <v>202228</v>
      </c>
      <c r="E348" s="1">
        <v>12309</v>
      </c>
      <c r="F348" s="1">
        <v>11555</v>
      </c>
      <c r="G348" s="1">
        <v>12296</v>
      </c>
      <c r="H348" s="1">
        <v>12507</v>
      </c>
      <c r="I348" s="1">
        <v>12088</v>
      </c>
      <c r="J348" s="1">
        <v>12503</v>
      </c>
      <c r="K348" s="1">
        <v>12185</v>
      </c>
      <c r="L348" s="1">
        <v>14120</v>
      </c>
      <c r="M348" s="1">
        <v>16022</v>
      </c>
      <c r="N348" s="1">
        <v>16591</v>
      </c>
      <c r="O348" s="1">
        <v>13569</v>
      </c>
      <c r="P348" s="1">
        <v>11828</v>
      </c>
      <c r="Q348" s="1">
        <v>12441</v>
      </c>
      <c r="R348" s="1">
        <v>9980</v>
      </c>
      <c r="S348" s="1">
        <v>8218</v>
      </c>
      <c r="T348" s="1">
        <v>6007</v>
      </c>
      <c r="U348" s="1">
        <v>4287</v>
      </c>
      <c r="V348" s="1">
        <v>2498</v>
      </c>
      <c r="W348" s="1">
        <v>1224</v>
      </c>
      <c r="X348" s="9">
        <f>SUM(Table2[[#This Row],[Age 20 to 24]:[Age 90 and Over]])</f>
        <v>153561</v>
      </c>
      <c r="Y348" s="9">
        <f>_xlfn.XLOOKUP(Table2[[#This Row],[Area]],Referendum!E:E,Referendum!L:L,"")</f>
        <v>52657</v>
      </c>
      <c r="Z348" s="9">
        <f>_xlfn.XLOOKUP(Table2[[#This Row],[Area]],Referendum!E:E,Referendum!M:M,"")</f>
        <v>62487</v>
      </c>
      <c r="AA348" s="10">
        <f>(Table2[[#This Row],[Leave Votes]]+Table2[[#This Row],[Remain Votes]])/Table2[[#This Row],[Residents Age &gt;=20]]</f>
        <v>0.74982580212423733</v>
      </c>
      <c r="AB348" s="10">
        <f>Table2[[#This Row],[Remain Votes]]/Table2[[#This Row],[Residents Age &gt;=20]]</f>
        <v>0.34290607641263082</v>
      </c>
      <c r="AC348" s="10">
        <f>Table2[[#This Row],[Leave Votes]]/Table2[[#This Row],[Residents Age &gt;=20]]</f>
        <v>0.40691972571160645</v>
      </c>
    </row>
    <row r="349" spans="1:29" x14ac:dyDescent="0.45">
      <c r="A349" t="s">
        <v>830</v>
      </c>
      <c r="B349" t="s">
        <v>301</v>
      </c>
      <c r="C349" t="s">
        <v>302</v>
      </c>
      <c r="D349" s="1">
        <v>137648</v>
      </c>
      <c r="E349" s="1">
        <v>7920</v>
      </c>
      <c r="F349" s="1">
        <v>7128</v>
      </c>
      <c r="G349" s="1">
        <v>7127</v>
      </c>
      <c r="H349" s="1">
        <v>8025</v>
      </c>
      <c r="I349" s="1">
        <v>11623</v>
      </c>
      <c r="J349" s="1">
        <v>9321</v>
      </c>
      <c r="K349" s="1">
        <v>9220</v>
      </c>
      <c r="L349" s="1">
        <v>9552</v>
      </c>
      <c r="M349" s="1">
        <v>10083</v>
      </c>
      <c r="N349" s="1">
        <v>10131</v>
      </c>
      <c r="O349" s="1">
        <v>8571</v>
      </c>
      <c r="P349" s="1">
        <v>7707</v>
      </c>
      <c r="Q349" s="1">
        <v>8190</v>
      </c>
      <c r="R349" s="1">
        <v>6711</v>
      </c>
      <c r="S349" s="1">
        <v>5171</v>
      </c>
      <c r="T349" s="1">
        <v>4280</v>
      </c>
      <c r="U349" s="1">
        <v>3445</v>
      </c>
      <c r="V349" s="1">
        <v>2277</v>
      </c>
      <c r="W349" s="1">
        <v>1166</v>
      </c>
      <c r="X349" s="9">
        <f>SUM(Table2[[#This Row],[Age 20 to 24]:[Age 90 and Over]])</f>
        <v>107448</v>
      </c>
      <c r="Y349" s="9">
        <f>_xlfn.XLOOKUP(Table2[[#This Row],[Area]],Referendum!E:E,Referendum!L:L,"")</f>
        <v>47976</v>
      </c>
      <c r="Z349" s="9">
        <f>_xlfn.XLOOKUP(Table2[[#This Row],[Area]],Referendum!E:E,Referendum!M:M,"")</f>
        <v>33642</v>
      </c>
      <c r="AA349" s="10">
        <f>(Table2[[#This Row],[Leave Votes]]+Table2[[#This Row],[Remain Votes]])/Table2[[#This Row],[Residents Age &gt;=20]]</f>
        <v>0.75960464596828237</v>
      </c>
      <c r="AB349" s="10">
        <f>Table2[[#This Row],[Remain Votes]]/Table2[[#This Row],[Residents Age &gt;=20]]</f>
        <v>0.44650435559526469</v>
      </c>
      <c r="AC349" s="10">
        <f>Table2[[#This Row],[Leave Votes]]/Table2[[#This Row],[Residents Age &gt;=20]]</f>
        <v>0.31310029037301762</v>
      </c>
    </row>
    <row r="350" spans="1:29" x14ac:dyDescent="0.45">
      <c r="A350" t="s">
        <v>830</v>
      </c>
      <c r="B350" t="s">
        <v>379</v>
      </c>
      <c r="C350" t="s">
        <v>380</v>
      </c>
      <c r="D350" s="1">
        <v>90301</v>
      </c>
      <c r="E350" s="1">
        <v>6730</v>
      </c>
      <c r="F350" s="1">
        <v>5436</v>
      </c>
      <c r="G350" s="1">
        <v>5298</v>
      </c>
      <c r="H350" s="1">
        <v>5302</v>
      </c>
      <c r="I350" s="1">
        <v>5711</v>
      </c>
      <c r="J350" s="1">
        <v>8053</v>
      </c>
      <c r="K350" s="1">
        <v>8141</v>
      </c>
      <c r="L350" s="1">
        <v>7315</v>
      </c>
      <c r="M350" s="1">
        <v>7013</v>
      </c>
      <c r="N350" s="1">
        <v>6409</v>
      </c>
      <c r="O350" s="1">
        <v>5361</v>
      </c>
      <c r="P350" s="1">
        <v>4385</v>
      </c>
      <c r="Q350" s="1">
        <v>3996</v>
      </c>
      <c r="R350" s="1">
        <v>3143</v>
      </c>
      <c r="S350" s="1">
        <v>2600</v>
      </c>
      <c r="T350" s="1">
        <v>2153</v>
      </c>
      <c r="U350" s="1">
        <v>1676</v>
      </c>
      <c r="V350" s="1">
        <v>1013</v>
      </c>
      <c r="W350">
        <v>566</v>
      </c>
      <c r="X350" s="9">
        <f>SUM(Table2[[#This Row],[Age 20 to 24]:[Age 90 and Over]])</f>
        <v>67535</v>
      </c>
      <c r="Y350" s="9">
        <f>_xlfn.XLOOKUP(Table2[[#This Row],[Area]],Referendum!E:E,Referendum!L:L,"")</f>
        <v>23167</v>
      </c>
      <c r="Z350" s="9">
        <f>_xlfn.XLOOKUP(Table2[[#This Row],[Area]],Referendum!E:E,Referendum!M:M,"")</f>
        <v>23419</v>
      </c>
      <c r="AA350" s="10">
        <f>(Table2[[#This Row],[Leave Votes]]+Table2[[#This Row],[Remain Votes]])/Table2[[#This Row],[Residents Age &gt;=20]]</f>
        <v>0.68980528614792325</v>
      </c>
      <c r="AB350" s="10">
        <f>Table2[[#This Row],[Remain Votes]]/Table2[[#This Row],[Residents Age &gt;=20]]</f>
        <v>0.34303694380691491</v>
      </c>
      <c r="AC350" s="10">
        <f>Table2[[#This Row],[Leave Votes]]/Table2[[#This Row],[Residents Age &gt;=20]]</f>
        <v>0.34676834234100834</v>
      </c>
    </row>
    <row r="351" spans="1:29" x14ac:dyDescent="0.45">
      <c r="A351" t="s">
        <v>830</v>
      </c>
      <c r="B351" t="s">
        <v>409</v>
      </c>
      <c r="C351" t="s">
        <v>410</v>
      </c>
      <c r="D351" s="1">
        <v>115254</v>
      </c>
      <c r="E351" s="1">
        <v>6230</v>
      </c>
      <c r="F351" s="1">
        <v>5861</v>
      </c>
      <c r="G351" s="1">
        <v>6417</v>
      </c>
      <c r="H351" s="1">
        <v>6754</v>
      </c>
      <c r="I351" s="1">
        <v>5963</v>
      </c>
      <c r="J351" s="1">
        <v>5714</v>
      </c>
      <c r="K351" s="1">
        <v>5470</v>
      </c>
      <c r="L351" s="1">
        <v>6374</v>
      </c>
      <c r="M351" s="1">
        <v>7807</v>
      </c>
      <c r="N351" s="1">
        <v>7819</v>
      </c>
      <c r="O351" s="1">
        <v>7322</v>
      </c>
      <c r="P351" s="1">
        <v>7100</v>
      </c>
      <c r="Q351" s="1">
        <v>8930</v>
      </c>
      <c r="R351" s="1">
        <v>7714</v>
      </c>
      <c r="S351" s="1">
        <v>6287</v>
      </c>
      <c r="T351" s="1">
        <v>5319</v>
      </c>
      <c r="U351" s="1">
        <v>4114</v>
      </c>
      <c r="V351" s="1">
        <v>2585</v>
      </c>
      <c r="W351" s="1">
        <v>1474</v>
      </c>
      <c r="X351" s="9">
        <f>SUM(Table2[[#This Row],[Age 20 to 24]:[Age 90 and Over]])</f>
        <v>89992</v>
      </c>
      <c r="Y351" s="9">
        <f>_xlfn.XLOOKUP(Table2[[#This Row],[Area]],Referendum!E:E,Referendum!L:L,"")</f>
        <v>24356</v>
      </c>
      <c r="Z351" s="9">
        <f>_xlfn.XLOOKUP(Table2[[#This Row],[Area]],Referendum!E:E,Referendum!M:M,"")</f>
        <v>41290</v>
      </c>
      <c r="AA351" s="10">
        <f>(Table2[[#This Row],[Leave Votes]]+Table2[[#This Row],[Remain Votes]])/Table2[[#This Row],[Residents Age &gt;=20]]</f>
        <v>0.7294648413192284</v>
      </c>
      <c r="AB351" s="10">
        <f>Table2[[#This Row],[Remain Votes]]/Table2[[#This Row],[Residents Age &gt;=20]]</f>
        <v>0.27064627966930394</v>
      </c>
      <c r="AC351" s="10">
        <f>Table2[[#This Row],[Leave Votes]]/Table2[[#This Row],[Residents Age &gt;=20]]</f>
        <v>0.45881856164992446</v>
      </c>
    </row>
    <row r="352" spans="1:29" x14ac:dyDescent="0.45">
      <c r="A352" t="s">
        <v>830</v>
      </c>
      <c r="B352" t="s">
        <v>597</v>
      </c>
      <c r="C352" t="s">
        <v>598</v>
      </c>
      <c r="D352" s="1">
        <v>121572</v>
      </c>
      <c r="E352" s="1">
        <v>7341</v>
      </c>
      <c r="F352" s="1">
        <v>7335</v>
      </c>
      <c r="G352" s="1">
        <v>7727</v>
      </c>
      <c r="H352" s="1">
        <v>7910</v>
      </c>
      <c r="I352" s="1">
        <v>5101</v>
      </c>
      <c r="J352" s="1">
        <v>5248</v>
      </c>
      <c r="K352" s="1">
        <v>6384</v>
      </c>
      <c r="L352" s="1">
        <v>8348</v>
      </c>
      <c r="M352" s="1">
        <v>9333</v>
      </c>
      <c r="N352" s="1">
        <v>9432</v>
      </c>
      <c r="O352" s="1">
        <v>8300</v>
      </c>
      <c r="P352" s="1">
        <v>7255</v>
      </c>
      <c r="Q352" s="1">
        <v>8036</v>
      </c>
      <c r="R352" s="1">
        <v>6710</v>
      </c>
      <c r="S352" s="1">
        <v>5251</v>
      </c>
      <c r="T352" s="1">
        <v>4585</v>
      </c>
      <c r="U352" s="1">
        <v>3405</v>
      </c>
      <c r="V352" s="1">
        <v>2368</v>
      </c>
      <c r="W352" s="1">
        <v>1503</v>
      </c>
      <c r="X352" s="9">
        <f>SUM(Table2[[#This Row],[Age 20 to 24]:[Age 90 and Over]])</f>
        <v>91259</v>
      </c>
      <c r="Y352" s="9">
        <f>_xlfn.XLOOKUP(Table2[[#This Row],[Area]],Referendum!E:E,Referendum!L:L,"")</f>
        <v>44341</v>
      </c>
      <c r="Z352" s="9">
        <f>_xlfn.XLOOKUP(Table2[[#This Row],[Area]],Referendum!E:E,Referendum!M:M,"")</f>
        <v>31601</v>
      </c>
      <c r="AA352" s="10">
        <f>(Table2[[#This Row],[Leave Votes]]+Table2[[#This Row],[Remain Votes]])/Table2[[#This Row],[Residents Age &gt;=20]]</f>
        <v>0.8321590199322807</v>
      </c>
      <c r="AB352" s="10">
        <f>Table2[[#This Row],[Remain Votes]]/Table2[[#This Row],[Residents Age &gt;=20]]</f>
        <v>0.48588084462902287</v>
      </c>
      <c r="AC352" s="10">
        <f>Table2[[#This Row],[Leave Votes]]/Table2[[#This Row],[Residents Age &gt;=20]]</f>
        <v>0.34627817530325777</v>
      </c>
    </row>
    <row r="353" spans="1:29" x14ac:dyDescent="0.45">
      <c r="A353" t="s">
        <v>830</v>
      </c>
      <c r="B353" t="s">
        <v>521</v>
      </c>
      <c r="C353" t="s">
        <v>522</v>
      </c>
      <c r="D353" s="1">
        <v>148915</v>
      </c>
      <c r="E353" s="1">
        <v>7508</v>
      </c>
      <c r="F353" s="1">
        <v>8100</v>
      </c>
      <c r="G353" s="1">
        <v>9023</v>
      </c>
      <c r="H353" s="1">
        <v>8808</v>
      </c>
      <c r="I353" s="1">
        <v>6306</v>
      </c>
      <c r="J353" s="1">
        <v>6161</v>
      </c>
      <c r="K353" s="1">
        <v>6132</v>
      </c>
      <c r="L353" s="1">
        <v>8046</v>
      </c>
      <c r="M353" s="1">
        <v>10780</v>
      </c>
      <c r="N353" s="1">
        <v>11842</v>
      </c>
      <c r="O353" s="1">
        <v>10606</v>
      </c>
      <c r="P353" s="1">
        <v>9846</v>
      </c>
      <c r="Q353" s="1">
        <v>11615</v>
      </c>
      <c r="R353" s="1">
        <v>9944</v>
      </c>
      <c r="S353" s="1">
        <v>7634</v>
      </c>
      <c r="T353" s="1">
        <v>6450</v>
      </c>
      <c r="U353" s="1">
        <v>5020</v>
      </c>
      <c r="V353" s="1">
        <v>3180</v>
      </c>
      <c r="W353" s="1">
        <v>1914</v>
      </c>
      <c r="X353" s="9">
        <f>SUM(Table2[[#This Row],[Age 20 to 24]:[Age 90 and Over]])</f>
        <v>115476</v>
      </c>
      <c r="Y353" s="9">
        <f>_xlfn.XLOOKUP(Table2[[#This Row],[Area]],Referendum!E:E,Referendum!L:L,"")</f>
        <v>44084</v>
      </c>
      <c r="Z353" s="9">
        <f>_xlfn.XLOOKUP(Table2[[#This Row],[Area]],Referendum!E:E,Referendum!M:M,"")</f>
        <v>52808</v>
      </c>
      <c r="AA353" s="10">
        <f>(Table2[[#This Row],[Leave Votes]]+Table2[[#This Row],[Remain Votes]])/Table2[[#This Row],[Residents Age &gt;=20]]</f>
        <v>0.83906612629464128</v>
      </c>
      <c r="AB353" s="10">
        <f>Table2[[#This Row],[Remain Votes]]/Table2[[#This Row],[Residents Age &gt;=20]]</f>
        <v>0.3817589802209983</v>
      </c>
      <c r="AC353" s="10">
        <f>Table2[[#This Row],[Leave Votes]]/Table2[[#This Row],[Residents Age &gt;=20]]</f>
        <v>0.45730714607364303</v>
      </c>
    </row>
    <row r="354" spans="1:29" x14ac:dyDescent="0.45">
      <c r="A354" t="s">
        <v>830</v>
      </c>
      <c r="B354" t="s">
        <v>237</v>
      </c>
      <c r="C354" t="s">
        <v>238</v>
      </c>
      <c r="D354" s="1">
        <v>75356</v>
      </c>
      <c r="E354" s="1">
        <v>5038</v>
      </c>
      <c r="F354" s="1">
        <v>4474</v>
      </c>
      <c r="G354" s="1">
        <v>4595</v>
      </c>
      <c r="H354" s="1">
        <v>4397</v>
      </c>
      <c r="I354" s="1">
        <v>4018</v>
      </c>
      <c r="J354" s="1">
        <v>4645</v>
      </c>
      <c r="K354" s="1">
        <v>4688</v>
      </c>
      <c r="L354" s="1">
        <v>5250</v>
      </c>
      <c r="M354" s="1">
        <v>5790</v>
      </c>
      <c r="N354" s="1">
        <v>5610</v>
      </c>
      <c r="O354" s="1">
        <v>4855</v>
      </c>
      <c r="P354" s="1">
        <v>4577</v>
      </c>
      <c r="Q354" s="1">
        <v>5085</v>
      </c>
      <c r="R354" s="1">
        <v>3921</v>
      </c>
      <c r="S354" s="1">
        <v>2882</v>
      </c>
      <c r="T354" s="1">
        <v>2250</v>
      </c>
      <c r="U354" s="1">
        <v>1701</v>
      </c>
      <c r="V354" s="1">
        <v>1069</v>
      </c>
      <c r="W354">
        <v>511</v>
      </c>
      <c r="X354" s="9">
        <f>SUM(Table2[[#This Row],[Age 20 to 24]:[Age 90 and Over]])</f>
        <v>56852</v>
      </c>
      <c r="Y354" s="9">
        <f>_xlfn.XLOOKUP(Table2[[#This Row],[Area]],Referendum!E:E,Referendum!L:L,"")</f>
        <v>15462</v>
      </c>
      <c r="Z354" s="9">
        <f>_xlfn.XLOOKUP(Table2[[#This Row],[Area]],Referendum!E:E,Referendum!M:M,"")</f>
        <v>25679</v>
      </c>
      <c r="AA354" s="10">
        <f>(Table2[[#This Row],[Leave Votes]]+Table2[[#This Row],[Remain Votes]])/Table2[[#This Row],[Residents Age &gt;=20]]</f>
        <v>0.72365088299444169</v>
      </c>
      <c r="AB354" s="10">
        <f>Table2[[#This Row],[Remain Votes]]/Table2[[#This Row],[Residents Age &gt;=20]]</f>
        <v>0.27196932385843947</v>
      </c>
      <c r="AC354" s="10">
        <f>Table2[[#This Row],[Leave Votes]]/Table2[[#This Row],[Residents Age &gt;=20]]</f>
        <v>0.45168155913600228</v>
      </c>
    </row>
    <row r="355" spans="1:29" x14ac:dyDescent="0.45">
      <c r="A355" t="s">
        <v>830</v>
      </c>
      <c r="B355" t="s">
        <v>835</v>
      </c>
      <c r="C355" t="s">
        <v>382</v>
      </c>
      <c r="D355" s="1">
        <v>110535</v>
      </c>
      <c r="E355" s="1">
        <v>6775</v>
      </c>
      <c r="F355" s="1">
        <v>6033</v>
      </c>
      <c r="G355" s="1">
        <v>6085</v>
      </c>
      <c r="H355" s="1">
        <v>8227</v>
      </c>
      <c r="I355" s="1">
        <v>11436</v>
      </c>
      <c r="J355" s="1">
        <v>7765</v>
      </c>
      <c r="K355" s="1">
        <v>7152</v>
      </c>
      <c r="L355" s="1">
        <v>6807</v>
      </c>
      <c r="M355" s="1">
        <v>7483</v>
      </c>
      <c r="N355" s="1">
        <v>7790</v>
      </c>
      <c r="O355" s="1">
        <v>6871</v>
      </c>
      <c r="P355" s="1">
        <v>5672</v>
      </c>
      <c r="Q355" s="1">
        <v>5500</v>
      </c>
      <c r="R355" s="1">
        <v>4310</v>
      </c>
      <c r="S355" s="1">
        <v>3774</v>
      </c>
      <c r="T355" s="1">
        <v>3545</v>
      </c>
      <c r="U355" s="1">
        <v>2786</v>
      </c>
      <c r="V355" s="1">
        <v>1655</v>
      </c>
      <c r="W355">
        <v>869</v>
      </c>
      <c r="X355" s="9">
        <f>SUM(Table2[[#This Row],[Age 20 to 24]:[Age 90 and Over]])</f>
        <v>83415</v>
      </c>
      <c r="Y355" s="9">
        <f>_xlfn.XLOOKUP(Table2[[#This Row],[Area]],Referendum!E:E,Referendum!L:L,"")</f>
        <v>27550</v>
      </c>
      <c r="Z355" s="9">
        <f>_xlfn.XLOOKUP(Table2[[#This Row],[Area]],Referendum!E:E,Referendum!M:M,"")</f>
        <v>31060</v>
      </c>
      <c r="AA355" s="10">
        <f>(Table2[[#This Row],[Leave Votes]]+Table2[[#This Row],[Remain Votes]])/Table2[[#This Row],[Residents Age &gt;=20]]</f>
        <v>0.70263142120721689</v>
      </c>
      <c r="AB355" s="10">
        <f>Table2[[#This Row],[Remain Votes]]/Table2[[#This Row],[Residents Age &gt;=20]]</f>
        <v>0.33027632919738659</v>
      </c>
      <c r="AC355" s="10">
        <f>Table2[[#This Row],[Leave Votes]]/Table2[[#This Row],[Residents Age &gt;=20]]</f>
        <v>0.37235509200983036</v>
      </c>
    </row>
    <row r="356" spans="1:29" x14ac:dyDescent="0.45">
      <c r="A356" t="s">
        <v>830</v>
      </c>
      <c r="B356" t="s">
        <v>485</v>
      </c>
      <c r="C356" t="s">
        <v>486</v>
      </c>
      <c r="D356" s="1">
        <v>153822</v>
      </c>
      <c r="E356" s="1">
        <v>10065</v>
      </c>
      <c r="F356" s="1">
        <v>9017</v>
      </c>
      <c r="G356" s="1">
        <v>9914</v>
      </c>
      <c r="H356" s="1">
        <v>9633</v>
      </c>
      <c r="I356" s="1">
        <v>7341</v>
      </c>
      <c r="J356" s="1">
        <v>8506</v>
      </c>
      <c r="K356" s="1">
        <v>9306</v>
      </c>
      <c r="L356" s="1">
        <v>11109</v>
      </c>
      <c r="M356" s="1">
        <v>12595</v>
      </c>
      <c r="N356" s="1">
        <v>12486</v>
      </c>
      <c r="O356" s="1">
        <v>10965</v>
      </c>
      <c r="P356" s="1">
        <v>9506</v>
      </c>
      <c r="Q356" s="1">
        <v>9753</v>
      </c>
      <c r="R356" s="1">
        <v>7406</v>
      </c>
      <c r="S356" s="1">
        <v>5543</v>
      </c>
      <c r="T356" s="1">
        <v>4337</v>
      </c>
      <c r="U356" s="1">
        <v>3253</v>
      </c>
      <c r="V356" s="1">
        <v>2065</v>
      </c>
      <c r="W356" s="1">
        <v>1022</v>
      </c>
      <c r="X356" s="9">
        <f>SUM(Table2[[#This Row],[Age 20 to 24]:[Age 90 and Over]])</f>
        <v>115193</v>
      </c>
      <c r="Y356" s="9">
        <f>_xlfn.XLOOKUP(Table2[[#This Row],[Area]],Referendum!E:E,Referendum!L:L,"")</f>
        <v>48300</v>
      </c>
      <c r="Z356" s="9">
        <f>_xlfn.XLOOKUP(Table2[[#This Row],[Area]],Referendum!E:E,Referendum!M:M,"")</f>
        <v>44977</v>
      </c>
      <c r="AA356" s="10">
        <f>(Table2[[#This Row],[Leave Votes]]+Table2[[#This Row],[Remain Votes]])/Table2[[#This Row],[Residents Age &gt;=20]]</f>
        <v>0.80974538383408712</v>
      </c>
      <c r="AB356" s="10">
        <f>Table2[[#This Row],[Remain Votes]]/Table2[[#This Row],[Residents Age &gt;=20]]</f>
        <v>0.41929631140781126</v>
      </c>
      <c r="AC356" s="10">
        <f>Table2[[#This Row],[Leave Votes]]/Table2[[#This Row],[Residents Age &gt;=20]]</f>
        <v>0.39044907242627591</v>
      </c>
    </row>
    <row r="357" spans="1:29" x14ac:dyDescent="0.45">
      <c r="A357" t="s">
        <v>830</v>
      </c>
      <c r="B357" t="s">
        <v>655</v>
      </c>
      <c r="C357" t="s">
        <v>656</v>
      </c>
      <c r="D357" s="1">
        <v>53553</v>
      </c>
      <c r="E357" s="1">
        <v>2556</v>
      </c>
      <c r="F357" s="1">
        <v>2650</v>
      </c>
      <c r="G357" s="1">
        <v>3055</v>
      </c>
      <c r="H357" s="1">
        <v>2981</v>
      </c>
      <c r="I357" s="1">
        <v>2394</v>
      </c>
      <c r="J357" s="1">
        <v>2244</v>
      </c>
      <c r="K357" s="1">
        <v>2356</v>
      </c>
      <c r="L357" s="1">
        <v>2788</v>
      </c>
      <c r="M357" s="1">
        <v>3594</v>
      </c>
      <c r="N357" s="1">
        <v>4311</v>
      </c>
      <c r="O357" s="1">
        <v>3932</v>
      </c>
      <c r="P357" s="1">
        <v>3815</v>
      </c>
      <c r="Q357" s="1">
        <v>4487</v>
      </c>
      <c r="R357" s="1">
        <v>3835</v>
      </c>
      <c r="S357" s="1">
        <v>2844</v>
      </c>
      <c r="T357" s="1">
        <v>2238</v>
      </c>
      <c r="U357" s="1">
        <v>1704</v>
      </c>
      <c r="V357" s="1">
        <v>1119</v>
      </c>
      <c r="W357">
        <v>650</v>
      </c>
      <c r="X357" s="9">
        <f>SUM(Table2[[#This Row],[Age 20 to 24]:[Age 90 and Over]])</f>
        <v>42311</v>
      </c>
      <c r="Y357" s="9">
        <f>_xlfn.XLOOKUP(Table2[[#This Row],[Area]],Referendum!E:E,Referendum!L:L,"")</f>
        <v>16658</v>
      </c>
      <c r="Z357" s="9">
        <f>_xlfn.XLOOKUP(Table2[[#This Row],[Area]],Referendum!E:E,Referendum!M:M,"")</f>
        <v>18937</v>
      </c>
      <c r="AA357" s="10">
        <f>(Table2[[#This Row],[Leave Votes]]+Table2[[#This Row],[Remain Votes]])/Table2[[#This Row],[Residents Age &gt;=20]]</f>
        <v>0.84127059157193163</v>
      </c>
      <c r="AB357" s="10">
        <f>Table2[[#This Row],[Remain Votes]]/Table2[[#This Row],[Residents Age &gt;=20]]</f>
        <v>0.39370376497837439</v>
      </c>
      <c r="AC357" s="10">
        <f>Table2[[#This Row],[Leave Votes]]/Table2[[#This Row],[Residents Age &gt;=20]]</f>
        <v>0.44756682659355723</v>
      </c>
    </row>
    <row r="358" spans="1:29" x14ac:dyDescent="0.45">
      <c r="A358" t="s">
        <v>830</v>
      </c>
      <c r="B358" t="s">
        <v>665</v>
      </c>
      <c r="C358" t="s">
        <v>666</v>
      </c>
      <c r="D358" s="1">
        <v>99264</v>
      </c>
      <c r="E358" s="1">
        <v>4343</v>
      </c>
      <c r="F358" s="1">
        <v>4515</v>
      </c>
      <c r="G358" s="1">
        <v>5579</v>
      </c>
      <c r="H358" s="1">
        <v>5871</v>
      </c>
      <c r="I358" s="1">
        <v>4300</v>
      </c>
      <c r="J358" s="1">
        <v>3607</v>
      </c>
      <c r="K358" s="1">
        <v>3876</v>
      </c>
      <c r="L358" s="1">
        <v>4932</v>
      </c>
      <c r="M358" s="1">
        <v>6400</v>
      </c>
      <c r="N358" s="1">
        <v>7371</v>
      </c>
      <c r="O358" s="1">
        <v>6898</v>
      </c>
      <c r="P358" s="1">
        <v>6951</v>
      </c>
      <c r="Q358" s="1">
        <v>8343</v>
      </c>
      <c r="R358" s="1">
        <v>7328</v>
      </c>
      <c r="S358" s="1">
        <v>5773</v>
      </c>
      <c r="T358" s="1">
        <v>5069</v>
      </c>
      <c r="U358" s="1">
        <v>3958</v>
      </c>
      <c r="V358" s="1">
        <v>2620</v>
      </c>
      <c r="W358" s="1">
        <v>1530</v>
      </c>
      <c r="X358" s="9">
        <f>SUM(Table2[[#This Row],[Age 20 to 24]:[Age 90 and Over]])</f>
        <v>78956</v>
      </c>
      <c r="Y358" s="9">
        <f>_xlfn.XLOOKUP(Table2[[#This Row],[Area]],Referendum!E:E,Referendum!L:L,"")</f>
        <v>31924</v>
      </c>
      <c r="Z358" s="9">
        <f>_xlfn.XLOOKUP(Table2[[#This Row],[Area]],Referendum!E:E,Referendum!M:M,"")</f>
        <v>33267</v>
      </c>
      <c r="AA358" s="10">
        <f>(Table2[[#This Row],[Leave Votes]]+Table2[[#This Row],[Remain Votes]])/Table2[[#This Row],[Residents Age &gt;=20]]</f>
        <v>0.82566239424489585</v>
      </c>
      <c r="AB358" s="10">
        <f>Table2[[#This Row],[Remain Votes]]/Table2[[#This Row],[Residents Age &gt;=20]]</f>
        <v>0.40432646030700642</v>
      </c>
      <c r="AC358" s="10">
        <f>Table2[[#This Row],[Leave Votes]]/Table2[[#This Row],[Residents Age &gt;=20]]</f>
        <v>0.42133593393788948</v>
      </c>
    </row>
    <row r="359" spans="1:29" x14ac:dyDescent="0.45">
      <c r="A359" t="s">
        <v>837</v>
      </c>
      <c r="B359" t="s">
        <v>709</v>
      </c>
      <c r="C359" t="s">
        <v>710</v>
      </c>
      <c r="D359" s="1">
        <v>90700</v>
      </c>
      <c r="E359" s="1">
        <v>5200</v>
      </c>
      <c r="F359" s="1">
        <v>4700</v>
      </c>
      <c r="G359" s="1">
        <v>5000</v>
      </c>
      <c r="H359" s="1">
        <v>5800</v>
      </c>
      <c r="I359" s="1">
        <v>5800</v>
      </c>
      <c r="J359" s="1">
        <v>5800</v>
      </c>
      <c r="K359" s="1">
        <v>5200</v>
      </c>
      <c r="L359" s="1">
        <v>5500</v>
      </c>
      <c r="M359" s="1">
        <v>6900</v>
      </c>
      <c r="N359" s="1">
        <v>7400</v>
      </c>
      <c r="O359" s="1">
        <v>6900</v>
      </c>
      <c r="P359" s="1">
        <v>6000</v>
      </c>
      <c r="Q359" s="1">
        <v>5700</v>
      </c>
      <c r="R359" s="1">
        <v>4400</v>
      </c>
      <c r="S359" s="1">
        <v>3700</v>
      </c>
      <c r="T359" s="1">
        <v>3000</v>
      </c>
      <c r="U359" s="1">
        <v>3800</v>
      </c>
      <c r="X359" s="9">
        <f>SUM(Table2[[#This Row],[Age 20 to 24]:[Age 90 and Over]])</f>
        <v>70100</v>
      </c>
      <c r="Y359" s="9">
        <f>_xlfn.XLOOKUP(Table2[[#This Row],[Area]],Referendum!E:E,Referendum!L:L,"")</f>
        <v>26794</v>
      </c>
      <c r="Z359" s="9">
        <f>_xlfn.XLOOKUP(Table2[[#This Row],[Area]],Referendum!E:E,Referendum!M:M,"")</f>
        <v>16426</v>
      </c>
      <c r="AA359" s="10">
        <f>(Table2[[#This Row],[Leave Votes]]+Table2[[#This Row],[Remain Votes]])/Table2[[#This Row],[Residents Age &gt;=20]]</f>
        <v>0.61654778887303852</v>
      </c>
      <c r="AB359" s="10">
        <f>Table2[[#This Row],[Remain Votes]]/Table2[[#This Row],[Residents Age &gt;=20]]</f>
        <v>0.38222539229671898</v>
      </c>
      <c r="AC359" s="10">
        <f>Table2[[#This Row],[Leave Votes]]/Table2[[#This Row],[Residents Age &gt;=20]]</f>
        <v>0.23432239657631954</v>
      </c>
    </row>
    <row r="360" spans="1:29" x14ac:dyDescent="0.45">
      <c r="A360" t="s">
        <v>830</v>
      </c>
      <c r="B360" t="s">
        <v>123</v>
      </c>
      <c r="C360" t="s">
        <v>124</v>
      </c>
      <c r="D360" s="1">
        <v>110685</v>
      </c>
      <c r="E360" s="1">
        <v>5998</v>
      </c>
      <c r="F360" s="1">
        <v>5935</v>
      </c>
      <c r="G360" s="1">
        <v>6685</v>
      </c>
      <c r="H360" s="1">
        <v>7724</v>
      </c>
      <c r="I360" s="1">
        <v>7196</v>
      </c>
      <c r="J360" s="1">
        <v>5447</v>
      </c>
      <c r="K360" s="1">
        <v>5051</v>
      </c>
      <c r="L360" s="1">
        <v>6661</v>
      </c>
      <c r="M360" s="1">
        <v>8008</v>
      </c>
      <c r="N360" s="1">
        <v>8545</v>
      </c>
      <c r="O360" s="1">
        <v>7731</v>
      </c>
      <c r="P360" s="1">
        <v>6943</v>
      </c>
      <c r="Q360" s="1">
        <v>7886</v>
      </c>
      <c r="R360" s="1">
        <v>6470</v>
      </c>
      <c r="S360" s="1">
        <v>5294</v>
      </c>
      <c r="T360" s="1">
        <v>4020</v>
      </c>
      <c r="U360" s="1">
        <v>2734</v>
      </c>
      <c r="V360" s="1">
        <v>1558</v>
      </c>
      <c r="W360">
        <v>799</v>
      </c>
      <c r="X360" s="9">
        <f>SUM(Table2[[#This Row],[Age 20 to 24]:[Age 90 and Over]])</f>
        <v>84343</v>
      </c>
      <c r="Y360" s="9">
        <f>_xlfn.XLOOKUP(Table2[[#This Row],[Area]],Referendum!E:E,Referendum!L:L,"")</f>
        <v>28546</v>
      </c>
      <c r="Z360" s="9">
        <f>_xlfn.XLOOKUP(Table2[[#This Row],[Area]],Referendum!E:E,Referendum!M:M,"")</f>
        <v>35323</v>
      </c>
      <c r="AA360" s="10">
        <f>(Table2[[#This Row],[Leave Votes]]+Table2[[#This Row],[Remain Votes]])/Table2[[#This Row],[Residents Age &gt;=20]]</f>
        <v>0.75725312118373789</v>
      </c>
      <c r="AB360" s="10">
        <f>Table2[[#This Row],[Remain Votes]]/Table2[[#This Row],[Residents Age &gt;=20]]</f>
        <v>0.33845132376130799</v>
      </c>
      <c r="AC360" s="10">
        <f>Table2[[#This Row],[Leave Votes]]/Table2[[#This Row],[Residents Age &gt;=20]]</f>
        <v>0.41880179742242984</v>
      </c>
    </row>
    <row r="361" spans="1:29" x14ac:dyDescent="0.45">
      <c r="A361" t="s">
        <v>830</v>
      </c>
      <c r="B361" t="s">
        <v>223</v>
      </c>
      <c r="C361" t="s">
        <v>224</v>
      </c>
      <c r="D361" s="1">
        <v>89250</v>
      </c>
      <c r="E361" s="1">
        <v>4391</v>
      </c>
      <c r="F361" s="1">
        <v>4508</v>
      </c>
      <c r="G361" s="1">
        <v>5392</v>
      </c>
      <c r="H361" s="1">
        <v>5643</v>
      </c>
      <c r="I361" s="1">
        <v>4141</v>
      </c>
      <c r="J361" s="1">
        <v>3915</v>
      </c>
      <c r="K361" s="1">
        <v>4032</v>
      </c>
      <c r="L361" s="1">
        <v>4943</v>
      </c>
      <c r="M361" s="1">
        <v>6601</v>
      </c>
      <c r="N361" s="1">
        <v>7193</v>
      </c>
      <c r="O361" s="1">
        <v>6576</v>
      </c>
      <c r="P361" s="1">
        <v>6218</v>
      </c>
      <c r="Q361" s="1">
        <v>7068</v>
      </c>
      <c r="R361" s="1">
        <v>5963</v>
      </c>
      <c r="S361" s="1">
        <v>4444</v>
      </c>
      <c r="T361" s="1">
        <v>3524</v>
      </c>
      <c r="U361" s="1">
        <v>2537</v>
      </c>
      <c r="V361" s="1">
        <v>1401</v>
      </c>
      <c r="W361">
        <v>760</v>
      </c>
      <c r="X361" s="9">
        <f>SUM(Table2[[#This Row],[Age 20 to 24]:[Age 90 and Over]])</f>
        <v>69316</v>
      </c>
      <c r="Y361" s="9">
        <f>_xlfn.XLOOKUP(Table2[[#This Row],[Area]],Referendum!E:E,Referendum!L:L,"")</f>
        <v>20906</v>
      </c>
      <c r="Z361" s="9">
        <f>_xlfn.XLOOKUP(Table2[[#This Row],[Area]],Referendum!E:E,Referendum!M:M,"")</f>
        <v>33847</v>
      </c>
      <c r="AA361" s="10">
        <f>(Table2[[#This Row],[Leave Votes]]+Table2[[#This Row],[Remain Votes]])/Table2[[#This Row],[Residents Age &gt;=20]]</f>
        <v>0.78990420682093598</v>
      </c>
      <c r="AB361" s="10">
        <f>Table2[[#This Row],[Remain Votes]]/Table2[[#This Row],[Residents Age &gt;=20]]</f>
        <v>0.30160424721565005</v>
      </c>
      <c r="AC361" s="10">
        <f>Table2[[#This Row],[Leave Votes]]/Table2[[#This Row],[Residents Age &gt;=20]]</f>
        <v>0.48829995960528594</v>
      </c>
    </row>
    <row r="362" spans="1:29" x14ac:dyDescent="0.45">
      <c r="A362" t="s">
        <v>837</v>
      </c>
      <c r="B362" t="s">
        <v>757</v>
      </c>
      <c r="C362" t="s">
        <v>758</v>
      </c>
      <c r="D362" s="1">
        <v>175100</v>
      </c>
      <c r="E362" s="1">
        <v>11600</v>
      </c>
      <c r="F362" s="1">
        <v>10700</v>
      </c>
      <c r="G362" s="1">
        <v>10800</v>
      </c>
      <c r="H362" s="1">
        <v>11100</v>
      </c>
      <c r="I362" s="1">
        <v>10400</v>
      </c>
      <c r="J362" s="1">
        <v>10800</v>
      </c>
      <c r="K362" s="1">
        <v>10900</v>
      </c>
      <c r="L362" s="1">
        <v>12900</v>
      </c>
      <c r="M362" s="1">
        <v>14700</v>
      </c>
      <c r="N362" s="1">
        <v>14500</v>
      </c>
      <c r="O362" s="1">
        <v>12300</v>
      </c>
      <c r="P362" s="1">
        <v>10300</v>
      </c>
      <c r="Q362" s="1">
        <v>10400</v>
      </c>
      <c r="R362" s="1">
        <v>8000</v>
      </c>
      <c r="S362" s="1">
        <v>6300</v>
      </c>
      <c r="T362" s="1">
        <v>4600</v>
      </c>
      <c r="U362" s="1">
        <v>4900</v>
      </c>
      <c r="X362" s="9">
        <f>SUM(Table2[[#This Row],[Age 20 to 24]:[Age 90 and Over]])</f>
        <v>131000</v>
      </c>
      <c r="Y362" s="9">
        <f>_xlfn.XLOOKUP(Table2[[#This Row],[Area]],Referendum!E:E,Referendum!L:L,"")</f>
        <v>51560</v>
      </c>
      <c r="Z362" s="9">
        <f>_xlfn.XLOOKUP(Table2[[#This Row],[Area]],Referendum!E:E,Referendum!M:M,"")</f>
        <v>36948</v>
      </c>
      <c r="AA362" s="10">
        <f>(Table2[[#This Row],[Leave Votes]]+Table2[[#This Row],[Remain Votes]])/Table2[[#This Row],[Residents Age &gt;=20]]</f>
        <v>0.67563358778625959</v>
      </c>
      <c r="AB362" s="10">
        <f>Table2[[#This Row],[Remain Votes]]/Table2[[#This Row],[Residents Age &gt;=20]]</f>
        <v>0.39358778625954199</v>
      </c>
      <c r="AC362" s="10">
        <f>Table2[[#This Row],[Leave Votes]]/Table2[[#This Row],[Residents Age &gt;=20]]</f>
        <v>0.28204580152671754</v>
      </c>
    </row>
    <row r="363" spans="1:29" x14ac:dyDescent="0.45">
      <c r="A363" t="s">
        <v>830</v>
      </c>
      <c r="B363" t="s">
        <v>577</v>
      </c>
      <c r="C363" t="s">
        <v>578</v>
      </c>
      <c r="D363" s="1">
        <v>104779</v>
      </c>
      <c r="E363" s="1">
        <v>6362</v>
      </c>
      <c r="F363" s="1">
        <v>5759</v>
      </c>
      <c r="G363" s="1">
        <v>6056</v>
      </c>
      <c r="H363" s="1">
        <v>5998</v>
      </c>
      <c r="I363" s="1">
        <v>5308</v>
      </c>
      <c r="J363" s="1">
        <v>6043</v>
      </c>
      <c r="K363" s="1">
        <v>6162</v>
      </c>
      <c r="L363" s="1">
        <v>6979</v>
      </c>
      <c r="M363" s="1">
        <v>8068</v>
      </c>
      <c r="N363" s="1">
        <v>8428</v>
      </c>
      <c r="O363" s="1">
        <v>7184</v>
      </c>
      <c r="P363" s="1">
        <v>6223</v>
      </c>
      <c r="Q363" s="1">
        <v>6947</v>
      </c>
      <c r="R363" s="1">
        <v>5685</v>
      </c>
      <c r="S363" s="1">
        <v>4428</v>
      </c>
      <c r="T363" s="1">
        <v>3619</v>
      </c>
      <c r="U363" s="1">
        <v>2790</v>
      </c>
      <c r="V363" s="1">
        <v>1756</v>
      </c>
      <c r="W363">
        <v>984</v>
      </c>
      <c r="X363" s="9">
        <f>SUM(Table2[[#This Row],[Age 20 to 24]:[Age 90 and Over]])</f>
        <v>80604</v>
      </c>
      <c r="Y363" s="9">
        <f>_xlfn.XLOOKUP(Table2[[#This Row],[Area]],Referendum!E:E,Referendum!L:L,"")</f>
        <v>35236</v>
      </c>
      <c r="Z363" s="9">
        <f>_xlfn.XLOOKUP(Table2[[#This Row],[Area]],Referendum!E:E,Referendum!M:M,"")</f>
        <v>30435</v>
      </c>
      <c r="AA363" s="10">
        <f>(Table2[[#This Row],[Leave Votes]]+Table2[[#This Row],[Remain Votes]])/Table2[[#This Row],[Residents Age &gt;=20]]</f>
        <v>0.81473624137759915</v>
      </c>
      <c r="AB363" s="10">
        <f>Table2[[#This Row],[Remain Votes]]/Table2[[#This Row],[Residents Age &gt;=20]]</f>
        <v>0.43714952111557737</v>
      </c>
      <c r="AC363" s="10">
        <f>Table2[[#This Row],[Leave Votes]]/Table2[[#This Row],[Residents Age &gt;=20]]</f>
        <v>0.37758672026202172</v>
      </c>
    </row>
    <row r="364" spans="1:29" x14ac:dyDescent="0.45">
      <c r="A364" t="s">
        <v>830</v>
      </c>
      <c r="B364" t="s">
        <v>689</v>
      </c>
      <c r="C364" t="s">
        <v>690</v>
      </c>
      <c r="D364" s="1">
        <v>34675</v>
      </c>
      <c r="E364" s="1">
        <v>1444</v>
      </c>
      <c r="F364" s="1">
        <v>1381</v>
      </c>
      <c r="G364" s="1">
        <v>1640</v>
      </c>
      <c r="H364" s="1">
        <v>1799</v>
      </c>
      <c r="I364" s="1">
        <v>1744</v>
      </c>
      <c r="J364" s="1">
        <v>1549</v>
      </c>
      <c r="K364" s="1">
        <v>1272</v>
      </c>
      <c r="L364" s="1">
        <v>1376</v>
      </c>
      <c r="M364" s="1">
        <v>1968</v>
      </c>
      <c r="N364" s="1">
        <v>2342</v>
      </c>
      <c r="O364" s="1">
        <v>2413</v>
      </c>
      <c r="P364" s="1">
        <v>2554</v>
      </c>
      <c r="Q364" s="1">
        <v>3113</v>
      </c>
      <c r="R364" s="1">
        <v>2852</v>
      </c>
      <c r="S364" s="1">
        <v>2302</v>
      </c>
      <c r="T364" s="1">
        <v>1901</v>
      </c>
      <c r="U364" s="1">
        <v>1473</v>
      </c>
      <c r="V364" s="1">
        <v>1021</v>
      </c>
      <c r="W364">
        <v>531</v>
      </c>
      <c r="X364" s="9">
        <f>SUM(Table2[[#This Row],[Age 20 to 24]:[Age 90 and Over]])</f>
        <v>28411</v>
      </c>
      <c r="Y364" s="9">
        <f>_xlfn.XLOOKUP(Table2[[#This Row],[Area]],Referendum!E:E,Referendum!L:L,"")</f>
        <v>8566</v>
      </c>
      <c r="Z364" s="9">
        <f>_xlfn.XLOOKUP(Table2[[#This Row],[Area]],Referendum!E:E,Referendum!M:M,"")</f>
        <v>13168</v>
      </c>
      <c r="AA364" s="10">
        <f>(Table2[[#This Row],[Leave Votes]]+Table2[[#This Row],[Remain Votes]])/Table2[[#This Row],[Residents Age &gt;=20]]</f>
        <v>0.76498539298159163</v>
      </c>
      <c r="AB364" s="10">
        <f>Table2[[#This Row],[Remain Votes]]/Table2[[#This Row],[Residents Age &gt;=20]]</f>
        <v>0.30150293900249903</v>
      </c>
      <c r="AC364" s="10">
        <f>Table2[[#This Row],[Leave Votes]]/Table2[[#This Row],[Residents Age &gt;=20]]</f>
        <v>0.4634824539790926</v>
      </c>
    </row>
    <row r="365" spans="1:29" x14ac:dyDescent="0.45">
      <c r="A365" t="s">
        <v>830</v>
      </c>
      <c r="B365" t="s">
        <v>477</v>
      </c>
      <c r="C365" t="s">
        <v>478</v>
      </c>
      <c r="D365" s="1">
        <v>219396</v>
      </c>
      <c r="E365" s="1">
        <v>12617</v>
      </c>
      <c r="F365" s="1">
        <v>9726</v>
      </c>
      <c r="G365" s="1">
        <v>8665</v>
      </c>
      <c r="H365" s="1">
        <v>9997</v>
      </c>
      <c r="I365" s="1">
        <v>17490</v>
      </c>
      <c r="J365" s="1">
        <v>27498</v>
      </c>
      <c r="K365" s="1">
        <v>26721</v>
      </c>
      <c r="L365" s="1">
        <v>20677</v>
      </c>
      <c r="M365" s="1">
        <v>16716</v>
      </c>
      <c r="N365" s="1">
        <v>13990</v>
      </c>
      <c r="O365" s="1">
        <v>11582</v>
      </c>
      <c r="P365" s="1">
        <v>9998</v>
      </c>
      <c r="Q365" s="1">
        <v>9205</v>
      </c>
      <c r="R365" s="1">
        <v>7190</v>
      </c>
      <c r="S365" s="1">
        <v>6017</v>
      </c>
      <c r="T365" s="1">
        <v>4786</v>
      </c>
      <c r="U365" s="1">
        <v>3421</v>
      </c>
      <c r="V365" s="1">
        <v>2042</v>
      </c>
      <c r="W365" s="1">
        <v>1058</v>
      </c>
      <c r="X365" s="9">
        <f>SUM(Table2[[#This Row],[Age 20 to 24]:[Age 90 and Over]])</f>
        <v>178391</v>
      </c>
      <c r="Y365" s="9">
        <f>_xlfn.XLOOKUP(Table2[[#This Row],[Area]],Referendum!E:E,Referendum!L:L,"")</f>
        <v>53928</v>
      </c>
      <c r="Z365" s="9">
        <f>_xlfn.XLOOKUP(Table2[[#This Row],[Area]],Referendum!E:E,Referendum!M:M,"")</f>
        <v>24268</v>
      </c>
      <c r="AA365" s="10">
        <f>(Table2[[#This Row],[Leave Votes]]+Table2[[#This Row],[Remain Votes]])/Table2[[#This Row],[Residents Age &gt;=20]]</f>
        <v>0.43834049924043256</v>
      </c>
      <c r="AB365" s="10">
        <f>Table2[[#This Row],[Remain Votes]]/Table2[[#This Row],[Residents Age &gt;=20]]</f>
        <v>0.30230224618954993</v>
      </c>
      <c r="AC365" s="10">
        <f>Table2[[#This Row],[Leave Votes]]/Table2[[#This Row],[Residents Age &gt;=20]]</f>
        <v>0.1360382530508826</v>
      </c>
    </row>
    <row r="366" spans="1:29" x14ac:dyDescent="0.45">
      <c r="A366" t="s">
        <v>830</v>
      </c>
      <c r="B366" t="s">
        <v>667</v>
      </c>
      <c r="C366" t="s">
        <v>668</v>
      </c>
      <c r="D366" s="1">
        <v>65167</v>
      </c>
      <c r="E366" s="1">
        <v>3349</v>
      </c>
      <c r="F366" s="1">
        <v>3237</v>
      </c>
      <c r="G366" s="1">
        <v>3548</v>
      </c>
      <c r="H366" s="1">
        <v>3895</v>
      </c>
      <c r="I366" s="1">
        <v>3888</v>
      </c>
      <c r="J366" s="1">
        <v>3394</v>
      </c>
      <c r="K366" s="1">
        <v>3363</v>
      </c>
      <c r="L366" s="1">
        <v>3669</v>
      </c>
      <c r="M366" s="1">
        <v>4561</v>
      </c>
      <c r="N366" s="1">
        <v>4848</v>
      </c>
      <c r="O366" s="1">
        <v>4589</v>
      </c>
      <c r="P366" s="1">
        <v>4295</v>
      </c>
      <c r="Q366" s="1">
        <v>4916</v>
      </c>
      <c r="R366" s="1">
        <v>4056</v>
      </c>
      <c r="S366" s="1">
        <v>3124</v>
      </c>
      <c r="T366" s="1">
        <v>2541</v>
      </c>
      <c r="U366" s="1">
        <v>1990</v>
      </c>
      <c r="V366" s="1">
        <v>1242</v>
      </c>
      <c r="W366">
        <v>662</v>
      </c>
      <c r="X366" s="9">
        <f>SUM(Table2[[#This Row],[Age 20 to 24]:[Age 90 and Over]])</f>
        <v>51138</v>
      </c>
      <c r="Y366" s="9">
        <f>_xlfn.XLOOKUP(Table2[[#This Row],[Area]],Referendum!E:E,Referendum!L:L,"")</f>
        <v>14903</v>
      </c>
      <c r="Z366" s="9">
        <f>_xlfn.XLOOKUP(Table2[[#This Row],[Area]],Referendum!E:E,Referendum!M:M,"")</f>
        <v>23352</v>
      </c>
      <c r="AA366" s="10">
        <f>(Table2[[#This Row],[Leave Votes]]+Table2[[#This Row],[Remain Votes]])/Table2[[#This Row],[Residents Age &gt;=20]]</f>
        <v>0.74807383941491645</v>
      </c>
      <c r="AB366" s="10">
        <f>Table2[[#This Row],[Remain Votes]]/Table2[[#This Row],[Residents Age &gt;=20]]</f>
        <v>0.29142711877664357</v>
      </c>
      <c r="AC366" s="10">
        <f>Table2[[#This Row],[Leave Votes]]/Table2[[#This Row],[Residents Age &gt;=20]]</f>
        <v>0.45664672063827288</v>
      </c>
    </row>
    <row r="367" spans="1:29" x14ac:dyDescent="0.45">
      <c r="A367" t="s">
        <v>830</v>
      </c>
      <c r="B367" t="s">
        <v>67</v>
      </c>
      <c r="C367" t="s">
        <v>68</v>
      </c>
      <c r="D367" s="1">
        <v>317849</v>
      </c>
      <c r="E367" s="1">
        <v>19681</v>
      </c>
      <c r="F367" s="1">
        <v>18044</v>
      </c>
      <c r="G367" s="1">
        <v>18270</v>
      </c>
      <c r="H367" s="1">
        <v>19570</v>
      </c>
      <c r="I367" s="1">
        <v>19310</v>
      </c>
      <c r="J367" s="1">
        <v>20174</v>
      </c>
      <c r="K367" s="1">
        <v>19030</v>
      </c>
      <c r="L367" s="1">
        <v>21461</v>
      </c>
      <c r="M367" s="1">
        <v>25621</v>
      </c>
      <c r="N367" s="1">
        <v>24750</v>
      </c>
      <c r="O367" s="1">
        <v>20778</v>
      </c>
      <c r="P367" s="1">
        <v>18312</v>
      </c>
      <c r="Q367" s="1">
        <v>21199</v>
      </c>
      <c r="R367" s="1">
        <v>17181</v>
      </c>
      <c r="S367" s="1">
        <v>13138</v>
      </c>
      <c r="T367" s="1">
        <v>9541</v>
      </c>
      <c r="U367" s="1">
        <v>6389</v>
      </c>
      <c r="V367" s="1">
        <v>3682</v>
      </c>
      <c r="W367" s="1">
        <v>1718</v>
      </c>
      <c r="X367" s="9">
        <f>SUM(Table2[[#This Row],[Age 20 to 24]:[Age 90 and Over]])</f>
        <v>242284</v>
      </c>
      <c r="Y367" s="9">
        <f>_xlfn.XLOOKUP(Table2[[#This Row],[Area]],Referendum!E:E,Referendum!L:L,"")</f>
        <v>58942</v>
      </c>
      <c r="Z367" s="9">
        <f>_xlfn.XLOOKUP(Table2[[#This Row],[Area]],Referendum!E:E,Referendum!M:M,"")</f>
        <v>104331</v>
      </c>
      <c r="AA367" s="10">
        <f>(Table2[[#This Row],[Leave Votes]]+Table2[[#This Row],[Remain Votes]])/Table2[[#This Row],[Residents Age &gt;=20]]</f>
        <v>0.67389097092668104</v>
      </c>
      <c r="AB367" s="10">
        <f>Table2[[#This Row],[Remain Votes]]/Table2[[#This Row],[Residents Age &gt;=20]]</f>
        <v>0.243276485446831</v>
      </c>
      <c r="AC367" s="10">
        <f>Table2[[#This Row],[Leave Votes]]/Table2[[#This Row],[Residents Age &gt;=20]]</f>
        <v>0.4306144854798501</v>
      </c>
    </row>
    <row r="368" spans="1:29" x14ac:dyDescent="0.45">
      <c r="A368" t="s">
        <v>830</v>
      </c>
      <c r="B368" t="s">
        <v>639</v>
      </c>
      <c r="C368" t="s">
        <v>640</v>
      </c>
      <c r="D368" s="1">
        <v>470981</v>
      </c>
      <c r="E368" s="1">
        <v>28373</v>
      </c>
      <c r="F368" s="1">
        <v>27199</v>
      </c>
      <c r="G368" s="1">
        <v>29276</v>
      </c>
      <c r="H368" s="1">
        <v>29197</v>
      </c>
      <c r="I368" s="1">
        <v>24720</v>
      </c>
      <c r="J368" s="1">
        <v>25471</v>
      </c>
      <c r="K368" s="1">
        <v>25078</v>
      </c>
      <c r="L368" s="1">
        <v>30389</v>
      </c>
      <c r="M368" s="1">
        <v>36130</v>
      </c>
      <c r="N368" s="1">
        <v>36817</v>
      </c>
      <c r="O368" s="1">
        <v>32734</v>
      </c>
      <c r="P368" s="1">
        <v>28863</v>
      </c>
      <c r="Q368" s="1">
        <v>31246</v>
      </c>
      <c r="R368" s="1">
        <v>25135</v>
      </c>
      <c r="S368" s="1">
        <v>19935</v>
      </c>
      <c r="T368" s="1">
        <v>16189</v>
      </c>
      <c r="U368" s="1">
        <v>12267</v>
      </c>
      <c r="V368" s="1">
        <v>7725</v>
      </c>
      <c r="W368" s="1">
        <v>4237</v>
      </c>
      <c r="X368" s="9">
        <f>SUM(Table2[[#This Row],[Age 20 to 24]:[Age 90 and Over]])</f>
        <v>356936</v>
      </c>
      <c r="Y368" s="9">
        <f>_xlfn.XLOOKUP(Table2[[#This Row],[Area]],Referendum!E:E,Referendum!L:L,"")</f>
        <v>137258</v>
      </c>
      <c r="Z368" s="9">
        <f>_xlfn.XLOOKUP(Table2[[#This Row],[Area]],Referendum!E:E,Referendum!M:M,"")</f>
        <v>151637</v>
      </c>
      <c r="AA368" s="10">
        <f>(Table2[[#This Row],[Leave Votes]]+Table2[[#This Row],[Remain Votes]])/Table2[[#This Row],[Residents Age &gt;=20]]</f>
        <v>0.80937478987829747</v>
      </c>
      <c r="AB368" s="10">
        <f>Table2[[#This Row],[Remain Votes]]/Table2[[#This Row],[Residents Age &gt;=20]]</f>
        <v>0.38454512853844947</v>
      </c>
      <c r="AC368" s="10">
        <f>Table2[[#This Row],[Leave Votes]]/Table2[[#This Row],[Residents Age &gt;=20]]</f>
        <v>0.42482966133984806</v>
      </c>
    </row>
    <row r="369" spans="1:29" x14ac:dyDescent="0.45">
      <c r="A369" t="s">
        <v>830</v>
      </c>
      <c r="B369" t="s">
        <v>543</v>
      </c>
      <c r="C369" t="s">
        <v>544</v>
      </c>
      <c r="D369" s="1">
        <v>116595</v>
      </c>
      <c r="E369" s="1">
        <v>6580</v>
      </c>
      <c r="F369" s="1">
        <v>6497</v>
      </c>
      <c r="G369" s="1">
        <v>6953</v>
      </c>
      <c r="H369" s="1">
        <v>8134</v>
      </c>
      <c r="I369" s="1">
        <v>7517</v>
      </c>
      <c r="J369" s="1">
        <v>5635</v>
      </c>
      <c r="K369" s="1">
        <v>6231</v>
      </c>
      <c r="L369" s="1">
        <v>7491</v>
      </c>
      <c r="M369" s="1">
        <v>8288</v>
      </c>
      <c r="N369" s="1">
        <v>8899</v>
      </c>
      <c r="O369" s="1">
        <v>7985</v>
      </c>
      <c r="P369" s="1">
        <v>6934</v>
      </c>
      <c r="Q369" s="1">
        <v>7672</v>
      </c>
      <c r="R369" s="1">
        <v>6193</v>
      </c>
      <c r="S369" s="1">
        <v>4971</v>
      </c>
      <c r="T369" s="1">
        <v>4046</v>
      </c>
      <c r="U369" s="1">
        <v>3286</v>
      </c>
      <c r="V369" s="1">
        <v>2069</v>
      </c>
      <c r="W369" s="1">
        <v>1214</v>
      </c>
      <c r="X369" s="9">
        <f>SUM(Table2[[#This Row],[Age 20 to 24]:[Age 90 and Over]])</f>
        <v>88431</v>
      </c>
      <c r="Y369" s="9">
        <f>_xlfn.XLOOKUP(Table2[[#This Row],[Area]],Referendum!E:E,Referendum!L:L,"")</f>
        <v>42878</v>
      </c>
      <c r="Z369" s="9">
        <f>_xlfn.XLOOKUP(Table2[[#This Row],[Area]],Referendum!E:E,Referendum!M:M,"")</f>
        <v>29886</v>
      </c>
      <c r="AA369" s="10">
        <f>(Table2[[#This Row],[Leave Votes]]+Table2[[#This Row],[Remain Votes]])/Table2[[#This Row],[Residents Age &gt;=20]]</f>
        <v>0.82283362169374996</v>
      </c>
      <c r="AB369" s="10">
        <f>Table2[[#This Row],[Remain Votes]]/Table2[[#This Row],[Residents Age &gt;=20]]</f>
        <v>0.48487521344324952</v>
      </c>
      <c r="AC369" s="10">
        <f>Table2[[#This Row],[Leave Votes]]/Table2[[#This Row],[Residents Age &gt;=20]]</f>
        <v>0.33795840825050039</v>
      </c>
    </row>
    <row r="370" spans="1:29" x14ac:dyDescent="0.45">
      <c r="A370" t="s">
        <v>830</v>
      </c>
      <c r="B370" t="s">
        <v>491</v>
      </c>
      <c r="C370" t="s">
        <v>492</v>
      </c>
      <c r="D370" s="1">
        <v>144560</v>
      </c>
      <c r="E370" s="1">
        <v>9365</v>
      </c>
      <c r="F370" s="1">
        <v>8584</v>
      </c>
      <c r="G370" s="1">
        <v>8863</v>
      </c>
      <c r="H370" s="1">
        <v>8343</v>
      </c>
      <c r="I370" s="1">
        <v>7111</v>
      </c>
      <c r="J370" s="1">
        <v>8841</v>
      </c>
      <c r="K370" s="1">
        <v>9678</v>
      </c>
      <c r="L370" s="1">
        <v>10626</v>
      </c>
      <c r="M370" s="1">
        <v>11645</v>
      </c>
      <c r="N370" s="1">
        <v>11195</v>
      </c>
      <c r="O370" s="1">
        <v>9379</v>
      </c>
      <c r="P370" s="1">
        <v>8161</v>
      </c>
      <c r="Q370" s="1">
        <v>8692</v>
      </c>
      <c r="R370" s="1">
        <v>6943</v>
      </c>
      <c r="S370" s="1">
        <v>5481</v>
      </c>
      <c r="T370" s="1">
        <v>4617</v>
      </c>
      <c r="U370" s="1">
        <v>3547</v>
      </c>
      <c r="V370" s="1">
        <v>2243</v>
      </c>
      <c r="W370" s="1">
        <v>1246</v>
      </c>
      <c r="X370" s="9">
        <f>SUM(Table2[[#This Row],[Age 20 to 24]:[Age 90 and Over]])</f>
        <v>109405</v>
      </c>
      <c r="Y370" s="9">
        <f>_xlfn.XLOOKUP(Table2[[#This Row],[Area]],Referendum!E:E,Referendum!L:L,"")</f>
        <v>44086</v>
      </c>
      <c r="Z370" s="9">
        <f>_xlfn.XLOOKUP(Table2[[#This Row],[Area]],Referendum!E:E,Referendum!M:M,"")</f>
        <v>37706</v>
      </c>
      <c r="AA370" s="10">
        <f>(Table2[[#This Row],[Leave Votes]]+Table2[[#This Row],[Remain Votes]])/Table2[[#This Row],[Residents Age &gt;=20]]</f>
        <v>0.74760751336776199</v>
      </c>
      <c r="AB370" s="10">
        <f>Table2[[#This Row],[Remain Votes]]/Table2[[#This Row],[Residents Age &gt;=20]]</f>
        <v>0.40296147342443217</v>
      </c>
      <c r="AC370" s="10">
        <f>Table2[[#This Row],[Leave Votes]]/Table2[[#This Row],[Residents Age &gt;=20]]</f>
        <v>0.34464603994332982</v>
      </c>
    </row>
    <row r="371" spans="1:29" x14ac:dyDescent="0.45">
      <c r="A371" t="s">
        <v>830</v>
      </c>
      <c r="B371" t="s">
        <v>77</v>
      </c>
      <c r="C371" t="s">
        <v>78</v>
      </c>
      <c r="D371" s="1">
        <v>319783</v>
      </c>
      <c r="E371" s="1">
        <v>18514</v>
      </c>
      <c r="F371" s="1">
        <v>17677</v>
      </c>
      <c r="G371" s="1">
        <v>19005</v>
      </c>
      <c r="H371" s="1">
        <v>19863</v>
      </c>
      <c r="I371" s="1">
        <v>18069</v>
      </c>
      <c r="J371" s="1">
        <v>17939</v>
      </c>
      <c r="K371" s="1">
        <v>17112</v>
      </c>
      <c r="L371" s="1">
        <v>19161</v>
      </c>
      <c r="M371" s="1">
        <v>22719</v>
      </c>
      <c r="N371" s="1">
        <v>24360</v>
      </c>
      <c r="O371" s="1">
        <v>22395</v>
      </c>
      <c r="P371" s="1">
        <v>20263</v>
      </c>
      <c r="Q371" s="1">
        <v>21740</v>
      </c>
      <c r="R371" s="1">
        <v>17035</v>
      </c>
      <c r="S371" s="1">
        <v>14284</v>
      </c>
      <c r="T371" s="1">
        <v>12018</v>
      </c>
      <c r="U371" s="1">
        <v>9295</v>
      </c>
      <c r="V371" s="1">
        <v>5481</v>
      </c>
      <c r="W371" s="1">
        <v>2853</v>
      </c>
      <c r="X371" s="9">
        <f>SUM(Table2[[#This Row],[Age 20 to 24]:[Age 90 and Over]])</f>
        <v>244724</v>
      </c>
      <c r="Y371" s="9">
        <f>_xlfn.XLOOKUP(Table2[[#This Row],[Area]],Referendum!E:E,Referendum!L:L,"")</f>
        <v>88931</v>
      </c>
      <c r="Z371" s="9">
        <f>_xlfn.XLOOKUP(Table2[[#This Row],[Area]],Referendum!E:E,Referendum!M:M,"")</f>
        <v>83069</v>
      </c>
      <c r="AA371" s="10">
        <f>(Table2[[#This Row],[Leave Votes]]+Table2[[#This Row],[Remain Votes]])/Table2[[#This Row],[Residents Age &gt;=20]]</f>
        <v>0.70283257874176619</v>
      </c>
      <c r="AB371" s="10">
        <f>Table2[[#This Row],[Remain Votes]]/Table2[[#This Row],[Residents Age &gt;=20]]</f>
        <v>0.36339304686095358</v>
      </c>
      <c r="AC371" s="10">
        <f>Table2[[#This Row],[Leave Votes]]/Table2[[#This Row],[Residents Age &gt;=20]]</f>
        <v>0.33943953188081266</v>
      </c>
    </row>
    <row r="372" spans="1:29" x14ac:dyDescent="0.45">
      <c r="A372" t="s">
        <v>830</v>
      </c>
      <c r="B372" t="s">
        <v>599</v>
      </c>
      <c r="C372" t="s">
        <v>600</v>
      </c>
      <c r="D372" s="1">
        <v>99198</v>
      </c>
      <c r="E372" s="1">
        <v>7278</v>
      </c>
      <c r="F372" s="1">
        <v>6003</v>
      </c>
      <c r="G372" s="1">
        <v>5578</v>
      </c>
      <c r="H372" s="1">
        <v>5320</v>
      </c>
      <c r="I372" s="1">
        <v>4961</v>
      </c>
      <c r="J372" s="1">
        <v>6812</v>
      </c>
      <c r="K372" s="1">
        <v>7803</v>
      </c>
      <c r="L372" s="1">
        <v>8103</v>
      </c>
      <c r="M372" s="1">
        <v>7687</v>
      </c>
      <c r="N372" s="1">
        <v>7418</v>
      </c>
      <c r="O372" s="1">
        <v>6494</v>
      </c>
      <c r="P372" s="1">
        <v>5443</v>
      </c>
      <c r="Q372" s="1">
        <v>5455</v>
      </c>
      <c r="R372" s="1">
        <v>4090</v>
      </c>
      <c r="S372" s="1">
        <v>3290</v>
      </c>
      <c r="T372" s="1">
        <v>2883</v>
      </c>
      <c r="U372" s="1">
        <v>2254</v>
      </c>
      <c r="V372" s="1">
        <v>1527</v>
      </c>
      <c r="W372">
        <v>799</v>
      </c>
      <c r="X372" s="9">
        <f>SUM(Table2[[#This Row],[Age 20 to 24]:[Age 90 and Over]])</f>
        <v>75019</v>
      </c>
      <c r="Y372" s="9">
        <f>_xlfn.XLOOKUP(Table2[[#This Row],[Area]],Referendum!E:E,Referendum!L:L,"")</f>
        <v>31007</v>
      </c>
      <c r="Z372" s="9">
        <f>_xlfn.XLOOKUP(Table2[[#This Row],[Area]],Referendum!E:E,Referendum!M:M,"")</f>
        <v>24214</v>
      </c>
      <c r="AA372" s="10">
        <f>(Table2[[#This Row],[Leave Votes]]+Table2[[#This Row],[Remain Votes]])/Table2[[#This Row],[Residents Age &gt;=20]]</f>
        <v>0.73609352297417985</v>
      </c>
      <c r="AB372" s="10">
        <f>Table2[[#This Row],[Remain Votes]]/Table2[[#This Row],[Residents Age &gt;=20]]</f>
        <v>0.41332195843719594</v>
      </c>
      <c r="AC372" s="10">
        <f>Table2[[#This Row],[Leave Votes]]/Table2[[#This Row],[Residents Age &gt;=20]]</f>
        <v>0.32277156453698397</v>
      </c>
    </row>
    <row r="373" spans="1:29" x14ac:dyDescent="0.45">
      <c r="A373" t="s">
        <v>830</v>
      </c>
      <c r="B373" t="s">
        <v>493</v>
      </c>
      <c r="C373" t="s">
        <v>494</v>
      </c>
      <c r="D373" s="1">
        <v>154380</v>
      </c>
      <c r="E373" s="1">
        <v>10031</v>
      </c>
      <c r="F373" s="1">
        <v>9551</v>
      </c>
      <c r="G373" s="1">
        <v>9740</v>
      </c>
      <c r="H373" s="1">
        <v>9487</v>
      </c>
      <c r="I373" s="1">
        <v>7428</v>
      </c>
      <c r="J373" s="1">
        <v>8071</v>
      </c>
      <c r="K373" s="1">
        <v>9782</v>
      </c>
      <c r="L373" s="1">
        <v>11499</v>
      </c>
      <c r="M373" s="1">
        <v>12460</v>
      </c>
      <c r="N373" s="1">
        <v>12780</v>
      </c>
      <c r="O373" s="1">
        <v>11173</v>
      </c>
      <c r="P373" s="1">
        <v>9163</v>
      </c>
      <c r="Q373" s="1">
        <v>9426</v>
      </c>
      <c r="R373" s="1">
        <v>7337</v>
      </c>
      <c r="S373" s="1">
        <v>5715</v>
      </c>
      <c r="T373" s="1">
        <v>4637</v>
      </c>
      <c r="U373" s="1">
        <v>3154</v>
      </c>
      <c r="V373" s="1">
        <v>1896</v>
      </c>
      <c r="W373" s="1">
        <v>1050</v>
      </c>
      <c r="X373" s="9">
        <f>SUM(Table2[[#This Row],[Age 20 to 24]:[Age 90 and Over]])</f>
        <v>115571</v>
      </c>
      <c r="Y373" s="9">
        <f>_xlfn.XLOOKUP(Table2[[#This Row],[Area]],Referendum!E:E,Referendum!L:L,"")</f>
        <v>55272</v>
      </c>
      <c r="Z373" s="9">
        <f>_xlfn.XLOOKUP(Table2[[#This Row],[Area]],Referendum!E:E,Referendum!M:M,"")</f>
        <v>42229</v>
      </c>
      <c r="AA373" s="10">
        <f>(Table2[[#This Row],[Leave Votes]]+Table2[[#This Row],[Remain Votes]])/Table2[[#This Row],[Residents Age &gt;=20]]</f>
        <v>0.8436458973271842</v>
      </c>
      <c r="AB373" s="10">
        <f>Table2[[#This Row],[Remain Votes]]/Table2[[#This Row],[Residents Age &gt;=20]]</f>
        <v>0.47825146446772981</v>
      </c>
      <c r="AC373" s="10">
        <f>Table2[[#This Row],[Leave Votes]]/Table2[[#This Row],[Residents Age &gt;=20]]</f>
        <v>0.36539443285945439</v>
      </c>
    </row>
    <row r="374" spans="1:29" x14ac:dyDescent="0.45">
      <c r="A374" t="s">
        <v>830</v>
      </c>
      <c r="B374" t="s">
        <v>267</v>
      </c>
      <c r="C374" t="s">
        <v>268</v>
      </c>
      <c r="D374" s="1">
        <v>249470</v>
      </c>
      <c r="E374" s="1">
        <v>16687</v>
      </c>
      <c r="F374" s="1">
        <v>14442</v>
      </c>
      <c r="G374" s="1">
        <v>15095</v>
      </c>
      <c r="H374" s="1">
        <v>16728</v>
      </c>
      <c r="I374" s="1">
        <v>17988</v>
      </c>
      <c r="J374" s="1">
        <v>17947</v>
      </c>
      <c r="K374" s="1">
        <v>16436</v>
      </c>
      <c r="L374" s="1">
        <v>16744</v>
      </c>
      <c r="M374" s="1">
        <v>18219</v>
      </c>
      <c r="N374" s="1">
        <v>17370</v>
      </c>
      <c r="O374" s="1">
        <v>14949</v>
      </c>
      <c r="P374" s="1">
        <v>13255</v>
      </c>
      <c r="Q374" s="1">
        <v>12981</v>
      </c>
      <c r="R374" s="1">
        <v>10853</v>
      </c>
      <c r="S374" s="1">
        <v>9712</v>
      </c>
      <c r="T374" s="1">
        <v>8146</v>
      </c>
      <c r="U374" s="1">
        <v>6322</v>
      </c>
      <c r="V374" s="1">
        <v>3768</v>
      </c>
      <c r="W374" s="1">
        <v>1828</v>
      </c>
      <c r="X374" s="9">
        <f>SUM(Table2[[#This Row],[Age 20 to 24]:[Age 90 and Over]])</f>
        <v>186518</v>
      </c>
      <c r="Y374" s="9">
        <f>_xlfn.XLOOKUP(Table2[[#This Row],[Area]],Referendum!E:E,Referendum!L:L,"")</f>
        <v>44138</v>
      </c>
      <c r="Z374" s="9">
        <f>_xlfn.XLOOKUP(Table2[[#This Row],[Area]],Referendum!E:E,Referendum!M:M,"")</f>
        <v>73798</v>
      </c>
      <c r="AA374" s="10">
        <f>(Table2[[#This Row],[Leave Votes]]+Table2[[#This Row],[Remain Votes]])/Table2[[#This Row],[Residents Age &gt;=20]]</f>
        <v>0.63230358464062453</v>
      </c>
      <c r="AB374" s="10">
        <f>Table2[[#This Row],[Remain Votes]]/Table2[[#This Row],[Residents Age &gt;=20]]</f>
        <v>0.23664203991035718</v>
      </c>
      <c r="AC374" s="10">
        <f>Table2[[#This Row],[Leave Votes]]/Table2[[#This Row],[Residents Age &gt;=20]]</f>
        <v>0.39566154473026732</v>
      </c>
    </row>
    <row r="375" spans="1:29" x14ac:dyDescent="0.45">
      <c r="A375" t="s">
        <v>830</v>
      </c>
      <c r="B375" t="s">
        <v>309</v>
      </c>
      <c r="C375" t="s">
        <v>310</v>
      </c>
      <c r="D375" s="1">
        <v>98768</v>
      </c>
      <c r="E375" s="1">
        <v>6359</v>
      </c>
      <c r="F375" s="1">
        <v>5572</v>
      </c>
      <c r="G375" s="1">
        <v>5445</v>
      </c>
      <c r="H375" s="1">
        <v>6575</v>
      </c>
      <c r="I375" s="1">
        <v>7417</v>
      </c>
      <c r="J375" s="1">
        <v>7080</v>
      </c>
      <c r="K375" s="1">
        <v>6939</v>
      </c>
      <c r="L375" s="1">
        <v>7028</v>
      </c>
      <c r="M375" s="1">
        <v>7463</v>
      </c>
      <c r="N375" s="1">
        <v>7248</v>
      </c>
      <c r="O375" s="1">
        <v>6029</v>
      </c>
      <c r="P375" s="1">
        <v>5444</v>
      </c>
      <c r="Q375" s="1">
        <v>5560</v>
      </c>
      <c r="R375" s="1">
        <v>4248</v>
      </c>
      <c r="S375" s="1">
        <v>3452</v>
      </c>
      <c r="T375" s="1">
        <v>2901</v>
      </c>
      <c r="U375" s="1">
        <v>2016</v>
      </c>
      <c r="V375" s="1">
        <v>1305</v>
      </c>
      <c r="W375">
        <v>687</v>
      </c>
      <c r="X375" s="9">
        <f>SUM(Table2[[#This Row],[Age 20 to 24]:[Age 90 and Over]])</f>
        <v>74817</v>
      </c>
      <c r="Y375" s="9">
        <f>_xlfn.XLOOKUP(Table2[[#This Row],[Area]],Referendum!E:E,Referendum!L:L,"")</f>
        <v>25125</v>
      </c>
      <c r="Z375" s="9">
        <f>_xlfn.XLOOKUP(Table2[[#This Row],[Area]],Referendum!E:E,Referendum!M:M,"")</f>
        <v>29114</v>
      </c>
      <c r="AA375" s="10">
        <f>(Table2[[#This Row],[Leave Votes]]+Table2[[#This Row],[Remain Votes]])/Table2[[#This Row],[Residents Age &gt;=20]]</f>
        <v>0.7249555582287448</v>
      </c>
      <c r="AB375" s="10">
        <f>Table2[[#This Row],[Remain Votes]]/Table2[[#This Row],[Residents Age &gt;=20]]</f>
        <v>0.33581939933437588</v>
      </c>
      <c r="AC375" s="10">
        <f>Table2[[#This Row],[Leave Votes]]/Table2[[#This Row],[Residents Age &gt;=20]]</f>
        <v>0.38913615889436892</v>
      </c>
    </row>
    <row r="376" spans="1:29" x14ac:dyDescent="0.45">
      <c r="A376" t="s">
        <v>830</v>
      </c>
      <c r="B376" t="s">
        <v>613</v>
      </c>
      <c r="C376" t="s">
        <v>614</v>
      </c>
      <c r="D376" s="1">
        <v>104640</v>
      </c>
      <c r="E376" s="1">
        <v>6346</v>
      </c>
      <c r="F376" s="1">
        <v>5559</v>
      </c>
      <c r="G376" s="1">
        <v>5584</v>
      </c>
      <c r="H376" s="1">
        <v>5659</v>
      </c>
      <c r="I376" s="1">
        <v>5497</v>
      </c>
      <c r="J376" s="1">
        <v>6013</v>
      </c>
      <c r="K376" s="1">
        <v>6415</v>
      </c>
      <c r="L376" s="1">
        <v>6938</v>
      </c>
      <c r="M376" s="1">
        <v>7933</v>
      </c>
      <c r="N376" s="1">
        <v>7919</v>
      </c>
      <c r="O376" s="1">
        <v>6775</v>
      </c>
      <c r="P376" s="1">
        <v>5852</v>
      </c>
      <c r="Q376" s="1">
        <v>6576</v>
      </c>
      <c r="R376" s="1">
        <v>5344</v>
      </c>
      <c r="S376" s="1">
        <v>4597</v>
      </c>
      <c r="T376" s="1">
        <v>3986</v>
      </c>
      <c r="U376" s="1">
        <v>3569</v>
      </c>
      <c r="V376" s="1">
        <v>2504</v>
      </c>
      <c r="W376" s="1">
        <v>1574</v>
      </c>
      <c r="X376" s="9">
        <f>SUM(Table2[[#This Row],[Age 20 to 24]:[Age 90 and Over]])</f>
        <v>81492</v>
      </c>
      <c r="Y376" s="9">
        <f>_xlfn.XLOOKUP(Table2[[#This Row],[Area]],Referendum!E:E,Referendum!L:L,"")</f>
        <v>28851</v>
      </c>
      <c r="Z376" s="9">
        <f>_xlfn.XLOOKUP(Table2[[#This Row],[Area]],Referendum!E:E,Referendum!M:M,"")</f>
        <v>32515</v>
      </c>
      <c r="AA376" s="10">
        <f>(Table2[[#This Row],[Leave Votes]]+Table2[[#This Row],[Remain Votes]])/Table2[[#This Row],[Residents Age &gt;=20]]</f>
        <v>0.75303097236538552</v>
      </c>
      <c r="AB376" s="10">
        <f>Table2[[#This Row],[Remain Votes]]/Table2[[#This Row],[Residents Age &gt;=20]]</f>
        <v>0.3540347518774849</v>
      </c>
      <c r="AC376" s="10">
        <f>Table2[[#This Row],[Leave Votes]]/Table2[[#This Row],[Residents Age &gt;=20]]</f>
        <v>0.39899622048790068</v>
      </c>
    </row>
    <row r="377" spans="1:29" x14ac:dyDescent="0.45">
      <c r="A377" t="s">
        <v>830</v>
      </c>
      <c r="B377" t="s">
        <v>773</v>
      </c>
      <c r="C377" t="s">
        <v>774</v>
      </c>
      <c r="D377" s="1">
        <v>134844</v>
      </c>
      <c r="E377" s="1">
        <v>8829</v>
      </c>
      <c r="F377" s="1">
        <v>7617</v>
      </c>
      <c r="G377" s="1">
        <v>7736</v>
      </c>
      <c r="H377" s="1">
        <v>8043</v>
      </c>
      <c r="I377" s="1">
        <v>8439</v>
      </c>
      <c r="J377" s="1">
        <v>8825</v>
      </c>
      <c r="K377" s="1">
        <v>8212</v>
      </c>
      <c r="L377" s="1">
        <v>8813</v>
      </c>
      <c r="M377" s="1">
        <v>9971</v>
      </c>
      <c r="N377" s="1">
        <v>9725</v>
      </c>
      <c r="O377" s="1">
        <v>8640</v>
      </c>
      <c r="P377" s="1">
        <v>8285</v>
      </c>
      <c r="Q377" s="1">
        <v>8858</v>
      </c>
      <c r="R377" s="1">
        <v>7126</v>
      </c>
      <c r="S377" s="1">
        <v>5390</v>
      </c>
      <c r="T377" s="1">
        <v>4256</v>
      </c>
      <c r="U377" s="1">
        <v>3202</v>
      </c>
      <c r="V377" s="1">
        <v>1858</v>
      </c>
      <c r="W377" s="1">
        <v>1019</v>
      </c>
      <c r="X377" s="9">
        <f>SUM(Table2[[#This Row],[Age 20 to 24]:[Age 90 and Over]])</f>
        <v>102619</v>
      </c>
      <c r="Y377" s="9">
        <f>_xlfn.XLOOKUP(Table2[[#This Row],[Area]],Referendum!E:E,Referendum!L:L,"")</f>
        <v>28822</v>
      </c>
      <c r="Z377" s="9">
        <f>_xlfn.XLOOKUP(Table2[[#This Row],[Area]],Referendum!E:E,Referendum!M:M,"")</f>
        <v>41544</v>
      </c>
      <c r="AA377" s="10">
        <f>(Table2[[#This Row],[Leave Votes]]+Table2[[#This Row],[Remain Votes]])/Table2[[#This Row],[Residents Age &gt;=20]]</f>
        <v>0.68570147828374861</v>
      </c>
      <c r="AB377" s="10">
        <f>Table2[[#This Row],[Remain Votes]]/Table2[[#This Row],[Residents Age &gt;=20]]</f>
        <v>0.28086416745437004</v>
      </c>
      <c r="AC377" s="10">
        <f>Table2[[#This Row],[Leave Votes]]/Table2[[#This Row],[Residents Age &gt;=20]]</f>
        <v>0.40483731082937857</v>
      </c>
    </row>
    <row r="378" spans="1:29" x14ac:dyDescent="0.45">
      <c r="A378" t="s">
        <v>830</v>
      </c>
      <c r="B378" t="s">
        <v>311</v>
      </c>
      <c r="C378" t="s">
        <v>312</v>
      </c>
      <c r="D378" s="1">
        <v>116944</v>
      </c>
      <c r="E378" s="1">
        <v>5743</v>
      </c>
      <c r="F378" s="1">
        <v>6021</v>
      </c>
      <c r="G378" s="1">
        <v>6679</v>
      </c>
      <c r="H378" s="1">
        <v>6719</v>
      </c>
      <c r="I378" s="1">
        <v>5361</v>
      </c>
      <c r="J378" s="1">
        <v>5368</v>
      </c>
      <c r="K378" s="1">
        <v>5455</v>
      </c>
      <c r="L378" s="1">
        <v>6872</v>
      </c>
      <c r="M378" s="1">
        <v>8866</v>
      </c>
      <c r="N378" s="1">
        <v>9340</v>
      </c>
      <c r="O378" s="1">
        <v>8323</v>
      </c>
      <c r="P378" s="1">
        <v>8088</v>
      </c>
      <c r="Q378" s="1">
        <v>9094</v>
      </c>
      <c r="R378" s="1">
        <v>7491</v>
      </c>
      <c r="S378" s="1">
        <v>5966</v>
      </c>
      <c r="T378" s="1">
        <v>4603</v>
      </c>
      <c r="U378" s="1">
        <v>3529</v>
      </c>
      <c r="V378" s="1">
        <v>2244</v>
      </c>
      <c r="W378" s="1">
        <v>1182</v>
      </c>
      <c r="X378" s="9">
        <f>SUM(Table2[[#This Row],[Age 20 to 24]:[Age 90 and Over]])</f>
        <v>91782</v>
      </c>
      <c r="Y378" s="9">
        <f>_xlfn.XLOOKUP(Table2[[#This Row],[Area]],Referendum!E:E,Referendum!L:L,"")</f>
        <v>32188</v>
      </c>
      <c r="Z378" s="9">
        <f>_xlfn.XLOOKUP(Table2[[#This Row],[Area]],Referendum!E:E,Referendum!M:M,"")</f>
        <v>44201</v>
      </c>
      <c r="AA378" s="10">
        <f>(Table2[[#This Row],[Leave Votes]]+Table2[[#This Row],[Remain Votes]])/Table2[[#This Row],[Residents Age &gt;=20]]</f>
        <v>0.8322873766097928</v>
      </c>
      <c r="AB378" s="10">
        <f>Table2[[#This Row],[Remain Votes]]/Table2[[#This Row],[Residents Age &gt;=20]]</f>
        <v>0.35070057309712144</v>
      </c>
      <c r="AC378" s="10">
        <f>Table2[[#This Row],[Leave Votes]]/Table2[[#This Row],[Residents Age &gt;=20]]</f>
        <v>0.48158680351267136</v>
      </c>
    </row>
    <row r="379" spans="1:29" x14ac:dyDescent="0.45">
      <c r="A379" t="s">
        <v>830</v>
      </c>
      <c r="B379" t="s">
        <v>511</v>
      </c>
      <c r="C379" t="s">
        <v>512</v>
      </c>
      <c r="D379" s="1">
        <v>171644</v>
      </c>
      <c r="E379" s="1">
        <v>11083</v>
      </c>
      <c r="F379" s="1">
        <v>10718</v>
      </c>
      <c r="G379" s="1">
        <v>10856</v>
      </c>
      <c r="H379" s="1">
        <v>10828</v>
      </c>
      <c r="I379" s="1">
        <v>10404</v>
      </c>
      <c r="J379" s="1">
        <v>10615</v>
      </c>
      <c r="K379" s="1">
        <v>11127</v>
      </c>
      <c r="L379" s="1">
        <v>11989</v>
      </c>
      <c r="M379" s="1">
        <v>13274</v>
      </c>
      <c r="N379" s="1">
        <v>12770</v>
      </c>
      <c r="O379" s="1">
        <v>10900</v>
      </c>
      <c r="P379" s="1">
        <v>9930</v>
      </c>
      <c r="Q379" s="1">
        <v>9954</v>
      </c>
      <c r="R379" s="1">
        <v>8192</v>
      </c>
      <c r="S379" s="1">
        <v>6405</v>
      </c>
      <c r="T379" s="1">
        <v>5358</v>
      </c>
      <c r="U379" s="1">
        <v>3796</v>
      </c>
      <c r="V379" s="1">
        <v>2245</v>
      </c>
      <c r="W379" s="1">
        <v>1200</v>
      </c>
      <c r="X379" s="9">
        <f>SUM(Table2[[#This Row],[Age 20 to 24]:[Age 90 and Over]])</f>
        <v>128159</v>
      </c>
      <c r="Y379" s="9">
        <f>_xlfn.XLOOKUP(Table2[[#This Row],[Area]],Referendum!E:E,Referendum!L:L,"")</f>
        <v>49261</v>
      </c>
      <c r="Z379" s="9">
        <f>_xlfn.XLOOKUP(Table2[[#This Row],[Area]],Referendum!E:E,Referendum!M:M,"")</f>
        <v>45529</v>
      </c>
      <c r="AA379" s="10">
        <f>(Table2[[#This Row],[Leave Votes]]+Table2[[#This Row],[Remain Votes]])/Table2[[#This Row],[Residents Age &gt;=20]]</f>
        <v>0.73962811819692731</v>
      </c>
      <c r="AB379" s="10">
        <f>Table2[[#This Row],[Remain Votes]]/Table2[[#This Row],[Residents Age &gt;=20]]</f>
        <v>0.38437409780038856</v>
      </c>
      <c r="AC379" s="10">
        <f>Table2[[#This Row],[Leave Votes]]/Table2[[#This Row],[Residents Age &gt;=20]]</f>
        <v>0.35525402039653869</v>
      </c>
    </row>
    <row r="380" spans="1:29" x14ac:dyDescent="0.45">
      <c r="A380" t="s">
        <v>830</v>
      </c>
      <c r="B380" t="s">
        <v>125</v>
      </c>
      <c r="C380" t="s">
        <v>126</v>
      </c>
      <c r="D380" s="1">
        <v>107749</v>
      </c>
      <c r="E380" s="1">
        <v>5046</v>
      </c>
      <c r="F380" s="1">
        <v>5164</v>
      </c>
      <c r="G380" s="1">
        <v>5788</v>
      </c>
      <c r="H380" s="1">
        <v>6563</v>
      </c>
      <c r="I380" s="1">
        <v>5387</v>
      </c>
      <c r="J380" s="1">
        <v>4869</v>
      </c>
      <c r="K380" s="1">
        <v>4794</v>
      </c>
      <c r="L380" s="1">
        <v>5500</v>
      </c>
      <c r="M380" s="1">
        <v>7422</v>
      </c>
      <c r="N380" s="1">
        <v>7968</v>
      </c>
      <c r="O380" s="1">
        <v>7505</v>
      </c>
      <c r="P380" s="1">
        <v>6956</v>
      </c>
      <c r="Q380" s="1">
        <v>8162</v>
      </c>
      <c r="R380" s="1">
        <v>7347</v>
      </c>
      <c r="S380" s="1">
        <v>6474</v>
      </c>
      <c r="T380" s="1">
        <v>5207</v>
      </c>
      <c r="U380" s="1">
        <v>4021</v>
      </c>
      <c r="V380" s="1">
        <v>2429</v>
      </c>
      <c r="W380" s="1">
        <v>1147</v>
      </c>
      <c r="X380" s="9">
        <f>SUM(Table2[[#This Row],[Age 20 to 24]:[Age 90 and Over]])</f>
        <v>85188</v>
      </c>
      <c r="Y380" s="9">
        <f>_xlfn.XLOOKUP(Table2[[#This Row],[Area]],Referendum!E:E,Referendum!L:L,"")</f>
        <v>22816</v>
      </c>
      <c r="Z380" s="9">
        <f>_xlfn.XLOOKUP(Table2[[#This Row],[Area]],Referendum!E:E,Referendum!M:M,"")</f>
        <v>40163</v>
      </c>
      <c r="AA380" s="10">
        <f>(Table2[[#This Row],[Leave Votes]]+Table2[[#This Row],[Remain Votes]])/Table2[[#This Row],[Residents Age &gt;=20]]</f>
        <v>0.73929426679814059</v>
      </c>
      <c r="AB380" s="10">
        <f>Table2[[#This Row],[Remain Votes]]/Table2[[#This Row],[Residents Age &gt;=20]]</f>
        <v>0.26783114992721979</v>
      </c>
      <c r="AC380" s="10">
        <f>Table2[[#This Row],[Leave Votes]]/Table2[[#This Row],[Residents Age &gt;=20]]</f>
        <v>0.4714631168709208</v>
      </c>
    </row>
    <row r="381" spans="1:29" x14ac:dyDescent="0.45">
      <c r="A381" t="s">
        <v>830</v>
      </c>
      <c r="B381" t="s">
        <v>313</v>
      </c>
      <c r="C381" t="s">
        <v>314</v>
      </c>
      <c r="D381" s="1">
        <v>97975</v>
      </c>
      <c r="E381" s="1">
        <v>5256</v>
      </c>
      <c r="F381" s="1">
        <v>4971</v>
      </c>
      <c r="G381" s="1">
        <v>5416</v>
      </c>
      <c r="H381" s="1">
        <v>5534</v>
      </c>
      <c r="I381" s="1">
        <v>5142</v>
      </c>
      <c r="J381" s="1">
        <v>5271</v>
      </c>
      <c r="K381" s="1">
        <v>5071</v>
      </c>
      <c r="L381" s="1">
        <v>6061</v>
      </c>
      <c r="M381" s="1">
        <v>7351</v>
      </c>
      <c r="N381" s="1">
        <v>7129</v>
      </c>
      <c r="O381" s="1">
        <v>6161</v>
      </c>
      <c r="P381" s="1">
        <v>6345</v>
      </c>
      <c r="Q381" s="1">
        <v>7804</v>
      </c>
      <c r="R381" s="1">
        <v>6692</v>
      </c>
      <c r="S381" s="1">
        <v>4912</v>
      </c>
      <c r="T381" s="1">
        <v>3718</v>
      </c>
      <c r="U381" s="1">
        <v>2634</v>
      </c>
      <c r="V381" s="1">
        <v>1673</v>
      </c>
      <c r="W381">
        <v>834</v>
      </c>
      <c r="X381" s="9">
        <f>SUM(Table2[[#This Row],[Age 20 to 24]:[Age 90 and Over]])</f>
        <v>76798</v>
      </c>
      <c r="Y381" s="9">
        <f>_xlfn.XLOOKUP(Table2[[#This Row],[Area]],Referendum!E:E,Referendum!L:L,"")</f>
        <v>21240</v>
      </c>
      <c r="Z381" s="9">
        <f>_xlfn.XLOOKUP(Table2[[#This Row],[Area]],Referendum!E:E,Referendum!M:M,"")</f>
        <v>36392</v>
      </c>
      <c r="AA381" s="10">
        <f>(Table2[[#This Row],[Leave Votes]]+Table2[[#This Row],[Remain Votes]])/Table2[[#This Row],[Residents Age &gt;=20]]</f>
        <v>0.75043620927628318</v>
      </c>
      <c r="AB381" s="10">
        <f>Table2[[#This Row],[Remain Votes]]/Table2[[#This Row],[Residents Age &gt;=20]]</f>
        <v>0.27656970233599831</v>
      </c>
      <c r="AC381" s="10">
        <f>Table2[[#This Row],[Leave Votes]]/Table2[[#This Row],[Residents Age &gt;=20]]</f>
        <v>0.47386650694028493</v>
      </c>
    </row>
    <row r="382" spans="1:29" x14ac:dyDescent="0.45">
      <c r="A382" t="s">
        <v>830</v>
      </c>
      <c r="B382" t="s">
        <v>155</v>
      </c>
      <c r="C382" t="s">
        <v>156</v>
      </c>
      <c r="D382" s="1">
        <v>198051</v>
      </c>
      <c r="E382" s="1">
        <v>10677</v>
      </c>
      <c r="F382" s="1">
        <v>9348</v>
      </c>
      <c r="G382" s="1">
        <v>9712</v>
      </c>
      <c r="H382" s="1">
        <v>14097</v>
      </c>
      <c r="I382" s="1">
        <v>19746</v>
      </c>
      <c r="J382" s="1">
        <v>14159</v>
      </c>
      <c r="K382" s="1">
        <v>12552</v>
      </c>
      <c r="L382" s="1">
        <v>12510</v>
      </c>
      <c r="M382" s="1">
        <v>13756</v>
      </c>
      <c r="N382" s="1">
        <v>13697</v>
      </c>
      <c r="O382" s="1">
        <v>12017</v>
      </c>
      <c r="P382" s="1">
        <v>10649</v>
      </c>
      <c r="Q382" s="1">
        <v>11716</v>
      </c>
      <c r="R382" s="1">
        <v>9122</v>
      </c>
      <c r="S382" s="1">
        <v>7807</v>
      </c>
      <c r="T382" s="1">
        <v>6589</v>
      </c>
      <c r="U382" s="1">
        <v>5040</v>
      </c>
      <c r="V382" s="1">
        <v>3200</v>
      </c>
      <c r="W382" s="1">
        <v>1657</v>
      </c>
      <c r="X382" s="9">
        <f>SUM(Table2[[#This Row],[Age 20 to 24]:[Age 90 and Over]])</f>
        <v>154217</v>
      </c>
      <c r="Y382" s="9">
        <f>_xlfn.XLOOKUP(Table2[[#This Row],[Area]],Referendum!E:E,Referendum!L:L,"")</f>
        <v>63617</v>
      </c>
      <c r="Z382" s="9">
        <f>_xlfn.XLOOKUP(Table2[[#This Row],[Area]],Referendum!E:E,Referendum!M:M,"")</f>
        <v>45983</v>
      </c>
      <c r="AA382" s="10">
        <f>(Table2[[#This Row],[Leave Votes]]+Table2[[#This Row],[Remain Votes]])/Table2[[#This Row],[Residents Age &gt;=20]]</f>
        <v>0.71068688925345458</v>
      </c>
      <c r="AB382" s="10">
        <f>Table2[[#This Row],[Remain Votes]]/Table2[[#This Row],[Residents Age &gt;=20]]</f>
        <v>0.41251612986895092</v>
      </c>
      <c r="AC382" s="10">
        <f>Table2[[#This Row],[Leave Votes]]/Table2[[#This Row],[Residents Age &gt;=20]]</f>
        <v>0.29817075938450366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Analysis</vt:lpstr>
      <vt:lpstr>Referendum</vt:lpstr>
      <vt:lpstr>Census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Yetunde Adesalu</cp:lastModifiedBy>
  <cp:revision/>
  <dcterms:created xsi:type="dcterms:W3CDTF">2022-01-27T11:05:55Z</dcterms:created>
  <dcterms:modified xsi:type="dcterms:W3CDTF">2022-02-01T17:32:04Z</dcterms:modified>
  <cp:category/>
  <cp:contentStatus/>
</cp:coreProperties>
</file>