
<file path=[Content_Types].xml><?xml version="1.0" encoding="utf-8"?>
<Types xmlns="http://schemas.openxmlformats.org/package/2006/content-types"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0"/>
  <workbookPr autoCompressPictures="0"/>
  <mc:AlternateContent xmlns:mc="http://schemas.openxmlformats.org/markup-compatibility/2006">
    <mc:Choice Requires="x15">
      <x15ac:absPath xmlns:x15ac="http://schemas.microsoft.com/office/spreadsheetml/2010/11/ac" url="/Users/yeyuejin/Desktop/"/>
    </mc:Choice>
  </mc:AlternateContent>
  <xr:revisionPtr revIDLastSave="0" documentId="13_ncr:1_{9D6B9960-F525-EE44-AFB3-0A9B509D7C4A}" xr6:coauthVersionLast="47" xr6:coauthVersionMax="47" xr10:uidLastSave="{00000000-0000-0000-0000-000000000000}"/>
  <bookViews>
    <workbookView xWindow="-21480" yWindow="-13360" windowWidth="21400" windowHeight="16140" activeTab="1" xr2:uid="{00000000-000D-0000-FFFF-FFFF00000000}"/>
  </bookViews>
  <sheets>
    <sheet name="规模扩展" sheetId="1" r:id="rId1"/>
    <sheet name="Sheet1" sheetId="3" r:id="rId2"/>
    <sheet name="optimize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8" i="3" l="1"/>
  <c r="G38" i="3"/>
  <c r="I5" i="3"/>
  <c r="I4" i="3"/>
  <c r="H38" i="3"/>
  <c r="D38" i="3"/>
  <c r="C4" i="3"/>
  <c r="H4" i="3"/>
  <c r="D3" i="3"/>
  <c r="C3" i="3"/>
  <c r="H34" i="3"/>
  <c r="G34" i="3"/>
  <c r="I34" i="3" s="1"/>
  <c r="D21" i="3"/>
  <c r="C21" i="3"/>
  <c r="D34" i="3"/>
  <c r="C34" i="3"/>
  <c r="F30" i="3"/>
  <c r="E30" i="3"/>
  <c r="I33" i="3"/>
  <c r="H32" i="3"/>
  <c r="G32" i="3"/>
  <c r="H6" i="3"/>
  <c r="J7" i="3"/>
  <c r="I7" i="3"/>
  <c r="H7" i="3"/>
  <c r="G7" i="3"/>
  <c r="F7" i="3"/>
  <c r="F6" i="3"/>
  <c r="C7" i="3"/>
  <c r="D7" i="3"/>
  <c r="A7" i="3"/>
  <c r="J3" i="3"/>
  <c r="N10" i="3"/>
  <c r="N9" i="3"/>
  <c r="N8" i="3"/>
  <c r="N6" i="3"/>
  <c r="N5" i="3"/>
  <c r="N4" i="3"/>
  <c r="N3" i="3"/>
  <c r="N2" i="3"/>
  <c r="I21" i="3"/>
  <c r="H21" i="3"/>
  <c r="G21" i="3"/>
  <c r="E21" i="3"/>
  <c r="F21" i="3" s="1"/>
  <c r="A21" i="3"/>
  <c r="I20" i="3"/>
  <c r="H20" i="3"/>
  <c r="G20" i="3"/>
  <c r="J20" i="3" s="1"/>
  <c r="L10" i="3" s="1"/>
  <c r="A31" i="3" s="1"/>
  <c r="E20" i="3"/>
  <c r="F20" i="3" s="1"/>
  <c r="D20" i="3"/>
  <c r="C20" i="3"/>
  <c r="I19" i="3"/>
  <c r="H19" i="3"/>
  <c r="G19" i="3"/>
  <c r="J19" i="3" s="1"/>
  <c r="L9" i="3" s="1"/>
  <c r="A30" i="3" s="1"/>
  <c r="F19" i="3"/>
  <c r="E19" i="3"/>
  <c r="D19" i="3"/>
  <c r="C19" i="3"/>
  <c r="A19" i="3" s="1"/>
  <c r="M9" i="3" s="1"/>
  <c r="I18" i="3"/>
  <c r="H18" i="3"/>
  <c r="G18" i="3"/>
  <c r="J18" i="3" s="1"/>
  <c r="L8" i="3" s="1"/>
  <c r="A29" i="3" s="1"/>
  <c r="E18" i="3"/>
  <c r="F18" i="3" s="1"/>
  <c r="D18" i="3"/>
  <c r="C18" i="3"/>
  <c r="A18" i="3" s="1"/>
  <c r="M8" i="3" s="1"/>
  <c r="I17" i="3"/>
  <c r="H17" i="3"/>
  <c r="G17" i="3"/>
  <c r="J17" i="3" s="1"/>
  <c r="E17" i="3"/>
  <c r="F17" i="3" s="1"/>
  <c r="D17" i="3"/>
  <c r="C17" i="3"/>
  <c r="I16" i="3"/>
  <c r="H16" i="3"/>
  <c r="G16" i="3"/>
  <c r="J16" i="3" s="1"/>
  <c r="L6" i="3" s="1"/>
  <c r="A28" i="3" s="1"/>
  <c r="E16" i="3"/>
  <c r="F16" i="3" s="1"/>
  <c r="D16" i="3"/>
  <c r="C16" i="3"/>
  <c r="I15" i="3"/>
  <c r="H15" i="3"/>
  <c r="G15" i="3"/>
  <c r="J15" i="3" s="1"/>
  <c r="E15" i="3"/>
  <c r="F15" i="3" s="1"/>
  <c r="D15" i="3"/>
  <c r="C15" i="3"/>
  <c r="I14" i="3"/>
  <c r="H14" i="3"/>
  <c r="G14" i="3"/>
  <c r="J14" i="3" s="1"/>
  <c r="E14" i="3"/>
  <c r="F14" i="3" s="1"/>
  <c r="D14" i="3"/>
  <c r="C14" i="3"/>
  <c r="A14" i="3" s="1"/>
  <c r="I13" i="3"/>
  <c r="H13" i="3"/>
  <c r="G13" i="3"/>
  <c r="J13" i="3" s="1"/>
  <c r="L5" i="3" s="1"/>
  <c r="A27" i="3" s="1"/>
  <c r="E13" i="3"/>
  <c r="F13" i="3" s="1"/>
  <c r="D13" i="3"/>
  <c r="C13" i="3"/>
  <c r="I12" i="3"/>
  <c r="H12" i="3"/>
  <c r="G12" i="3"/>
  <c r="J12" i="3" s="1"/>
  <c r="E12" i="3"/>
  <c r="F12" i="3" s="1"/>
  <c r="D12" i="3"/>
  <c r="C12" i="3"/>
  <c r="I11" i="3"/>
  <c r="H11" i="3"/>
  <c r="G11" i="3"/>
  <c r="J11" i="3" s="1"/>
  <c r="L4" i="3" s="1"/>
  <c r="A26" i="3" s="1"/>
  <c r="F11" i="3"/>
  <c r="E11" i="3"/>
  <c r="D11" i="3"/>
  <c r="C11" i="3"/>
  <c r="I10" i="3"/>
  <c r="H10" i="3"/>
  <c r="G10" i="3"/>
  <c r="J10" i="3" s="1"/>
  <c r="E10" i="3"/>
  <c r="F10" i="3" s="1"/>
  <c r="D10" i="3"/>
  <c r="C10" i="3"/>
  <c r="A10" i="3" s="1"/>
  <c r="I9" i="3"/>
  <c r="H9" i="3"/>
  <c r="G9" i="3"/>
  <c r="J9" i="3" s="1"/>
  <c r="E9" i="3"/>
  <c r="F9" i="3" s="1"/>
  <c r="D9" i="3"/>
  <c r="C9" i="3"/>
  <c r="I8" i="3"/>
  <c r="H8" i="3"/>
  <c r="G8" i="3"/>
  <c r="J8" i="3" s="1"/>
  <c r="L3" i="3" s="1"/>
  <c r="A25" i="3" s="1"/>
  <c r="F8" i="3"/>
  <c r="E8" i="3"/>
  <c r="D8" i="3"/>
  <c r="C8" i="3"/>
  <c r="I6" i="3"/>
  <c r="G6" i="3"/>
  <c r="J6" i="3" s="1"/>
  <c r="L2" i="3" s="1"/>
  <c r="A24" i="3" s="1"/>
  <c r="E6" i="3"/>
  <c r="D6" i="3"/>
  <c r="C6" i="3"/>
  <c r="A6" i="3" s="1"/>
  <c r="M2" i="3" s="1"/>
  <c r="H5" i="3"/>
  <c r="G5" i="3"/>
  <c r="J5" i="3" s="1"/>
  <c r="F5" i="3"/>
  <c r="D5" i="3"/>
  <c r="C5" i="3"/>
  <c r="G4" i="3"/>
  <c r="J4" i="3" s="1"/>
  <c r="E4" i="3"/>
  <c r="F4" i="3" s="1"/>
  <c r="D4" i="3"/>
  <c r="A4" i="3"/>
  <c r="F3" i="3"/>
  <c r="A3" i="3"/>
  <c r="D4" i="1"/>
  <c r="C4" i="1"/>
  <c r="C222" i="1"/>
  <c r="C216" i="1"/>
  <c r="C217" i="1"/>
  <c r="C218" i="1"/>
  <c r="C219" i="1"/>
  <c r="C220" i="1"/>
  <c r="C221" i="1"/>
  <c r="C215" i="1"/>
  <c r="B222" i="1"/>
  <c r="B216" i="1"/>
  <c r="B217" i="1"/>
  <c r="B218" i="1"/>
  <c r="B219" i="1"/>
  <c r="B220" i="1"/>
  <c r="B221" i="1"/>
  <c r="B215" i="1"/>
  <c r="A216" i="1"/>
  <c r="A217" i="1"/>
  <c r="A218" i="1"/>
  <c r="A219" i="1"/>
  <c r="A220" i="1"/>
  <c r="A221" i="1"/>
  <c r="A222" i="1"/>
  <c r="A215" i="1"/>
  <c r="C207" i="1"/>
  <c r="C208" i="1"/>
  <c r="C209" i="1"/>
  <c r="C210" i="1"/>
  <c r="C211" i="1"/>
  <c r="C212" i="1"/>
  <c r="C206" i="1"/>
  <c r="C205" i="1"/>
  <c r="F192" i="1"/>
  <c r="A206" i="1"/>
  <c r="A207" i="1"/>
  <c r="A208" i="1"/>
  <c r="A209" i="1"/>
  <c r="A210" i="1"/>
  <c r="A211" i="1"/>
  <c r="A212" i="1"/>
  <c r="A205" i="1"/>
  <c r="A195" i="1"/>
  <c r="C202" i="1"/>
  <c r="C201" i="1"/>
  <c r="C200" i="1"/>
  <c r="C199" i="1"/>
  <c r="C198" i="1"/>
  <c r="C197" i="1"/>
  <c r="C196" i="1"/>
  <c r="C195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193" i="1"/>
  <c r="B202" i="1"/>
  <c r="B201" i="1"/>
  <c r="B200" i="1"/>
  <c r="B199" i="1"/>
  <c r="B198" i="1"/>
  <c r="B197" i="1"/>
  <c r="B196" i="1"/>
  <c r="B195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193" i="1"/>
  <c r="F8" i="1"/>
  <c r="F7" i="1"/>
  <c r="F193" i="1"/>
  <c r="A7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194" i="1"/>
  <c r="A8" i="1"/>
  <c r="A196" i="1"/>
  <c r="A197" i="1"/>
  <c r="A198" i="1"/>
  <c r="A199" i="1"/>
  <c r="A200" i="1"/>
  <c r="A201" i="1"/>
  <c r="A202" i="1"/>
  <c r="I6" i="1"/>
  <c r="H6" i="1"/>
  <c r="G6" i="1"/>
  <c r="F6" i="1"/>
  <c r="F5" i="1"/>
  <c r="D6" i="1"/>
  <c r="C6" i="1"/>
  <c r="C8" i="1"/>
  <c r="D7" i="1"/>
  <c r="C7" i="1"/>
  <c r="A6" i="1"/>
  <c r="C186" i="1"/>
  <c r="D186" i="1" s="1"/>
  <c r="C193" i="1"/>
  <c r="D193" i="1" s="1"/>
  <c r="C192" i="1"/>
  <c r="D192" i="1" s="1"/>
  <c r="C191" i="1"/>
  <c r="D191" i="1" s="1"/>
  <c r="C190" i="1"/>
  <c r="D190" i="1" s="1"/>
  <c r="C189" i="1"/>
  <c r="D189" i="1" s="1"/>
  <c r="C188" i="1"/>
  <c r="D188" i="1" s="1"/>
  <c r="C187" i="1"/>
  <c r="D187" i="1" s="1"/>
  <c r="E181" i="1"/>
  <c r="C21" i="1"/>
  <c r="D21" i="1"/>
  <c r="E21" i="1"/>
  <c r="F21" i="1" s="1"/>
  <c r="G21" i="1"/>
  <c r="H21" i="1"/>
  <c r="I21" i="1"/>
  <c r="C175" i="1"/>
  <c r="C176" i="1"/>
  <c r="C177" i="1"/>
  <c r="C178" i="1"/>
  <c r="C179" i="1"/>
  <c r="C180" i="1"/>
  <c r="C181" i="1"/>
  <c r="B174" i="1" s="1"/>
  <c r="C109" i="1"/>
  <c r="D41" i="2"/>
  <c r="D42" i="2"/>
  <c r="E34" i="2"/>
  <c r="E35" i="2"/>
  <c r="E36" i="2"/>
  <c r="B35" i="2"/>
  <c r="B36" i="2"/>
  <c r="B34" i="2"/>
  <c r="E33" i="2"/>
  <c r="D33" i="2"/>
  <c r="E26" i="2"/>
  <c r="E27" i="2"/>
  <c r="E28" i="2"/>
  <c r="E25" i="2"/>
  <c r="C26" i="2"/>
  <c r="C27" i="2"/>
  <c r="C28" i="2"/>
  <c r="C25" i="2"/>
  <c r="D24" i="2"/>
  <c r="B7" i="2"/>
  <c r="B6" i="2"/>
  <c r="B5" i="2"/>
  <c r="B4" i="2"/>
  <c r="B3" i="2"/>
  <c r="C132" i="1"/>
  <c r="C133" i="1"/>
  <c r="C131" i="1"/>
  <c r="C103" i="1"/>
  <c r="D103" i="1" s="1"/>
  <c r="C104" i="1"/>
  <c r="D104" i="1" s="1"/>
  <c r="C105" i="1"/>
  <c r="D105" i="1" s="1"/>
  <c r="C106" i="1"/>
  <c r="D106" i="1" s="1"/>
  <c r="C107" i="1"/>
  <c r="D107" i="1" s="1"/>
  <c r="C108" i="1"/>
  <c r="D108" i="1" s="1"/>
  <c r="D109" i="1"/>
  <c r="C102" i="1"/>
  <c r="D102" i="1" s="1"/>
  <c r="C82" i="1"/>
  <c r="E82" i="1" s="1"/>
  <c r="C81" i="1"/>
  <c r="E81" i="1" s="1"/>
  <c r="C80" i="1"/>
  <c r="E80" i="1" s="1"/>
  <c r="C79" i="1"/>
  <c r="E79" i="1" s="1"/>
  <c r="C78" i="1"/>
  <c r="E78" i="1" s="1"/>
  <c r="C77" i="1"/>
  <c r="E77" i="1" s="1"/>
  <c r="C71" i="1"/>
  <c r="E71" i="1" s="1"/>
  <c r="C70" i="1"/>
  <c r="E70" i="1" s="1"/>
  <c r="C69" i="1"/>
  <c r="E69" i="1" s="1"/>
  <c r="C68" i="1"/>
  <c r="E68" i="1" s="1"/>
  <c r="C67" i="1"/>
  <c r="E67" i="1" s="1"/>
  <c r="C66" i="1"/>
  <c r="E66" i="1" s="1"/>
  <c r="C65" i="1"/>
  <c r="E65" i="1" s="1"/>
  <c r="F29" i="1"/>
  <c r="H29" i="1"/>
  <c r="H25" i="1"/>
  <c r="C57" i="1"/>
  <c r="E57" i="1" s="1"/>
  <c r="E53" i="1"/>
  <c r="C60" i="1"/>
  <c r="F32" i="1"/>
  <c r="F31" i="1"/>
  <c r="H31" i="1" s="1"/>
  <c r="F30" i="1"/>
  <c r="H30" i="1" s="1"/>
  <c r="F28" i="1"/>
  <c r="H28" i="1" s="1"/>
  <c r="F26" i="1"/>
  <c r="H26" i="1" s="1"/>
  <c r="F27" i="1"/>
  <c r="H27" i="1" s="1"/>
  <c r="D60" i="1"/>
  <c r="G32" i="1"/>
  <c r="C59" i="1"/>
  <c r="E59" i="1" s="1"/>
  <c r="C58" i="1"/>
  <c r="E58" i="1" s="1"/>
  <c r="C56" i="1"/>
  <c r="E56" i="1" s="1"/>
  <c r="C55" i="1"/>
  <c r="E55" i="1" s="1"/>
  <c r="C54" i="1"/>
  <c r="E54" i="1" s="1"/>
  <c r="D30" i="1"/>
  <c r="D5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G20" i="1"/>
  <c r="E20" i="1"/>
  <c r="F20" i="1" s="1"/>
  <c r="C20" i="1"/>
  <c r="A20" i="1" s="1"/>
  <c r="H20" i="1"/>
  <c r="I20" i="1"/>
  <c r="B22" i="1"/>
  <c r="C18" i="1"/>
  <c r="A18" i="1" s="1"/>
  <c r="G14" i="1"/>
  <c r="G17" i="1"/>
  <c r="E60" i="1"/>
  <c r="C10" i="1"/>
  <c r="A10" i="1" s="1"/>
  <c r="E10" i="1"/>
  <c r="F10" i="1" s="1"/>
  <c r="G10" i="1"/>
  <c r="H10" i="1"/>
  <c r="I10" i="1"/>
  <c r="F4" i="1"/>
  <c r="E7" i="1"/>
  <c r="E8" i="1"/>
  <c r="E9" i="1"/>
  <c r="F9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5" i="1"/>
  <c r="I19" i="1"/>
  <c r="H19" i="1"/>
  <c r="G19" i="1"/>
  <c r="C19" i="1"/>
  <c r="I18" i="1"/>
  <c r="H18" i="1"/>
  <c r="G18" i="1"/>
  <c r="I17" i="1"/>
  <c r="H17" i="1"/>
  <c r="C17" i="1"/>
  <c r="A17" i="1" s="1"/>
  <c r="I16" i="1"/>
  <c r="H16" i="1"/>
  <c r="G16" i="1"/>
  <c r="C16" i="1"/>
  <c r="A16" i="1" s="1"/>
  <c r="I15" i="1"/>
  <c r="H15" i="1"/>
  <c r="G15" i="1"/>
  <c r="C15" i="1"/>
  <c r="I14" i="1"/>
  <c r="H14" i="1"/>
  <c r="C14" i="1"/>
  <c r="A14" i="1" s="1"/>
  <c r="I13" i="1"/>
  <c r="H13" i="1"/>
  <c r="G13" i="1"/>
  <c r="C13" i="1"/>
  <c r="A13" i="1" s="1"/>
  <c r="I12" i="1"/>
  <c r="H12" i="1"/>
  <c r="G12" i="1"/>
  <c r="C12" i="1"/>
  <c r="A12" i="1" s="1"/>
  <c r="I11" i="1"/>
  <c r="H11" i="1"/>
  <c r="G11" i="1"/>
  <c r="C11" i="1"/>
  <c r="A11" i="1" s="1"/>
  <c r="I9" i="1"/>
  <c r="H9" i="1"/>
  <c r="G9" i="1"/>
  <c r="C9" i="1"/>
  <c r="A9" i="1" s="1"/>
  <c r="I8" i="1"/>
  <c r="H8" i="1"/>
  <c r="G8" i="1"/>
  <c r="I7" i="1"/>
  <c r="H7" i="1"/>
  <c r="G7" i="1"/>
  <c r="I5" i="1"/>
  <c r="H5" i="1"/>
  <c r="G5" i="1"/>
  <c r="C5" i="1"/>
  <c r="A5" i="1" s="1"/>
  <c r="A4" i="1"/>
  <c r="A15" i="3" l="1"/>
  <c r="A11" i="3"/>
  <c r="M4" i="3" s="1"/>
  <c r="A9" i="3"/>
  <c r="A13" i="3"/>
  <c r="M5" i="3" s="1"/>
  <c r="A17" i="3"/>
  <c r="A8" i="3"/>
  <c r="M3" i="3" s="1"/>
  <c r="A12" i="3"/>
  <c r="A16" i="3"/>
  <c r="M6" i="3" s="1"/>
  <c r="A20" i="3"/>
  <c r="M10" i="3" s="1"/>
  <c r="A5" i="3"/>
  <c r="H32" i="1"/>
  <c r="A19" i="1"/>
  <c r="A21" i="1"/>
  <c r="A15" i="1"/>
  <c r="B179" i="1"/>
  <c r="E179" i="1" s="1"/>
  <c r="B175" i="1"/>
  <c r="E175" i="1" s="1"/>
  <c r="B180" i="1"/>
  <c r="E180" i="1" s="1"/>
  <c r="B178" i="1"/>
  <c r="E178" i="1" s="1"/>
  <c r="B176" i="1"/>
  <c r="E176" i="1" s="1"/>
  <c r="B177" i="1"/>
  <c r="E177" i="1" s="1"/>
  <c r="E174" i="1"/>
</calcChain>
</file>

<file path=xl/sharedStrings.xml><?xml version="1.0" encoding="utf-8"?>
<sst xmlns="http://schemas.openxmlformats.org/spreadsheetml/2006/main" count="180" uniqueCount="133">
  <si>
    <t>nn_GYRE</t>
  </si>
  <si>
    <t>jpiglo</t>
  </si>
  <si>
    <t>jpjglo</t>
  </si>
  <si>
    <t>mpp</t>
  </si>
  <si>
    <t>jpni</t>
  </si>
  <si>
    <t>jpnj</t>
  </si>
  <si>
    <t>resolution/°</t>
    <phoneticPr fontId="2" type="noConversion"/>
  </si>
  <si>
    <t>scale/km</t>
    <phoneticPr fontId="2" type="noConversion"/>
  </si>
  <si>
    <t>stp_time</t>
    <phoneticPr fontId="2" type="noConversion"/>
  </si>
  <si>
    <t>sum_time</t>
    <phoneticPr fontId="2" type="noConversion"/>
  </si>
  <si>
    <t>last_time</t>
    <phoneticPr fontId="2" type="noConversion"/>
  </si>
  <si>
    <t>no_dispatch</t>
    <phoneticPr fontId="2" type="noConversion"/>
  </si>
  <si>
    <t>dispatch</t>
    <phoneticPr fontId="2" type="noConversion"/>
  </si>
  <si>
    <t>hadafs</t>
    <phoneticPr fontId="2" type="noConversion"/>
  </si>
  <si>
    <t>write_stp_time</t>
    <phoneticPr fontId="2" type="noConversion"/>
  </si>
  <si>
    <t>1.17-5</t>
    <phoneticPr fontId="2" type="noConversion"/>
  </si>
  <si>
    <t>1.40、2.55、5.3、4.25、3.9</t>
    <phoneticPr fontId="2" type="noConversion"/>
  </si>
  <si>
    <t>1.16、3.14、4.92、4.55、4.60</t>
    <phoneticPr fontId="2" type="noConversion"/>
  </si>
  <si>
    <t>1.17、</t>
    <phoneticPr fontId="2" type="noConversion"/>
  </si>
  <si>
    <t>1.15、</t>
    <phoneticPr fontId="2" type="noConversion"/>
  </si>
  <si>
    <t>1.14、2.87、4.29、4.88、4.10</t>
    <phoneticPr fontId="2" type="noConversion"/>
  </si>
  <si>
    <t>1.17、3.02、4.88、4.76、5.09</t>
    <phoneticPr fontId="2" type="noConversion"/>
  </si>
  <si>
    <t>weak</t>
    <phoneticPr fontId="2" type="noConversion"/>
  </si>
  <si>
    <t>strong</t>
    <phoneticPr fontId="2" type="noConversion"/>
  </si>
  <si>
    <t xml:space="preserve">IO </t>
    <phoneticPr fontId="2" type="noConversion"/>
  </si>
  <si>
    <t>time per step</t>
    <phoneticPr fontId="2" type="noConversion"/>
  </si>
  <si>
    <t>total</t>
    <phoneticPr fontId="2" type="noConversion"/>
  </si>
  <si>
    <t>SSD(N2N)</t>
    <phoneticPr fontId="2" type="noConversion"/>
  </si>
  <si>
    <t>speedup ratio</t>
    <phoneticPr fontId="2" type="noConversion"/>
  </si>
  <si>
    <t>effiency</t>
    <phoneticPr fontId="2" type="noConversion"/>
  </si>
  <si>
    <t>speedup(theoretical value)</t>
    <phoneticPr fontId="2" type="noConversion"/>
  </si>
  <si>
    <t>effiency</t>
    <phoneticPr fontId="2" type="noConversion"/>
  </si>
  <si>
    <t>IO</t>
    <phoneticPr fontId="2" type="noConversion"/>
  </si>
  <si>
    <t>efficiency</t>
    <phoneticPr fontId="2" type="noConversion"/>
  </si>
  <si>
    <t>peak bandwith</t>
    <phoneticPr fontId="2" type="noConversion"/>
  </si>
  <si>
    <t>!</t>
    <phoneticPr fontId="2" type="noConversion"/>
  </si>
  <si>
    <t>!</t>
    <phoneticPr fontId="2" type="noConversion"/>
  </si>
  <si>
    <t>!</t>
    <phoneticPr fontId="2" type="noConversion"/>
  </si>
  <si>
    <t>!</t>
    <phoneticPr fontId="2" type="noConversion"/>
  </si>
  <si>
    <t>time per step</t>
    <phoneticPr fontId="2" type="noConversion"/>
  </si>
  <si>
    <t>1290GB/s</t>
    <phoneticPr fontId="2" type="noConversion"/>
  </si>
  <si>
    <t>1公里</t>
    <phoneticPr fontId="2" type="noConversion"/>
  </si>
  <si>
    <t>2公里</t>
    <phoneticPr fontId="2" type="noConversion"/>
  </si>
  <si>
    <t>strong</t>
    <phoneticPr fontId="2" type="noConversion"/>
  </si>
  <si>
    <t>0.5公里</t>
    <phoneticPr fontId="2" type="noConversion"/>
  </si>
  <si>
    <t>442GB/s(240)</t>
    <phoneticPr fontId="2" type="noConversion"/>
  </si>
  <si>
    <t>836GB/s(240)</t>
    <phoneticPr fontId="2" type="noConversion"/>
  </si>
  <si>
    <t>1140GB/s(240)</t>
    <phoneticPr fontId="2" type="noConversion"/>
  </si>
  <si>
    <t>1126GB/s(240)</t>
    <phoneticPr fontId="2" type="noConversion"/>
  </si>
  <si>
    <t>2.21(470)</t>
    <phoneticPr fontId="2" type="noConversion"/>
  </si>
  <si>
    <t>speedup(theoretical value)</t>
    <phoneticPr fontId="2" type="noConversion"/>
  </si>
  <si>
    <t>performance</t>
    <phoneticPr fontId="2" type="noConversion"/>
  </si>
  <si>
    <t>optimize before</t>
    <phoneticPr fontId="2" type="noConversion"/>
  </si>
  <si>
    <t>optimize after</t>
    <phoneticPr fontId="2" type="noConversion"/>
  </si>
  <si>
    <t>speedup</t>
    <phoneticPr fontId="2" type="noConversion"/>
  </si>
  <si>
    <t>2km</t>
    <phoneticPr fontId="2" type="noConversion"/>
  </si>
  <si>
    <t>1km</t>
    <phoneticPr fontId="2" type="noConversion"/>
  </si>
  <si>
    <t>0.5km</t>
    <phoneticPr fontId="2" type="noConversion"/>
  </si>
  <si>
    <t>tol</t>
  </si>
  <si>
    <t>performance(Gflpos%)</t>
    <phoneticPr fontId="20" type="noConversion"/>
  </si>
  <si>
    <t>single</t>
    <phoneticPr fontId="20" type="noConversion"/>
  </si>
  <si>
    <t>double</t>
    <phoneticPr fontId="20" type="noConversion"/>
  </si>
  <si>
    <t>Iter1</t>
    <phoneticPr fontId="20" type="noConversion"/>
  </si>
  <si>
    <t>Iter2</t>
  </si>
  <si>
    <t>Iter3</t>
  </si>
  <si>
    <t>Iter4</t>
  </si>
  <si>
    <t>Iter5</t>
  </si>
  <si>
    <t>Iter6</t>
  </si>
  <si>
    <t>Iter7</t>
  </si>
  <si>
    <r>
      <rPr>
        <b/>
        <sz val="14"/>
        <color rgb="FF000000"/>
        <rFont val="Calibri"/>
        <family val="2"/>
      </rPr>
      <t>ranks</t>
    </r>
    <r>
      <rPr>
        <b/>
        <sz val="14"/>
        <color rgb="FF000000"/>
        <rFont val="宋体"/>
        <family val="3"/>
        <charset val="134"/>
      </rPr>
      <t>（</t>
    </r>
    <r>
      <rPr>
        <b/>
        <sz val="14"/>
        <color rgb="FF000000"/>
        <rFont val="Calibri"/>
        <family val="2"/>
      </rPr>
      <t>I*J</t>
    </r>
    <r>
      <rPr>
        <b/>
        <sz val="14"/>
        <color rgb="FF000000"/>
        <rFont val="宋体"/>
        <family val="3"/>
        <charset val="134"/>
      </rPr>
      <t>）</t>
    </r>
    <phoneticPr fontId="14" type="noConversion"/>
  </si>
  <si>
    <t>ori</t>
    <phoneticPr fontId="14" type="noConversion"/>
  </si>
  <si>
    <t>ori(cycle time)</t>
    <phoneticPr fontId="14" type="noConversion"/>
  </si>
  <si>
    <t>CPEs level parallel(cycle time)</t>
    <phoneticPr fontId="14" type="noConversion"/>
  </si>
  <si>
    <t>MPE-CPEs multiLevel parallel(cycle time)</t>
    <phoneticPr fontId="14" type="noConversion"/>
  </si>
  <si>
    <t xml:space="preserve">1st kernel </t>
    <phoneticPr fontId="14" type="noConversion"/>
  </si>
  <si>
    <t>2nd kernel</t>
    <phoneticPr fontId="14" type="noConversion"/>
  </si>
  <si>
    <t>3rd kernel</t>
    <phoneticPr fontId="14" type="noConversion"/>
  </si>
  <si>
    <t>4th kernel</t>
    <phoneticPr fontId="14" type="noConversion"/>
  </si>
  <si>
    <t>double Precision</t>
    <phoneticPr fontId="14" type="noConversion"/>
  </si>
  <si>
    <t>single precision</t>
    <phoneticPr fontId="20" type="noConversion"/>
  </si>
  <si>
    <t>single+half precision</t>
    <phoneticPr fontId="20" type="noConversion"/>
  </si>
  <si>
    <t>kernel 2</t>
  </si>
  <si>
    <t>kernel 2</t>
    <phoneticPr fontId="14" type="noConversion"/>
  </si>
  <si>
    <t>kernel 3</t>
  </si>
  <si>
    <t>kernel 4</t>
  </si>
  <si>
    <t xml:space="preserve">speedup(CPEs) </t>
    <phoneticPr fontId="15" type="noConversion"/>
  </si>
  <si>
    <t>speedup(M-S asyn)</t>
    <phoneticPr fontId="15" type="noConversion"/>
  </si>
  <si>
    <t>tracer_fct</t>
    <phoneticPr fontId="14" type="noConversion"/>
  </si>
  <si>
    <t>Non-temporal dependency on-chip data transportation</t>
  </si>
  <si>
    <t>ranks: 49*65*128</t>
    <phoneticPr fontId="14" type="noConversion"/>
  </si>
  <si>
    <t>runtime used mix-precision(ranks:49*65*128)</t>
    <phoneticPr fontId="14" type="noConversion"/>
  </si>
  <si>
    <t>opt</t>
    <phoneticPr fontId="14" type="noConversion"/>
  </si>
  <si>
    <t>speedup</t>
    <phoneticPr fontId="14" type="noConversion"/>
  </si>
  <si>
    <r>
      <rPr>
        <b/>
        <sz val="11"/>
        <color rgb="FF3F3F3F"/>
        <rFont val="等线"/>
        <family val="2"/>
        <charset val="134"/>
        <scheme val="minor"/>
      </rPr>
      <t>Ranks（I*J）</t>
    </r>
    <phoneticPr fontId="14" type="noConversion"/>
  </si>
  <si>
    <t>opt</t>
    <phoneticPr fontId="14" type="noConversion"/>
  </si>
  <si>
    <t xml:space="preserve">DMA实测带宽为44.5GB/s </t>
    <phoneticPr fontId="14" type="noConversion"/>
  </si>
  <si>
    <t>memory bandwith ratio</t>
    <phoneticPr fontId="14" type="noConversion"/>
  </si>
  <si>
    <t>kernel 1</t>
    <phoneticPr fontId="14" type="noConversion"/>
  </si>
  <si>
    <t>kernel 1</t>
    <phoneticPr fontId="14" type="noConversion"/>
  </si>
  <si>
    <t>kernel 3</t>
    <phoneticPr fontId="14" type="noConversion"/>
  </si>
  <si>
    <t>kernel 4</t>
    <phoneticPr fontId="14" type="noConversion"/>
  </si>
  <si>
    <t>kernel num</t>
    <phoneticPr fontId="14" type="noConversion"/>
  </si>
  <si>
    <t>Composite parallel computation strategy for blocking</t>
    <phoneticPr fontId="14" type="noConversion"/>
  </si>
  <si>
    <t>Adjustable CPE cache</t>
    <phoneticPr fontId="14" type="noConversion"/>
  </si>
  <si>
    <t>kernel num(subroutine tra_zdf_imp)</t>
    <phoneticPr fontId="14" type="noConversion"/>
  </si>
  <si>
    <t>kernel 5</t>
    <phoneticPr fontId="14" type="noConversion"/>
  </si>
  <si>
    <t>speedup</t>
    <phoneticPr fontId="14" type="noConversion"/>
  </si>
  <si>
    <t>mem bandwidth ratio</t>
    <phoneticPr fontId="14" type="noConversion"/>
  </si>
  <si>
    <t>DMA bandwidth</t>
    <phoneticPr fontId="14" type="noConversion"/>
  </si>
  <si>
    <t>DMA bandwidth</t>
    <phoneticPr fontId="14" type="noConversion"/>
  </si>
  <si>
    <t>44.5GB/s</t>
    <phoneticPr fontId="14" type="noConversion"/>
  </si>
  <si>
    <t>zdf_mxl</t>
    <phoneticPr fontId="14" type="noConversion"/>
  </si>
  <si>
    <t>subroutine</t>
    <phoneticPr fontId="14" type="noConversion"/>
  </si>
  <si>
    <t>speedup</t>
    <phoneticPr fontId="14" type="noConversion"/>
  </si>
  <si>
    <t>opt</t>
    <phoneticPr fontId="14" type="noConversion"/>
  </si>
  <si>
    <t>p2z_exp</t>
    <phoneticPr fontId="14" type="noConversion"/>
  </si>
  <si>
    <t>70.58% of hot-spot</t>
    <phoneticPr fontId="14" type="noConversion"/>
  </si>
  <si>
    <t>second per step</t>
    <phoneticPr fontId="14" type="noConversion"/>
  </si>
  <si>
    <t>ori</t>
    <phoneticPr fontId="14" type="noConversion"/>
  </si>
  <si>
    <t>time to solution (27,988,480 processes)</t>
    <phoneticPr fontId="2" type="noConversion"/>
  </si>
  <si>
    <t>0.55 （SYPD）</t>
    <phoneticPr fontId="2" type="noConversion"/>
  </si>
  <si>
    <t xml:space="preserve">multi-level paralleling framwork </t>
    <phoneticPr fontId="14" type="noConversion"/>
  </si>
  <si>
    <t>peak performance</t>
    <phoneticPr fontId="2" type="noConversion"/>
  </si>
  <si>
    <t>cores</t>
    <phoneticPr fontId="2" type="noConversion"/>
  </si>
  <si>
    <t>tflops</t>
    <phoneticPr fontId="2" type="noConversion"/>
  </si>
  <si>
    <t>muli-level</t>
    <phoneticPr fontId="14" type="noConversion"/>
  </si>
  <si>
    <t>CPEs opt</t>
    <phoneticPr fontId="14" type="noConversion"/>
  </si>
  <si>
    <t>mixed-precision</t>
    <phoneticPr fontId="14" type="noConversion"/>
  </si>
  <si>
    <t>500m</t>
    <phoneticPr fontId="2" type="noConversion"/>
  </si>
  <si>
    <t>resolution</t>
    <phoneticPr fontId="2" type="noConversion"/>
  </si>
  <si>
    <t>500m</t>
    <phoneticPr fontId="20" type="noConversion"/>
  </si>
  <si>
    <t>resulution</t>
    <phoneticPr fontId="20" type="noConversion"/>
  </si>
  <si>
    <t>1/220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</si>
</sst>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0_);[Red]\(0.00\)"/>
    <numFmt numFmtId="177" formatCode="#\ ???/???"/>
    <numFmt numFmtId="178" formatCode="0.0"/>
    <numFmt numFmtId="179" formatCode="0.000"/>
    <numFmt numFmtId="180" formatCode="0.000%"/>
  </numFmts>
  <fonts count="27">
    <font>
      <sz val="12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4"/>
      <charset val="134"/>
      <scheme val="minor"/>
    </font>
    <font>
      <sz val="12"/>
      <color theme="1"/>
      <name val="等线"/>
      <family val="4"/>
      <charset val="134"/>
      <scheme val="minor"/>
    </font>
    <font>
      <sz val="12"/>
      <color theme="1"/>
      <name val="等线"/>
      <family val="4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b/>
      <sz val="11"/>
      <color theme="0"/>
      <name val="等线"/>
      <family val="4"/>
      <charset val="134"/>
      <scheme val="minor"/>
    </font>
    <font>
      <b/>
      <sz val="11"/>
      <color rgb="FFFF0000"/>
      <name val="等线"/>
      <family val="4"/>
      <charset val="134"/>
      <scheme val="minor"/>
    </font>
    <font>
      <b/>
      <sz val="11"/>
      <color theme="1"/>
      <name val="等线"/>
      <family val="4"/>
      <charset val="134"/>
      <scheme val="minor"/>
    </font>
    <font>
      <b/>
      <sz val="11"/>
      <color rgb="FF3F3F3F"/>
      <name val="等线"/>
      <family val="4"/>
      <charset val="134"/>
      <scheme val="minor"/>
    </font>
    <font>
      <sz val="9"/>
      <name val="等线"/>
      <family val="4"/>
      <charset val="134"/>
      <scheme val="minor"/>
    </font>
    <font>
      <sz val="9"/>
      <name val="等线"/>
      <family val="3"/>
      <charset val="134"/>
      <scheme val="minor"/>
    </font>
    <font>
      <b/>
      <sz val="14"/>
      <color rgb="FF000000"/>
      <name val="宋体"/>
      <family val="3"/>
      <charset val="134"/>
    </font>
    <font>
      <b/>
      <sz val="14"/>
      <color rgb="FF000000"/>
      <name val="Calibri"/>
      <family val="2"/>
    </font>
    <font>
      <sz val="14"/>
      <color rgb="FF000000"/>
      <name val="Calibri"/>
      <family val="2"/>
    </font>
    <font>
      <sz val="14"/>
      <color theme="1"/>
      <name val="Times New Roman"/>
      <family val="1"/>
    </font>
    <font>
      <sz val="9"/>
      <name val="等线"/>
      <family val="2"/>
      <charset val="134"/>
      <scheme val="minor"/>
    </font>
    <font>
      <b/>
      <sz val="16"/>
      <color theme="0"/>
      <name val="等线"/>
      <family val="2"/>
      <charset val="134"/>
      <scheme val="minor"/>
    </font>
    <font>
      <b/>
      <sz val="16"/>
      <color theme="0"/>
      <name val="等线"/>
      <family val="4"/>
      <charset val="134"/>
      <scheme val="minor"/>
    </font>
    <font>
      <b/>
      <sz val="12"/>
      <color theme="1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  <font>
      <u/>
      <sz val="12"/>
      <color theme="11"/>
      <name val="等线"/>
      <family val="2"/>
      <charset val="134"/>
      <scheme val="minor"/>
    </font>
    <font>
      <sz val="11"/>
      <color rgb="FFFFFFFF"/>
      <name val="等线"/>
      <family val="2"/>
      <charset val="134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4472C4"/>
        <bgColor rgb="FF000000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double">
        <color rgb="FF3F3F3F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3F3F3F"/>
      </left>
      <right style="thin">
        <color rgb="FF3F3F3F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B2B2B2"/>
      </left>
      <right style="thin">
        <color rgb="FFB2B2B2"/>
      </right>
      <top/>
      <bottom/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8">
    <xf numFmtId="0" fontId="0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6" fillId="4" borderId="4" applyNumberFormat="0" applyAlignment="0" applyProtection="0">
      <alignment vertical="center"/>
    </xf>
    <xf numFmtId="0" fontId="7" fillId="5" borderId="5" applyNumberFormat="0" applyAlignment="0" applyProtection="0">
      <alignment vertical="center"/>
    </xf>
    <xf numFmtId="0" fontId="8" fillId="6" borderId="6" applyNumberFormat="0" applyAlignment="0" applyProtection="0">
      <alignment vertical="center"/>
    </xf>
    <xf numFmtId="0" fontId="4" fillId="7" borderId="7" applyNumberFormat="0" applyFont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4" fillId="0" borderId="19" applyFont="0" applyFill="0" applyBorder="0" applyAlignment="0">
      <alignment horizontal="center" vertical="center"/>
    </xf>
    <xf numFmtId="0" fontId="23" fillId="0" borderId="21" applyNumberFormat="0" applyFill="0" applyAlignment="0" applyProtection="0"/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</cellStyleXfs>
  <cellXfs count="123">
    <xf numFmtId="0" fontId="0" fillId="0" borderId="0" xfId="0">
      <alignment vertical="center"/>
    </xf>
    <xf numFmtId="13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3" fillId="0" borderId="0" xfId="0" applyFont="1">
      <alignment vertical="center"/>
    </xf>
    <xf numFmtId="0" fontId="0" fillId="0" borderId="0" xfId="0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3" fontId="0" fillId="0" borderId="1" xfId="0" applyNumberFormat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3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6" fillId="4" borderId="4" xfId="3" applyAlignment="1">
      <alignment horizontal="center" vertical="center"/>
    </xf>
    <xf numFmtId="0" fontId="7" fillId="5" borderId="5" xfId="4" applyAlignment="1">
      <alignment horizontal="center" vertical="center"/>
    </xf>
    <xf numFmtId="0" fontId="7" fillId="7" borderId="7" xfId="6" applyFont="1" applyAlignment="1">
      <alignment horizontal="center" vertical="center"/>
    </xf>
    <xf numFmtId="0" fontId="9" fillId="8" borderId="5" xfId="7" applyBorder="1" applyAlignment="1">
      <alignment horizontal="center" vertical="center"/>
    </xf>
    <xf numFmtId="0" fontId="11" fillId="11" borderId="5" xfId="7" applyFont="1" applyFill="1" applyBorder="1" applyAlignment="1">
      <alignment horizontal="center" vertical="center"/>
    </xf>
    <xf numFmtId="0" fontId="12" fillId="10" borderId="5" xfId="9" applyFont="1" applyBorder="1" applyAlignment="1">
      <alignment horizontal="center" vertical="center"/>
    </xf>
    <xf numFmtId="0" fontId="13" fillId="5" borderId="5" xfId="4" applyFont="1" applyAlignment="1">
      <alignment horizontal="center" vertical="center"/>
    </xf>
    <xf numFmtId="10" fontId="7" fillId="5" borderId="5" xfId="4" applyNumberFormat="1" applyAlignment="1">
      <alignment horizontal="center" vertical="center"/>
    </xf>
    <xf numFmtId="0" fontId="1" fillId="10" borderId="0" xfId="9">
      <alignment vertical="center"/>
    </xf>
    <xf numFmtId="0" fontId="7" fillId="12" borderId="5" xfId="4" applyFill="1" applyAlignment="1">
      <alignment horizontal="center" vertical="center"/>
    </xf>
    <xf numFmtId="9" fontId="7" fillId="5" borderId="5" xfId="4" applyNumberFormat="1" applyAlignment="1">
      <alignment horizontal="center" vertical="center"/>
    </xf>
    <xf numFmtId="0" fontId="10" fillId="9" borderId="0" xfId="8" applyFont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13" fontId="0" fillId="13" borderId="1" xfId="0" applyNumberFormat="1" applyFill="1" applyBorder="1" applyAlignment="1">
      <alignment horizontal="center" vertical="center"/>
    </xf>
    <xf numFmtId="176" fontId="3" fillId="13" borderId="1" xfId="0" applyNumberFormat="1" applyFont="1" applyFill="1" applyBorder="1" applyAlignment="1">
      <alignment horizontal="center" vertical="center"/>
    </xf>
    <xf numFmtId="0" fontId="0" fillId="13" borderId="2" xfId="0" applyFill="1" applyBorder="1" applyAlignment="1">
      <alignment horizontal="center" vertical="center"/>
    </xf>
    <xf numFmtId="0" fontId="0" fillId="13" borderId="3" xfId="0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 vertical="center"/>
    </xf>
    <xf numFmtId="0" fontId="0" fillId="13" borderId="0" xfId="0" applyFill="1">
      <alignment vertical="center"/>
    </xf>
    <xf numFmtId="0" fontId="12" fillId="10" borderId="13" xfId="9" applyFont="1" applyBorder="1" applyAlignment="1">
      <alignment horizontal="center" vertical="center"/>
    </xf>
    <xf numFmtId="0" fontId="12" fillId="10" borderId="0" xfId="9" applyFont="1" applyBorder="1" applyAlignment="1">
      <alignment horizontal="center" vertical="center"/>
    </xf>
    <xf numFmtId="0" fontId="7" fillId="2" borderId="5" xfId="4" applyFill="1" applyAlignment="1">
      <alignment horizontal="center" vertical="center"/>
    </xf>
    <xf numFmtId="0" fontId="7" fillId="14" borderId="5" xfId="4" applyFill="1" applyAlignment="1">
      <alignment horizontal="center" vertical="center"/>
    </xf>
    <xf numFmtId="0" fontId="5" fillId="3" borderId="0" xfId="2">
      <alignment vertical="center"/>
    </xf>
    <xf numFmtId="2" fontId="12" fillId="2" borderId="5" xfId="9" applyNumberFormat="1" applyFont="1" applyFill="1" applyBorder="1" applyAlignment="1">
      <alignment horizontal="center" vertical="center"/>
    </xf>
    <xf numFmtId="2" fontId="12" fillId="10" borderId="5" xfId="9" applyNumberFormat="1" applyFont="1" applyBorder="1" applyAlignment="1">
      <alignment horizontal="center" vertical="center"/>
    </xf>
    <xf numFmtId="10" fontId="12" fillId="10" borderId="5" xfId="1" applyNumberFormat="1" applyFont="1" applyFill="1" applyBorder="1" applyAlignment="1">
      <alignment horizontal="center" vertical="center"/>
    </xf>
    <xf numFmtId="179" fontId="7" fillId="5" borderId="5" xfId="4" applyNumberFormat="1" applyAlignment="1">
      <alignment horizontal="center" vertical="center"/>
    </xf>
    <xf numFmtId="2" fontId="7" fillId="5" borderId="5" xfId="4" applyNumberFormat="1" applyAlignment="1">
      <alignment horizontal="center" vertical="center"/>
    </xf>
    <xf numFmtId="178" fontId="7" fillId="5" borderId="5" xfId="4" applyNumberFormat="1" applyAlignment="1">
      <alignment horizontal="center" vertical="center"/>
    </xf>
    <xf numFmtId="180" fontId="7" fillId="5" borderId="5" xfId="4" applyNumberFormat="1" applyAlignment="1">
      <alignment horizontal="center" vertical="center"/>
    </xf>
    <xf numFmtId="0" fontId="6" fillId="4" borderId="4" xfId="3">
      <alignment vertical="center"/>
    </xf>
    <xf numFmtId="0" fontId="7" fillId="5" borderId="5" xfId="4">
      <alignment vertical="center"/>
    </xf>
    <xf numFmtId="3" fontId="7" fillId="7" borderId="7" xfId="6" applyNumberFormat="1" applyFont="1" applyAlignment="1">
      <alignment horizontal="center" vertical="center"/>
    </xf>
    <xf numFmtId="0" fontId="5" fillId="3" borderId="1" xfId="2" applyBorder="1" applyAlignment="1">
      <alignment horizontal="center" vertical="center"/>
    </xf>
    <xf numFmtId="13" fontId="5" fillId="3" borderId="1" xfId="2" applyNumberFormat="1" applyBorder="1" applyAlignment="1">
      <alignment horizontal="center" vertical="center"/>
    </xf>
    <xf numFmtId="176" fontId="5" fillId="3" borderId="1" xfId="2" applyNumberFormat="1" applyBorder="1" applyAlignment="1">
      <alignment horizontal="center" vertical="center"/>
    </xf>
    <xf numFmtId="0" fontId="5" fillId="3" borderId="2" xfId="2" applyBorder="1" applyAlignment="1">
      <alignment horizontal="center" vertical="center"/>
    </xf>
    <xf numFmtId="0" fontId="5" fillId="3" borderId="3" xfId="2" applyBorder="1" applyAlignment="1">
      <alignment horizontal="center" vertical="center"/>
    </xf>
    <xf numFmtId="0" fontId="16" fillId="0" borderId="18" xfId="0" applyFont="1" applyBorder="1" applyAlignment="1">
      <alignment horizontal="center" vertical="center" wrapText="1"/>
    </xf>
    <xf numFmtId="0" fontId="17" fillId="15" borderId="0" xfId="0" applyFont="1" applyFill="1" applyAlignment="1">
      <alignment horizontal="center" vertical="center" wrapText="1"/>
    </xf>
    <xf numFmtId="0" fontId="18" fillId="15" borderId="0" xfId="0" applyFont="1" applyFill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7" fillId="0" borderId="19" xfId="0" applyFont="1" applyBorder="1" applyAlignment="1">
      <alignment horizontal="center" vertical="center" wrapText="1"/>
    </xf>
    <xf numFmtId="0" fontId="18" fillId="0" borderId="19" xfId="0" applyFont="1" applyBorder="1" applyAlignment="1">
      <alignment horizontal="center" vertical="center" wrapText="1"/>
    </xf>
    <xf numFmtId="0" fontId="19" fillId="0" borderId="15" xfId="0" applyFont="1" applyBorder="1" applyAlignment="1">
      <alignment horizontal="justify" vertical="center" wrapText="1"/>
    </xf>
    <xf numFmtId="11" fontId="19" fillId="0" borderId="17" xfId="0" applyNumberFormat="1" applyFont="1" applyBorder="1" applyAlignment="1">
      <alignment horizontal="justify" vertical="center" wrapText="1"/>
    </xf>
    <xf numFmtId="0" fontId="0" fillId="0" borderId="0" xfId="0" applyNumberFormat="1" applyAlignment="1">
      <alignment horizontal="center" vertical="center"/>
    </xf>
    <xf numFmtId="0" fontId="7" fillId="5" borderId="5" xfId="4" applyAlignment="1">
      <alignment horizontal="center" vertical="center" wrapText="1"/>
    </xf>
    <xf numFmtId="11" fontId="7" fillId="5" borderId="5" xfId="4" applyNumberFormat="1" applyAlignment="1">
      <alignment horizontal="center" vertical="center" wrapText="1"/>
    </xf>
    <xf numFmtId="11" fontId="0" fillId="0" borderId="0" xfId="0" applyNumberFormat="1">
      <alignment vertical="center"/>
    </xf>
    <xf numFmtId="0" fontId="19" fillId="0" borderId="14" xfId="0" applyFont="1" applyBorder="1" applyAlignment="1">
      <alignment horizontal="center" vertical="center" wrapText="1"/>
    </xf>
    <xf numFmtId="0" fontId="19" fillId="0" borderId="16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0" fontId="0" fillId="0" borderId="0" xfId="0" applyNumberFormat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1" fillId="10" borderId="0" xfId="9" applyAlignment="1">
      <alignment horizontal="center" vertical="center"/>
    </xf>
    <xf numFmtId="11" fontId="7" fillId="5" borderId="5" xfId="4" applyNumberFormat="1" applyAlignment="1">
      <alignment horizontal="center" vertical="center"/>
    </xf>
    <xf numFmtId="0" fontId="1" fillId="10" borderId="7" xfId="9" applyBorder="1" applyAlignment="1">
      <alignment horizontal="center" vertical="center"/>
    </xf>
    <xf numFmtId="0" fontId="7" fillId="5" borderId="5" xfId="4" applyNumberFormat="1" applyAlignment="1">
      <alignment horizontal="center" vertical="center"/>
    </xf>
    <xf numFmtId="10" fontId="9" fillId="8" borderId="5" xfId="7" applyNumberFormat="1" applyBorder="1" applyAlignment="1">
      <alignment horizontal="center" vertical="center"/>
    </xf>
    <xf numFmtId="0" fontId="7" fillId="5" borderId="5" xfId="4" applyAlignment="1">
      <alignment horizontal="center" vertical="center"/>
    </xf>
    <xf numFmtId="0" fontId="7" fillId="7" borderId="20" xfId="6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23" fillId="5" borderId="21" xfId="11" applyFill="1" applyAlignment="1">
      <alignment vertical="center"/>
    </xf>
    <xf numFmtId="0" fontId="23" fillId="5" borderId="21" xfId="11" applyFill="1" applyAlignment="1">
      <alignment horizontal="center" vertical="center"/>
    </xf>
    <xf numFmtId="0" fontId="7" fillId="5" borderId="5" xfId="4" applyAlignment="1">
      <alignment horizontal="center" vertical="center"/>
    </xf>
    <xf numFmtId="177" fontId="0" fillId="0" borderId="0" xfId="0" applyNumberFormat="1">
      <alignment vertical="center"/>
    </xf>
    <xf numFmtId="0" fontId="0" fillId="2" borderId="1" xfId="0" applyFill="1" applyBorder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7" fillId="5" borderId="5" xfId="4" applyAlignment="1">
      <alignment horizontal="center" vertical="center"/>
    </xf>
    <xf numFmtId="10" fontId="26" fillId="16" borderId="5" xfId="0" applyNumberFormat="1" applyFont="1" applyFill="1" applyBorder="1" applyAlignment="1">
      <alignment horizontal="center" vertical="center"/>
    </xf>
    <xf numFmtId="0" fontId="26" fillId="16" borderId="5" xfId="0" applyNumberFormat="1" applyFont="1" applyFill="1" applyBorder="1" applyAlignment="1">
      <alignment horizontal="center" vertical="center"/>
    </xf>
    <xf numFmtId="0" fontId="23" fillId="5" borderId="21" xfId="11" applyFill="1" applyAlignment="1">
      <alignment horizontal="center" vertical="center"/>
    </xf>
    <xf numFmtId="0" fontId="7" fillId="7" borderId="7" xfId="6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13" fontId="3" fillId="2" borderId="1" xfId="0" applyNumberFormat="1" applyFont="1" applyFill="1" applyBorder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7" fillId="5" borderId="5" xfId="4" applyAlignment="1">
      <alignment horizontal="center" vertical="center"/>
    </xf>
    <xf numFmtId="0" fontId="21" fillId="6" borderId="6" xfId="5" applyFont="1" applyAlignment="1">
      <alignment horizontal="center" vertical="center"/>
    </xf>
    <xf numFmtId="0" fontId="22" fillId="6" borderId="6" xfId="5" applyFont="1" applyAlignment="1">
      <alignment horizontal="center" vertical="center"/>
    </xf>
    <xf numFmtId="0" fontId="8" fillId="6" borderId="10" xfId="5" applyBorder="1" applyAlignment="1">
      <alignment horizontal="center" vertical="center"/>
    </xf>
    <xf numFmtId="0" fontId="8" fillId="6" borderId="0" xfId="5" applyBorder="1" applyAlignment="1">
      <alignment horizontal="center" vertical="center"/>
    </xf>
    <xf numFmtId="0" fontId="8" fillId="6" borderId="6" xfId="5" applyAlignment="1">
      <alignment horizontal="center" vertical="center"/>
    </xf>
    <xf numFmtId="0" fontId="0" fillId="0" borderId="0" xfId="0" applyNumberFormat="1">
      <alignment vertical="center"/>
    </xf>
    <xf numFmtId="0" fontId="7" fillId="5" borderId="0" xfId="4" applyNumberFormat="1" applyBorder="1" applyAlignment="1">
      <alignment horizontal="right" vertical="center"/>
    </xf>
    <xf numFmtId="0" fontId="0" fillId="0" borderId="0" xfId="1" applyNumberFormat="1" applyFont="1">
      <alignment vertical="center"/>
    </xf>
    <xf numFmtId="0" fontId="0" fillId="2" borderId="0" xfId="0" applyFill="1">
      <alignment vertical="center"/>
    </xf>
    <xf numFmtId="13" fontId="0" fillId="2" borderId="1" xfId="0" applyNumberFormat="1" applyFill="1" applyBorder="1" applyAlignment="1">
      <alignment horizontal="center" vertical="center"/>
    </xf>
    <xf numFmtId="0" fontId="5" fillId="2" borderId="1" xfId="2" applyFill="1" applyBorder="1" applyAlignment="1">
      <alignment horizontal="center" vertical="center"/>
    </xf>
    <xf numFmtId="13" fontId="5" fillId="2" borderId="1" xfId="2" applyNumberFormat="1" applyFill="1" applyBorder="1" applyAlignment="1">
      <alignment horizontal="center" vertical="center"/>
    </xf>
    <xf numFmtId="176" fontId="5" fillId="2" borderId="1" xfId="2" applyNumberFormat="1" applyFill="1" applyBorder="1" applyAlignment="1">
      <alignment horizontal="center" vertical="center"/>
    </xf>
    <xf numFmtId="0" fontId="5" fillId="2" borderId="2" xfId="2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177" fontId="0" fillId="2" borderId="1" xfId="0" applyNumberFormat="1" applyFill="1" applyBorder="1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1" fontId="0" fillId="0" borderId="0" xfId="0" applyNumberFormat="1">
      <alignment vertical="center"/>
    </xf>
    <xf numFmtId="58" fontId="0" fillId="0" borderId="0" xfId="0" applyNumberFormat="1">
      <alignment vertical="center"/>
    </xf>
  </cellXfs>
  <cellStyles count="48">
    <cellStyle name="20% - 着色 3" xfId="9" builtinId="38"/>
    <cellStyle name="百分比" xfId="1" builtinId="5"/>
    <cellStyle name="差" xfId="2" builtinId="27"/>
    <cellStyle name="常规" xfId="0" builtinId="0"/>
    <cellStyle name="超链接" xfId="12" builtinId="8" hidden="1"/>
    <cellStyle name="超链接" xfId="14" builtinId="8" hidden="1"/>
    <cellStyle name="超链接" xfId="16" builtinId="8" hidden="1"/>
    <cellStyle name="超链接" xfId="18" builtinId="8" hidden="1"/>
    <cellStyle name="超链接" xfId="20" builtinId="8" hidden="1"/>
    <cellStyle name="超链接" xfId="22" builtinId="8" hidden="1"/>
    <cellStyle name="超链接" xfId="24" builtinId="8" hidden="1"/>
    <cellStyle name="超链接" xfId="26" builtinId="8" hidden="1"/>
    <cellStyle name="超链接" xfId="28" builtinId="8" hidden="1"/>
    <cellStyle name="超链接" xfId="30" builtinId="8" hidden="1"/>
    <cellStyle name="超链接" xfId="32" builtinId="8" hidden="1"/>
    <cellStyle name="超链接" xfId="34" builtinId="8" hidden="1"/>
    <cellStyle name="超链接" xfId="36" builtinId="8" hidden="1"/>
    <cellStyle name="超链接" xfId="38" builtinId="8" hidden="1"/>
    <cellStyle name="超链接" xfId="40" builtinId="8" hidden="1"/>
    <cellStyle name="超链接" xfId="42" builtinId="8" hidden="1"/>
    <cellStyle name="超链接" xfId="44" builtinId="8" hidden="1"/>
    <cellStyle name="超链接" xfId="46" builtinId="8" hidden="1"/>
    <cellStyle name="汇总" xfId="11" builtinId="25"/>
    <cellStyle name="检查单元格" xfId="5" builtinId="23"/>
    <cellStyle name="输出" xfId="4" builtinId="21"/>
    <cellStyle name="输入" xfId="3" builtinId="20"/>
    <cellStyle name="样式 1" xfId="10" xr:uid="{00000000-0005-0000-0000-00002E000000}"/>
    <cellStyle name="已访问的超链接" xfId="13" builtinId="9" hidden="1"/>
    <cellStyle name="已访问的超链接" xfId="15" builtinId="9" hidden="1"/>
    <cellStyle name="已访问的超链接" xfId="17" builtinId="9" hidden="1"/>
    <cellStyle name="已访问的超链接" xfId="19" builtinId="9" hidden="1"/>
    <cellStyle name="已访问的超链接" xfId="21" builtinId="9" hidden="1"/>
    <cellStyle name="已访问的超链接" xfId="23" builtinId="9" hidden="1"/>
    <cellStyle name="已访问的超链接" xfId="25" builtinId="9" hidden="1"/>
    <cellStyle name="已访问的超链接" xfId="27" builtinId="9" hidden="1"/>
    <cellStyle name="已访问的超链接" xfId="29" builtinId="9" hidden="1"/>
    <cellStyle name="已访问的超链接" xfId="31" builtinId="9" hidden="1"/>
    <cellStyle name="已访问的超链接" xfId="33" builtinId="9" hidden="1"/>
    <cellStyle name="已访问的超链接" xfId="35" builtinId="9" hidden="1"/>
    <cellStyle name="已访问的超链接" xfId="37" builtinId="9" hidden="1"/>
    <cellStyle name="已访问的超链接" xfId="39" builtinId="9" hidden="1"/>
    <cellStyle name="已访问的超链接" xfId="41" builtinId="9" hidden="1"/>
    <cellStyle name="已访问的超链接" xfId="43" builtinId="9" hidden="1"/>
    <cellStyle name="已访问的超链接" xfId="45" builtinId="9" hidden="1"/>
    <cellStyle name="已访问的超链接" xfId="47" builtinId="9" hidden="1"/>
    <cellStyle name="着色 1" xfId="7" builtinId="29"/>
    <cellStyle name="着色 2" xfId="8" builtinId="33"/>
    <cellStyle name="注释" xfId="6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9168680658960095E-2"/>
          <c:y val="6.0421849945106902E-2"/>
          <c:w val="0.559851375071584"/>
          <c:h val="0.80324267898969304"/>
        </c:manualLayout>
      </c:layout>
      <c:lineChart>
        <c:grouping val="standard"/>
        <c:varyColors val="0"/>
        <c:ser>
          <c:idx val="0"/>
          <c:order val="0"/>
          <c:tx>
            <c:strRef>
              <c:f>规模扩展!$F$24</c:f>
              <c:strCache>
                <c:ptCount val="1"/>
                <c:pt idx="0">
                  <c:v>speedup ratio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规模扩展!$D$25:$D$32</c:f>
              <c:numCache>
                <c:formatCode>General</c:formatCode>
                <c:ptCount val="8"/>
                <c:pt idx="0">
                  <c:v>32768</c:v>
                </c:pt>
                <c:pt idx="1">
                  <c:v>65536</c:v>
                </c:pt>
                <c:pt idx="2">
                  <c:v>131072</c:v>
                </c:pt>
                <c:pt idx="3">
                  <c:v>196608</c:v>
                </c:pt>
                <c:pt idx="4">
                  <c:v>262144</c:v>
                </c:pt>
                <c:pt idx="5">
                  <c:v>327680</c:v>
                </c:pt>
                <c:pt idx="6">
                  <c:v>393216</c:v>
                </c:pt>
                <c:pt idx="7">
                  <c:v>430592</c:v>
                </c:pt>
              </c:numCache>
            </c:numRef>
          </c:cat>
          <c:val>
            <c:numRef>
              <c:f>规模扩展!$F$25:$F$32</c:f>
              <c:numCache>
                <c:formatCode>0.00</c:formatCode>
                <c:ptCount val="8"/>
                <c:pt idx="0">
                  <c:v>1</c:v>
                </c:pt>
                <c:pt idx="1">
                  <c:v>1.925355450236967</c:v>
                </c:pt>
                <c:pt idx="2">
                  <c:v>3.475935828877005</c:v>
                </c:pt>
                <c:pt idx="3">
                  <c:v>4.9542682926829267</c:v>
                </c:pt>
                <c:pt idx="4">
                  <c:v>6.6735112936344967</c:v>
                </c:pt>
                <c:pt idx="5">
                  <c:v>8.1453634085213036</c:v>
                </c:pt>
                <c:pt idx="6">
                  <c:v>8.689839572192513</c:v>
                </c:pt>
                <c:pt idx="7">
                  <c:v>9.3930635838150298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54-6B41-AFF5-2B9970F8C99F}"/>
            </c:ext>
          </c:extLst>
        </c:ser>
        <c:ser>
          <c:idx val="1"/>
          <c:order val="1"/>
          <c:tx>
            <c:strRef>
              <c:f>规模扩展!$G$24</c:f>
              <c:strCache>
                <c:ptCount val="1"/>
                <c:pt idx="0">
                  <c:v>speedup(theoretical value)</c:v>
                </c:pt>
              </c:strCache>
            </c:strRef>
          </c:tx>
          <c:spPr>
            <a:ln cmpd="sng"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cat>
            <c:numRef>
              <c:f>规模扩展!$D$25:$D$32</c:f>
              <c:numCache>
                <c:formatCode>General</c:formatCode>
                <c:ptCount val="8"/>
                <c:pt idx="0">
                  <c:v>32768</c:v>
                </c:pt>
                <c:pt idx="1">
                  <c:v>65536</c:v>
                </c:pt>
                <c:pt idx="2">
                  <c:v>131072</c:v>
                </c:pt>
                <c:pt idx="3">
                  <c:v>196608</c:v>
                </c:pt>
                <c:pt idx="4">
                  <c:v>262144</c:v>
                </c:pt>
                <c:pt idx="5">
                  <c:v>327680</c:v>
                </c:pt>
                <c:pt idx="6">
                  <c:v>393216</c:v>
                </c:pt>
                <c:pt idx="7">
                  <c:v>430592</c:v>
                </c:pt>
              </c:numCache>
            </c:numRef>
          </c:cat>
          <c:val>
            <c:numRef>
              <c:f>规模扩展!$G$25:$G$32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13.140625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54-6B41-AFF5-2B9970F8C9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1136808"/>
        <c:axId val="-2131136456"/>
      </c:lineChart>
      <c:catAx>
        <c:axId val="-2131136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31136456"/>
        <c:crosses val="autoZero"/>
        <c:auto val="1"/>
        <c:lblAlgn val="ctr"/>
        <c:lblOffset val="100"/>
        <c:noMultiLvlLbl val="0"/>
      </c:catAx>
      <c:valAx>
        <c:axId val="-2131136456"/>
        <c:scaling>
          <c:orientation val="minMax"/>
          <c:max val="16"/>
          <c:min val="1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-2131136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speedup ratio</c:v>
          </c:tx>
          <c:trendline>
            <c:trendlineType val="poly"/>
            <c:order val="2"/>
            <c:dispRSqr val="0"/>
            <c:dispEq val="0"/>
          </c:trendline>
          <c:cat>
            <c:numRef>
              <c:f>规模扩展!$A$53:$A$60</c:f>
              <c:numCache>
                <c:formatCode>General</c:formatCode>
                <c:ptCount val="8"/>
                <c:pt idx="0">
                  <c:v>32768</c:v>
                </c:pt>
                <c:pt idx="1">
                  <c:v>65536</c:v>
                </c:pt>
                <c:pt idx="2">
                  <c:v>131072</c:v>
                </c:pt>
                <c:pt idx="3">
                  <c:v>196608</c:v>
                </c:pt>
                <c:pt idx="4">
                  <c:v>262144</c:v>
                </c:pt>
                <c:pt idx="5">
                  <c:v>327680</c:v>
                </c:pt>
                <c:pt idx="6">
                  <c:v>393216</c:v>
                </c:pt>
                <c:pt idx="7">
                  <c:v>430592</c:v>
                </c:pt>
              </c:numCache>
            </c:numRef>
          </c:cat>
          <c:val>
            <c:numRef>
              <c:f>规模扩展!$C$53:$C$60</c:f>
              <c:numCache>
                <c:formatCode>General</c:formatCode>
                <c:ptCount val="8"/>
                <c:pt idx="0">
                  <c:v>1</c:v>
                </c:pt>
                <c:pt idx="1">
                  <c:v>1.9817121236008199</c:v>
                </c:pt>
                <c:pt idx="2">
                  <c:v>3.821830343569474</c:v>
                </c:pt>
                <c:pt idx="3">
                  <c:v>5.5941255006675572</c:v>
                </c:pt>
                <c:pt idx="4">
                  <c:v>7.3724340175953076</c:v>
                </c:pt>
                <c:pt idx="5">
                  <c:v>9.128540305010894</c:v>
                </c:pt>
                <c:pt idx="6">
                  <c:v>10.345679012345679</c:v>
                </c:pt>
                <c:pt idx="7">
                  <c:v>10.959023539668701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6A-334A-B94D-2D839597B413}"/>
            </c:ext>
          </c:extLst>
        </c:ser>
        <c:ser>
          <c:idx val="1"/>
          <c:order val="1"/>
          <c:tx>
            <c:v>theo speedup</c:v>
          </c:tx>
          <c:spPr>
            <a:ln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cat>
            <c:numRef>
              <c:f>规模扩展!$A$53:$A$60</c:f>
              <c:numCache>
                <c:formatCode>General</c:formatCode>
                <c:ptCount val="8"/>
                <c:pt idx="0">
                  <c:v>32768</c:v>
                </c:pt>
                <c:pt idx="1">
                  <c:v>65536</c:v>
                </c:pt>
                <c:pt idx="2">
                  <c:v>131072</c:v>
                </c:pt>
                <c:pt idx="3">
                  <c:v>196608</c:v>
                </c:pt>
                <c:pt idx="4">
                  <c:v>262144</c:v>
                </c:pt>
                <c:pt idx="5">
                  <c:v>327680</c:v>
                </c:pt>
                <c:pt idx="6">
                  <c:v>393216</c:v>
                </c:pt>
                <c:pt idx="7">
                  <c:v>430592</c:v>
                </c:pt>
              </c:numCache>
            </c:numRef>
          </c:cat>
          <c:val>
            <c:numRef>
              <c:f>规模扩展!$D$53:$D$60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13.140625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6A-334A-B94D-2D839597B4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1147560"/>
        <c:axId val="-2131153096"/>
      </c:lineChart>
      <c:catAx>
        <c:axId val="-2131147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31153096"/>
        <c:crosses val="autoZero"/>
        <c:auto val="1"/>
        <c:lblAlgn val="ctr"/>
        <c:lblOffset val="100"/>
        <c:noMultiLvlLbl val="0"/>
      </c:catAx>
      <c:valAx>
        <c:axId val="-2131153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1147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规模扩展!$C$63</c:f>
              <c:strCache>
                <c:ptCount val="1"/>
                <c:pt idx="0">
                  <c:v>speedup ratio</c:v>
                </c:pt>
              </c:strCache>
            </c:strRef>
          </c:tx>
          <c:marker>
            <c:symbol val="none"/>
          </c:marker>
          <c:cat>
            <c:numRef>
              <c:f>规模扩展!$A$64:$A$71</c:f>
              <c:numCache>
                <c:formatCode>General</c:formatCode>
                <c:ptCount val="8"/>
                <c:pt idx="0">
                  <c:v>32768</c:v>
                </c:pt>
                <c:pt idx="1">
                  <c:v>65536</c:v>
                </c:pt>
                <c:pt idx="2">
                  <c:v>131072</c:v>
                </c:pt>
                <c:pt idx="3">
                  <c:v>196608</c:v>
                </c:pt>
                <c:pt idx="4">
                  <c:v>262144</c:v>
                </c:pt>
                <c:pt idx="5">
                  <c:v>327680</c:v>
                </c:pt>
                <c:pt idx="6">
                  <c:v>393216</c:v>
                </c:pt>
                <c:pt idx="7">
                  <c:v>430592</c:v>
                </c:pt>
              </c:numCache>
            </c:numRef>
          </c:cat>
          <c:val>
            <c:numRef>
              <c:f>规模扩展!$C$64:$C$71</c:f>
              <c:numCache>
                <c:formatCode>General</c:formatCode>
                <c:ptCount val="8"/>
                <c:pt idx="0">
                  <c:v>1</c:v>
                </c:pt>
                <c:pt idx="1">
                  <c:v>2.0529817153328285</c:v>
                </c:pt>
                <c:pt idx="2">
                  <c:v>4.0656358472704328</c:v>
                </c:pt>
                <c:pt idx="3">
                  <c:v>6.1374300345361439</c:v>
                </c:pt>
                <c:pt idx="4">
                  <c:v>8.1274246964201229</c:v>
                </c:pt>
                <c:pt idx="5">
                  <c:v>10.392417826174633</c:v>
                </c:pt>
                <c:pt idx="6">
                  <c:v>12.157584335928286</c:v>
                </c:pt>
                <c:pt idx="7">
                  <c:v>13.047088607594937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45-344D-9BD9-82EA540850A2}"/>
            </c:ext>
          </c:extLst>
        </c:ser>
        <c:ser>
          <c:idx val="1"/>
          <c:order val="1"/>
          <c:tx>
            <c:strRef>
              <c:f>规模扩展!$D$63</c:f>
              <c:strCache>
                <c:ptCount val="1"/>
                <c:pt idx="0">
                  <c:v>speedup(theoretical value)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val>
            <c:numRef>
              <c:f>规模扩展!$D$64:$D$71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13.140625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45-344D-9BD9-82EA540850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36902232"/>
        <c:axId val="-2135988104"/>
      </c:lineChart>
      <c:catAx>
        <c:axId val="-2136902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35988104"/>
        <c:crosses val="autoZero"/>
        <c:auto val="1"/>
        <c:lblAlgn val="ctr"/>
        <c:lblOffset val="100"/>
        <c:noMultiLvlLbl val="0"/>
      </c:catAx>
      <c:valAx>
        <c:axId val="-2135988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6902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speedup</c:v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规模扩展!$A$76:$A$82</c:f>
              <c:numCache>
                <c:formatCode>General</c:formatCode>
                <c:ptCount val="7"/>
                <c:pt idx="0">
                  <c:v>65536</c:v>
                </c:pt>
                <c:pt idx="1">
                  <c:v>131072</c:v>
                </c:pt>
                <c:pt idx="2">
                  <c:v>196608</c:v>
                </c:pt>
                <c:pt idx="3">
                  <c:v>262144</c:v>
                </c:pt>
                <c:pt idx="4">
                  <c:v>327680</c:v>
                </c:pt>
                <c:pt idx="5">
                  <c:v>393216</c:v>
                </c:pt>
                <c:pt idx="6">
                  <c:v>430592</c:v>
                </c:pt>
              </c:numCache>
            </c:numRef>
          </c:cat>
          <c:val>
            <c:numRef>
              <c:f>规模扩展!$C$76:$C$82</c:f>
              <c:numCache>
                <c:formatCode>0.00</c:formatCode>
                <c:ptCount val="7"/>
                <c:pt idx="0">
                  <c:v>1</c:v>
                </c:pt>
                <c:pt idx="1">
                  <c:v>1.980356579362575</c:v>
                </c:pt>
                <c:pt idx="2">
                  <c:v>2.9895200666904849</c:v>
                </c:pt>
                <c:pt idx="3">
                  <c:v>3.9588392997949851</c:v>
                </c:pt>
                <c:pt idx="4">
                  <c:v>5.062109296229079</c:v>
                </c:pt>
                <c:pt idx="5">
                  <c:v>5.9219155461193687</c:v>
                </c:pt>
                <c:pt idx="6">
                  <c:v>6.3551898734177215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CA-5840-80FF-D907BFBE1F56}"/>
            </c:ext>
          </c:extLst>
        </c:ser>
        <c:ser>
          <c:idx val="1"/>
          <c:order val="1"/>
          <c:tx>
            <c:v>theo speedup</c:v>
          </c:tx>
          <c:spPr>
            <a:ln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cat>
            <c:numRef>
              <c:f>规模扩展!$A$76:$A$82</c:f>
              <c:numCache>
                <c:formatCode>General</c:formatCode>
                <c:ptCount val="7"/>
                <c:pt idx="0">
                  <c:v>65536</c:v>
                </c:pt>
                <c:pt idx="1">
                  <c:v>131072</c:v>
                </c:pt>
                <c:pt idx="2">
                  <c:v>196608</c:v>
                </c:pt>
                <c:pt idx="3">
                  <c:v>262144</c:v>
                </c:pt>
                <c:pt idx="4">
                  <c:v>327680</c:v>
                </c:pt>
                <c:pt idx="5">
                  <c:v>393216</c:v>
                </c:pt>
                <c:pt idx="6">
                  <c:v>430592</c:v>
                </c:pt>
              </c:numCache>
            </c:numRef>
          </c:cat>
          <c:val>
            <c:numRef>
              <c:f>规模扩展!$D$76:$D$82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6.57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CA-5840-80FF-D907BFBE1F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0201336"/>
        <c:axId val="-2140206088"/>
      </c:lineChart>
      <c:lineChart>
        <c:grouping val="standard"/>
        <c:varyColors val="0"/>
        <c:ser>
          <c:idx val="2"/>
          <c:order val="2"/>
          <c:tx>
            <c:strRef>
              <c:f>规模扩展!$E$75</c:f>
              <c:strCache>
                <c:ptCount val="1"/>
                <c:pt idx="0">
                  <c:v>efficiency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trendline>
            <c:trendlineType val="poly"/>
            <c:order val="3"/>
            <c:dispRSqr val="0"/>
            <c:dispEq val="0"/>
          </c:trendline>
          <c:cat>
            <c:numRef>
              <c:f>规模扩展!$A$76:$A$82</c:f>
              <c:numCache>
                <c:formatCode>General</c:formatCode>
                <c:ptCount val="7"/>
                <c:pt idx="0">
                  <c:v>65536</c:v>
                </c:pt>
                <c:pt idx="1">
                  <c:v>131072</c:v>
                </c:pt>
                <c:pt idx="2">
                  <c:v>196608</c:v>
                </c:pt>
                <c:pt idx="3">
                  <c:v>262144</c:v>
                </c:pt>
                <c:pt idx="4">
                  <c:v>327680</c:v>
                </c:pt>
                <c:pt idx="5">
                  <c:v>393216</c:v>
                </c:pt>
                <c:pt idx="6">
                  <c:v>430592</c:v>
                </c:pt>
              </c:numCache>
            </c:numRef>
          </c:cat>
          <c:val>
            <c:numRef>
              <c:f>规模扩展!$E$76:$E$82</c:f>
              <c:numCache>
                <c:formatCode>0.00%</c:formatCode>
                <c:ptCount val="7"/>
                <c:pt idx="0">
                  <c:v>1</c:v>
                </c:pt>
                <c:pt idx="1">
                  <c:v>0.99017828968128752</c:v>
                </c:pt>
                <c:pt idx="2">
                  <c:v>0.99650668889682825</c:v>
                </c:pt>
                <c:pt idx="3">
                  <c:v>0.98970982494874626</c:v>
                </c:pt>
                <c:pt idx="4">
                  <c:v>1.0124218592458158</c:v>
                </c:pt>
                <c:pt idx="5">
                  <c:v>0.98698592435322807</c:v>
                </c:pt>
                <c:pt idx="6">
                  <c:v>0.967304394736335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6CA-5840-80FF-D907BFBE1F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0218744"/>
        <c:axId val="-2140209896"/>
      </c:lineChart>
      <c:catAx>
        <c:axId val="-2140201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40206088"/>
        <c:crosses val="autoZero"/>
        <c:auto val="1"/>
        <c:lblAlgn val="ctr"/>
        <c:lblOffset val="100"/>
        <c:noMultiLvlLbl val="0"/>
      </c:catAx>
      <c:valAx>
        <c:axId val="-214020608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-2140201336"/>
        <c:crosses val="autoZero"/>
        <c:crossBetween val="between"/>
      </c:valAx>
      <c:valAx>
        <c:axId val="-2140209896"/>
        <c:scaling>
          <c:orientation val="minMax"/>
          <c:max val="1.1000000000000001"/>
          <c:min val="0.4"/>
        </c:scaling>
        <c:delete val="0"/>
        <c:axPos val="r"/>
        <c:numFmt formatCode="0.00%" sourceLinked="1"/>
        <c:majorTickMark val="out"/>
        <c:minorTickMark val="none"/>
        <c:tickLblPos val="nextTo"/>
        <c:crossAx val="-2140218744"/>
        <c:crosses val="max"/>
        <c:crossBetween val="between"/>
      </c:valAx>
      <c:catAx>
        <c:axId val="-21402187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140209896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Weak scalability</a:t>
            </a:r>
            <a:endParaRPr lang="zh-CN" alt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规模扩展!$C$101</c:f>
              <c:strCache>
                <c:ptCount val="1"/>
                <c:pt idx="0">
                  <c:v>performance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规模扩展!$A$102:$A$109</c:f>
              <c:numCache>
                <c:formatCode>General</c:formatCode>
                <c:ptCount val="8"/>
                <c:pt idx="0">
                  <c:v>4608</c:v>
                </c:pt>
                <c:pt idx="1">
                  <c:v>8192</c:v>
                </c:pt>
                <c:pt idx="2">
                  <c:v>18432</c:v>
                </c:pt>
                <c:pt idx="3">
                  <c:v>32768</c:v>
                </c:pt>
                <c:pt idx="4">
                  <c:v>61952</c:v>
                </c:pt>
                <c:pt idx="5">
                  <c:v>131072</c:v>
                </c:pt>
                <c:pt idx="6">
                  <c:v>294912</c:v>
                </c:pt>
                <c:pt idx="7">
                  <c:v>430592</c:v>
                </c:pt>
              </c:numCache>
            </c:numRef>
          </c:cat>
          <c:val>
            <c:numRef>
              <c:f>规模扩展!$C$102:$C$109</c:f>
              <c:numCache>
                <c:formatCode>0.000</c:formatCode>
                <c:ptCount val="8"/>
                <c:pt idx="0">
                  <c:v>21.509702970297031</c:v>
                </c:pt>
                <c:pt idx="1">
                  <c:v>37.95760851760852</c:v>
                </c:pt>
                <c:pt idx="2">
                  <c:v>85.03897247706422</c:v>
                </c:pt>
                <c:pt idx="3">
                  <c:v>151.64413905930473</c:v>
                </c:pt>
                <c:pt idx="4">
                  <c:v>286.00035903712768</c:v>
                </c:pt>
                <c:pt idx="5">
                  <c:v>601.41106244931063</c:v>
                </c:pt>
                <c:pt idx="6">
                  <c:v>1351.5306925880925</c:v>
                </c:pt>
                <c:pt idx="7">
                  <c:v>1973.3286674767114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96-834B-A233-0EF978B7EE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1200328"/>
        <c:axId val="-2131204920"/>
      </c:barChart>
      <c:lineChart>
        <c:grouping val="standard"/>
        <c:varyColors val="0"/>
        <c:ser>
          <c:idx val="1"/>
          <c:order val="1"/>
          <c:tx>
            <c:strRef>
              <c:f>规模扩展!$D$101</c:f>
              <c:strCache>
                <c:ptCount val="1"/>
                <c:pt idx="0">
                  <c:v>efficiency</c:v>
                </c:pt>
              </c:strCache>
            </c:strRef>
          </c:tx>
          <c:cat>
            <c:numRef>
              <c:f>规模扩展!$A$102:$A$109</c:f>
              <c:numCache>
                <c:formatCode>General</c:formatCode>
                <c:ptCount val="8"/>
                <c:pt idx="0">
                  <c:v>4608</c:v>
                </c:pt>
                <c:pt idx="1">
                  <c:v>8192</c:v>
                </c:pt>
                <c:pt idx="2">
                  <c:v>18432</c:v>
                </c:pt>
                <c:pt idx="3">
                  <c:v>32768</c:v>
                </c:pt>
                <c:pt idx="4">
                  <c:v>61952</c:v>
                </c:pt>
                <c:pt idx="5">
                  <c:v>131072</c:v>
                </c:pt>
                <c:pt idx="6">
                  <c:v>294912</c:v>
                </c:pt>
                <c:pt idx="7">
                  <c:v>430592</c:v>
                </c:pt>
              </c:numCache>
            </c:numRef>
          </c:cat>
          <c:val>
            <c:numRef>
              <c:f>规模扩展!$D$102:$D$109</c:f>
              <c:numCache>
                <c:formatCode>0.000%</c:formatCode>
                <c:ptCount val="8"/>
                <c:pt idx="0">
                  <c:v>2.0295236045343667E-3</c:v>
                </c:pt>
                <c:pt idx="1">
                  <c:v>2.0145639710857106E-3</c:v>
                </c:pt>
                <c:pt idx="2">
                  <c:v>2.0059389265611842E-3</c:v>
                </c:pt>
                <c:pt idx="3">
                  <c:v>2.0120921134524766E-3</c:v>
                </c:pt>
                <c:pt idx="4">
                  <c:v>2.0071665513632414E-3</c:v>
                </c:pt>
                <c:pt idx="5">
                  <c:v>1.9949575090800102E-3</c:v>
                </c:pt>
                <c:pt idx="6">
                  <c:v>1.9925335023861096E-3</c:v>
                </c:pt>
                <c:pt idx="7">
                  <c:v>1.9925335023861096E-3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96-834B-A233-0EF978B7EE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1218056"/>
        <c:axId val="-2131221128"/>
      </c:lineChart>
      <c:catAx>
        <c:axId val="-2131200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Number</a:t>
                </a:r>
                <a:r>
                  <a:rPr lang="en-US" altLang="zh-CN" baseline="0"/>
                  <a:t> of CG</a:t>
                </a:r>
                <a:endParaRPr lang="zh-CN" alt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-2131204920"/>
        <c:crosses val="autoZero"/>
        <c:auto val="1"/>
        <c:lblAlgn val="ctr"/>
        <c:lblOffset val="100"/>
        <c:noMultiLvlLbl val="0"/>
      </c:catAx>
      <c:valAx>
        <c:axId val="-21312049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altLang="zh-CN" sz="1400"/>
                  <a:t>Tflops</a:t>
                </a:r>
                <a:endParaRPr lang="zh-CN" altLang="en-US" sz="1400"/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-2131200328"/>
        <c:crosses val="autoZero"/>
        <c:crossBetween val="between"/>
      </c:valAx>
      <c:valAx>
        <c:axId val="-2131221128"/>
        <c:scaling>
          <c:orientation val="minMax"/>
          <c:max val="2.0400000000000001E-3"/>
          <c:min val="1.5E-3"/>
        </c:scaling>
        <c:delete val="0"/>
        <c:axPos val="r"/>
        <c:numFmt formatCode="0.000%" sourceLinked="1"/>
        <c:majorTickMark val="out"/>
        <c:minorTickMark val="none"/>
        <c:tickLblPos val="nextTo"/>
        <c:crossAx val="-2131218056"/>
        <c:crosses val="max"/>
        <c:crossBetween val="between"/>
      </c:valAx>
      <c:catAx>
        <c:axId val="-2131218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131221128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emf"/><Relationship Id="rId3" Type="http://schemas.openxmlformats.org/officeDocument/2006/relationships/chart" Target="../charts/chart3.xml"/><Relationship Id="rId7" Type="http://schemas.openxmlformats.org/officeDocument/2006/relationships/image" Target="../media/image2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1.png"/><Relationship Id="rId5" Type="http://schemas.openxmlformats.org/officeDocument/2006/relationships/chart" Target="../charts/chart5.xml"/><Relationship Id="rId10" Type="http://schemas.openxmlformats.org/officeDocument/2006/relationships/image" Target="../media/image5.png"/><Relationship Id="rId4" Type="http://schemas.openxmlformats.org/officeDocument/2006/relationships/chart" Target="../charts/chart4.xml"/><Relationship Id="rId9" Type="http://schemas.openxmlformats.org/officeDocument/2006/relationships/image" Target="../media/image4.em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emf"/><Relationship Id="rId2" Type="http://schemas.openxmlformats.org/officeDocument/2006/relationships/image" Target="../media/image7.emf"/><Relationship Id="rId1" Type="http://schemas.openxmlformats.org/officeDocument/2006/relationships/image" Target="../media/image6.emf"/><Relationship Id="rId4" Type="http://schemas.openxmlformats.org/officeDocument/2006/relationships/image" Target="../media/image9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1466851</xdr:colOff>
      <xdr:row>32</xdr:row>
      <xdr:rowOff>114300</xdr:rowOff>
    </xdr:from>
    <xdr:to>
      <xdr:col>8</xdr:col>
      <xdr:colOff>600075</xdr:colOff>
      <xdr:row>46</xdr:row>
      <xdr:rowOff>57150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447674</xdr:colOff>
      <xdr:row>47</xdr:row>
      <xdr:rowOff>23812</xdr:rowOff>
    </xdr:from>
    <xdr:to>
      <xdr:col>11</xdr:col>
      <xdr:colOff>285749</xdr:colOff>
      <xdr:row>62</xdr:row>
      <xdr:rowOff>52387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171450</xdr:colOff>
      <xdr:row>63</xdr:row>
      <xdr:rowOff>33337</xdr:rowOff>
    </xdr:from>
    <xdr:to>
      <xdr:col>12</xdr:col>
      <xdr:colOff>85725</xdr:colOff>
      <xdr:row>77</xdr:row>
      <xdr:rowOff>61912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527049</xdr:colOff>
      <xdr:row>83</xdr:row>
      <xdr:rowOff>22753</xdr:rowOff>
    </xdr:from>
    <xdr:to>
      <xdr:col>4</xdr:col>
      <xdr:colOff>1155699</xdr:colOff>
      <xdr:row>98</xdr:row>
      <xdr:rowOff>51328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109</xdr:row>
      <xdr:rowOff>152399</xdr:rowOff>
    </xdr:from>
    <xdr:to>
      <xdr:col>4</xdr:col>
      <xdr:colOff>0</xdr:colOff>
      <xdr:row>127</xdr:row>
      <xdr:rowOff>95250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4</xdr:col>
      <xdr:colOff>152399</xdr:colOff>
      <xdr:row>101</xdr:row>
      <xdr:rowOff>51470</xdr:rowOff>
    </xdr:from>
    <xdr:to>
      <xdr:col>10</xdr:col>
      <xdr:colOff>581024</xdr:colOff>
      <xdr:row>120</xdr:row>
      <xdr:rowOff>28574</xdr:rowOff>
    </xdr:to>
    <xdr:pic>
      <xdr:nvPicPr>
        <xdr:cNvPr id="11" name="图片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743699" y="18396620"/>
          <a:ext cx="6067425" cy="3415629"/>
        </a:xfrm>
        <a:prstGeom prst="rect">
          <a:avLst/>
        </a:prstGeom>
      </xdr:spPr>
    </xdr:pic>
    <xdr:clientData/>
  </xdr:twoCellAnchor>
  <xdr:twoCellAnchor editAs="oneCell">
    <xdr:from>
      <xdr:col>4</xdr:col>
      <xdr:colOff>638175</xdr:colOff>
      <xdr:row>122</xdr:row>
      <xdr:rowOff>28575</xdr:rowOff>
    </xdr:from>
    <xdr:to>
      <xdr:col>12</xdr:col>
      <xdr:colOff>438150</xdr:colOff>
      <xdr:row>146</xdr:row>
      <xdr:rowOff>133350</xdr:rowOff>
    </xdr:to>
    <xdr:pic>
      <xdr:nvPicPr>
        <xdr:cNvPr id="12" name="图片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229475" y="22174200"/>
          <a:ext cx="7762875" cy="4448175"/>
        </a:xfrm>
        <a:prstGeom prst="rect">
          <a:avLst/>
        </a:prstGeom>
      </xdr:spPr>
    </xdr:pic>
    <xdr:clientData/>
  </xdr:twoCellAnchor>
  <xdr:twoCellAnchor editAs="oneCell">
    <xdr:from>
      <xdr:col>0</xdr:col>
      <xdr:colOff>1498600</xdr:colOff>
      <xdr:row>138</xdr:row>
      <xdr:rowOff>25400</xdr:rowOff>
    </xdr:from>
    <xdr:to>
      <xdr:col>3</xdr:col>
      <xdr:colOff>1955800</xdr:colOff>
      <xdr:row>162</xdr:row>
      <xdr:rowOff>16933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98600" y="23478067"/>
          <a:ext cx="6663267" cy="4055533"/>
        </a:xfrm>
        <a:prstGeom prst="rect">
          <a:avLst/>
        </a:prstGeom>
      </xdr:spPr>
    </xdr:pic>
    <xdr:clientData/>
  </xdr:twoCellAnchor>
  <xdr:twoCellAnchor editAs="oneCell">
    <xdr:from>
      <xdr:col>6</xdr:col>
      <xdr:colOff>101600</xdr:colOff>
      <xdr:row>74</xdr:row>
      <xdr:rowOff>118534</xdr:rowOff>
    </xdr:from>
    <xdr:to>
      <xdr:col>13</xdr:col>
      <xdr:colOff>619363</xdr:colOff>
      <xdr:row>99</xdr:row>
      <xdr:rowOff>76200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36867" y="12733867"/>
          <a:ext cx="10000429" cy="41910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40</xdr:row>
      <xdr:rowOff>154258</xdr:rowOff>
    </xdr:from>
    <xdr:to>
      <xdr:col>2</xdr:col>
      <xdr:colOff>1498599</xdr:colOff>
      <xdr:row>49</xdr:row>
      <xdr:rowOff>63497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972733" y="7012258"/>
          <a:ext cx="4182533" cy="143323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703526</xdr:colOff>
      <xdr:row>0</xdr:row>
      <xdr:rowOff>0</xdr:rowOff>
    </xdr:from>
    <xdr:to>
      <xdr:col>6</xdr:col>
      <xdr:colOff>1346019</xdr:colOff>
      <xdr:row>10</xdr:row>
      <xdr:rowOff>176107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228526" y="0"/>
          <a:ext cx="4537160" cy="2174240"/>
        </a:xfrm>
        <a:prstGeom prst="rect">
          <a:avLst/>
        </a:prstGeom>
      </xdr:spPr>
    </xdr:pic>
    <xdr:clientData/>
  </xdr:twoCellAnchor>
  <xdr:twoCellAnchor editAs="oneCell">
    <xdr:from>
      <xdr:col>10</xdr:col>
      <xdr:colOff>87272</xdr:colOff>
      <xdr:row>12</xdr:row>
      <xdr:rowOff>143283</xdr:rowOff>
    </xdr:from>
    <xdr:to>
      <xdr:col>16</xdr:col>
      <xdr:colOff>241626</xdr:colOff>
      <xdr:row>34</xdr:row>
      <xdr:rowOff>33868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705472" y="2564750"/>
          <a:ext cx="5149687" cy="4200118"/>
        </a:xfrm>
        <a:prstGeom prst="rect">
          <a:avLst/>
        </a:prstGeom>
      </xdr:spPr>
    </xdr:pic>
    <xdr:clientData/>
  </xdr:twoCellAnchor>
  <xdr:twoCellAnchor editAs="oneCell">
    <xdr:from>
      <xdr:col>6</xdr:col>
      <xdr:colOff>217925</xdr:colOff>
      <xdr:row>18</xdr:row>
      <xdr:rowOff>40246</xdr:rowOff>
    </xdr:from>
    <xdr:to>
      <xdr:col>9</xdr:col>
      <xdr:colOff>613185</xdr:colOff>
      <xdr:row>36</xdr:row>
      <xdr:rowOff>135466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637592" y="4019579"/>
          <a:ext cx="4484660" cy="3185554"/>
        </a:xfrm>
        <a:prstGeom prst="rect">
          <a:avLst/>
        </a:prstGeom>
      </xdr:spPr>
    </xdr:pic>
    <xdr:clientData/>
  </xdr:twoCellAnchor>
  <xdr:twoCellAnchor editAs="oneCell">
    <xdr:from>
      <xdr:col>5</xdr:col>
      <xdr:colOff>110066</xdr:colOff>
      <xdr:row>38</xdr:row>
      <xdr:rowOff>50800</xdr:rowOff>
    </xdr:from>
    <xdr:to>
      <xdr:col>8</xdr:col>
      <xdr:colOff>1659466</xdr:colOff>
      <xdr:row>61</xdr:row>
      <xdr:rowOff>110067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582399" y="7459133"/>
          <a:ext cx="5630334" cy="395393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22"/>
  <sheetViews>
    <sheetView topLeftCell="A191" zoomScale="150" zoomScaleNormal="150" zoomScalePageLayoutView="150" workbookViewId="0">
      <selection activeCell="A194" sqref="A194:C202"/>
    </sheetView>
  </sheetViews>
  <sheetFormatPr baseColWidth="10" defaultColWidth="9" defaultRowHeight="16"/>
  <cols>
    <col min="1" max="1" width="21.83203125" customWidth="1"/>
    <col min="2" max="2" width="28.1640625" customWidth="1"/>
    <col min="3" max="3" width="19.6640625" customWidth="1"/>
    <col min="4" max="4" width="29.6640625" customWidth="1"/>
    <col min="5" max="5" width="13.6640625" style="1" customWidth="1"/>
    <col min="6" max="6" width="13.1640625" style="2" customWidth="1"/>
    <col min="7" max="7" width="12.6640625" customWidth="1"/>
    <col min="8" max="8" width="12.1640625" customWidth="1"/>
    <col min="10" max="10" width="13.33203125" customWidth="1"/>
    <col min="11" max="11" width="20.33203125" customWidth="1"/>
    <col min="12" max="12" width="10.1640625" customWidth="1"/>
    <col min="13" max="13" width="28.83203125" customWidth="1"/>
    <col min="14" max="14" width="32" customWidth="1"/>
    <col min="15" max="15" width="12.6640625" customWidth="1"/>
  </cols>
  <sheetData>
    <row r="1" spans="1:15">
      <c r="J1" s="3"/>
      <c r="K1" s="3"/>
    </row>
    <row r="2" spans="1:15" s="4" customFormat="1" ht="24" customHeight="1">
      <c r="B2" s="95" t="s">
        <v>0</v>
      </c>
      <c r="C2" s="95" t="s">
        <v>1</v>
      </c>
      <c r="D2" s="96" t="s">
        <v>2</v>
      </c>
      <c r="E2" s="98" t="s">
        <v>6</v>
      </c>
      <c r="F2" s="99" t="s">
        <v>7</v>
      </c>
      <c r="G2" s="95" t="s">
        <v>3</v>
      </c>
      <c r="H2" s="95" t="s">
        <v>4</v>
      </c>
      <c r="I2" s="100" t="s">
        <v>5</v>
      </c>
      <c r="J2" s="101" t="s">
        <v>8</v>
      </c>
      <c r="K2" s="94" t="s">
        <v>10</v>
      </c>
      <c r="L2" s="94" t="s">
        <v>9</v>
      </c>
      <c r="M2" s="94" t="s">
        <v>14</v>
      </c>
      <c r="N2" s="95"/>
      <c r="O2" s="95"/>
    </row>
    <row r="3" spans="1:15" s="4" customFormat="1" ht="24" customHeight="1">
      <c r="B3" s="95"/>
      <c r="C3" s="95"/>
      <c r="D3" s="97"/>
      <c r="E3" s="98"/>
      <c r="F3" s="99"/>
      <c r="G3" s="95"/>
      <c r="H3" s="95"/>
      <c r="I3" s="100"/>
      <c r="J3" s="101"/>
      <c r="K3" s="94"/>
      <c r="L3" s="94"/>
      <c r="M3" s="5" t="s">
        <v>11</v>
      </c>
      <c r="N3" s="5" t="s">
        <v>12</v>
      </c>
      <c r="O3" s="5" t="s">
        <v>13</v>
      </c>
    </row>
    <row r="4" spans="1:15">
      <c r="A4">
        <f>C4*D4</f>
        <v>377504</v>
      </c>
      <c r="B4" s="6">
        <v>25</v>
      </c>
      <c r="C4" s="6">
        <f>B4*30+2</f>
        <v>752</v>
      </c>
      <c r="D4" s="6">
        <f>B4*20+2</f>
        <v>502</v>
      </c>
      <c r="E4" s="7">
        <v>0.5</v>
      </c>
      <c r="F4" s="8">
        <f>110*E4</f>
        <v>55</v>
      </c>
      <c r="G4" s="6">
        <v>128</v>
      </c>
      <c r="H4" s="6">
        <v>16</v>
      </c>
      <c r="I4" s="9">
        <v>8</v>
      </c>
      <c r="J4" s="10"/>
      <c r="K4" s="6"/>
      <c r="L4" s="6"/>
      <c r="M4" s="6"/>
      <c r="N4" s="6"/>
      <c r="O4" s="6"/>
    </row>
    <row r="5" spans="1:15">
      <c r="A5">
        <f t="shared" ref="A5:A21" si="0">C5*D5</f>
        <v>1505004</v>
      </c>
      <c r="B5" s="6">
        <v>50</v>
      </c>
      <c r="C5" s="6">
        <f t="shared" ref="C4:C21" si="1">B5*30+2</f>
        <v>1502</v>
      </c>
      <c r="D5" s="6">
        <f t="shared" ref="D4:D21" si="2">B5*20+2</f>
        <v>1002</v>
      </c>
      <c r="E5" s="7">
        <f t="shared" ref="E5:E21" si="3">(1/2)/(B5/25)</f>
        <v>0.25</v>
      </c>
      <c r="F5" s="8">
        <f>110*E5</f>
        <v>27.5</v>
      </c>
      <c r="G5" s="6">
        <f t="shared" ref="G5:G21" si="4">(B5/25)^2*128</f>
        <v>512</v>
      </c>
      <c r="H5" s="6">
        <f t="shared" ref="H5:H21" si="5">B5/25*16</f>
        <v>32</v>
      </c>
      <c r="I5" s="9">
        <f t="shared" ref="I5:I21" si="6">B5/25*8</f>
        <v>16</v>
      </c>
      <c r="J5" s="10"/>
      <c r="K5" s="6"/>
      <c r="L5" s="6"/>
      <c r="M5" s="6"/>
      <c r="N5" s="6"/>
      <c r="O5" s="6"/>
    </row>
    <row r="6" spans="1:15">
      <c r="A6">
        <f t="shared" si="0"/>
        <v>6010004</v>
      </c>
      <c r="B6" s="6">
        <v>100</v>
      </c>
      <c r="C6" s="6">
        <f t="shared" si="1"/>
        <v>3002</v>
      </c>
      <c r="D6" s="6">
        <f t="shared" si="2"/>
        <v>2002</v>
      </c>
      <c r="E6" s="7">
        <v>0.125</v>
      </c>
      <c r="F6" s="8">
        <f>110*E6</f>
        <v>13.75</v>
      </c>
      <c r="G6" s="6">
        <f t="shared" si="4"/>
        <v>2048</v>
      </c>
      <c r="H6" s="6">
        <f t="shared" si="5"/>
        <v>64</v>
      </c>
      <c r="I6" s="9">
        <f t="shared" si="6"/>
        <v>32</v>
      </c>
      <c r="J6" s="10"/>
      <c r="K6" s="6"/>
      <c r="L6" s="6"/>
      <c r="M6" s="6"/>
      <c r="N6" s="6"/>
      <c r="O6" s="6"/>
    </row>
    <row r="7" spans="1:15">
      <c r="A7">
        <f>C7*D7</f>
        <v>13515004</v>
      </c>
      <c r="B7" s="6">
        <v>150</v>
      </c>
      <c r="C7" s="6">
        <f>B7*30+2</f>
        <v>4502</v>
      </c>
      <c r="D7" s="6">
        <f>B7*20+2</f>
        <v>3002</v>
      </c>
      <c r="E7" s="7">
        <f t="shared" si="3"/>
        <v>8.3333333333333329E-2</v>
      </c>
      <c r="F7" s="8">
        <f>110*E7</f>
        <v>9.1666666666666661</v>
      </c>
      <c r="G7" s="6">
        <f t="shared" si="4"/>
        <v>4608</v>
      </c>
      <c r="H7" s="6">
        <f t="shared" si="5"/>
        <v>96</v>
      </c>
      <c r="I7" s="9">
        <f t="shared" si="6"/>
        <v>48</v>
      </c>
      <c r="J7" s="10">
        <v>1.0900000000000001</v>
      </c>
      <c r="K7" s="6">
        <v>28</v>
      </c>
      <c r="L7" s="6"/>
      <c r="M7" s="11" t="s">
        <v>20</v>
      </c>
      <c r="N7" s="11" t="s">
        <v>16</v>
      </c>
      <c r="O7" s="6"/>
    </row>
    <row r="8" spans="1:15" s="40" customFormat="1">
      <c r="A8">
        <f>C8*D8</f>
        <v>24020004</v>
      </c>
      <c r="B8" s="51">
        <v>200</v>
      </c>
      <c r="C8" s="51">
        <f>B8*30+2</f>
        <v>6002</v>
      </c>
      <c r="D8" s="51">
        <f t="shared" si="2"/>
        <v>4002</v>
      </c>
      <c r="E8" s="52">
        <f t="shared" si="3"/>
        <v>6.25E-2</v>
      </c>
      <c r="F8" s="53">
        <f>110*E8</f>
        <v>6.875</v>
      </c>
      <c r="G8" s="51">
        <f t="shared" si="4"/>
        <v>8192</v>
      </c>
      <c r="H8" s="51">
        <f t="shared" si="5"/>
        <v>128</v>
      </c>
      <c r="I8" s="54">
        <f t="shared" si="6"/>
        <v>64</v>
      </c>
      <c r="J8" s="55">
        <v>1.29</v>
      </c>
      <c r="K8" s="51"/>
      <c r="L8" s="51"/>
      <c r="M8" s="51"/>
      <c r="N8" s="51"/>
      <c r="O8" s="51"/>
    </row>
    <row r="9" spans="1:15">
      <c r="A9">
        <f t="shared" si="0"/>
        <v>37525004</v>
      </c>
      <c r="B9" s="6">
        <v>250</v>
      </c>
      <c r="C9" s="6">
        <f t="shared" si="1"/>
        <v>7502</v>
      </c>
      <c r="D9" s="6">
        <f t="shared" si="2"/>
        <v>5002</v>
      </c>
      <c r="E9" s="7">
        <f t="shared" si="3"/>
        <v>0.05</v>
      </c>
      <c r="F9" s="8">
        <f t="shared" ref="F5:F21" si="7">110*E9</f>
        <v>5.5</v>
      </c>
      <c r="G9" s="6">
        <f t="shared" si="4"/>
        <v>12800</v>
      </c>
      <c r="H9" s="6">
        <f t="shared" si="5"/>
        <v>160</v>
      </c>
      <c r="I9" s="9">
        <f t="shared" si="6"/>
        <v>80</v>
      </c>
      <c r="J9" s="10">
        <v>1.0900000000000001</v>
      </c>
      <c r="K9" s="6"/>
      <c r="L9" s="6"/>
      <c r="M9" s="6"/>
      <c r="N9" s="11" t="s">
        <v>18</v>
      </c>
      <c r="O9" s="6"/>
    </row>
    <row r="10" spans="1:15">
      <c r="A10">
        <f t="shared" si="0"/>
        <v>45402504</v>
      </c>
      <c r="B10" s="6">
        <v>275</v>
      </c>
      <c r="C10" s="6">
        <f t="shared" si="1"/>
        <v>8252</v>
      </c>
      <c r="D10" s="6">
        <f t="shared" si="2"/>
        <v>5502</v>
      </c>
      <c r="E10" s="7">
        <f t="shared" si="3"/>
        <v>4.5454545454545456E-2</v>
      </c>
      <c r="F10" s="8">
        <f t="shared" si="7"/>
        <v>5</v>
      </c>
      <c r="G10" s="6">
        <f t="shared" si="4"/>
        <v>15488</v>
      </c>
      <c r="H10" s="6">
        <f t="shared" si="5"/>
        <v>176</v>
      </c>
      <c r="I10" s="9">
        <f t="shared" si="6"/>
        <v>88</v>
      </c>
      <c r="J10" s="10">
        <v>1.0900000000000001</v>
      </c>
      <c r="K10" s="6"/>
      <c r="L10" s="6"/>
      <c r="M10" s="6"/>
      <c r="N10" s="11" t="s">
        <v>19</v>
      </c>
      <c r="O10" s="6"/>
    </row>
    <row r="11" spans="1:15">
      <c r="A11">
        <f t="shared" si="0"/>
        <v>54030004</v>
      </c>
      <c r="B11" s="6">
        <v>300</v>
      </c>
      <c r="C11" s="6">
        <f t="shared" si="1"/>
        <v>9002</v>
      </c>
      <c r="D11" s="6">
        <f t="shared" si="2"/>
        <v>6002</v>
      </c>
      <c r="E11" s="7">
        <f t="shared" si="3"/>
        <v>4.1666666666666664E-2</v>
      </c>
      <c r="F11" s="8">
        <f t="shared" si="7"/>
        <v>4.583333333333333</v>
      </c>
      <c r="G11" s="6">
        <f t="shared" si="4"/>
        <v>18432</v>
      </c>
      <c r="H11" s="6">
        <f t="shared" si="5"/>
        <v>192</v>
      </c>
      <c r="I11" s="9">
        <f t="shared" si="6"/>
        <v>96</v>
      </c>
      <c r="J11" s="10">
        <v>1.08</v>
      </c>
      <c r="K11" s="6"/>
      <c r="L11" s="6"/>
      <c r="M11" s="6"/>
      <c r="N11" s="11" t="s">
        <v>18</v>
      </c>
      <c r="O11" s="6"/>
    </row>
    <row r="12" spans="1:15">
      <c r="A12">
        <f t="shared" si="0"/>
        <v>73535004</v>
      </c>
      <c r="B12" s="6">
        <v>350</v>
      </c>
      <c r="C12" s="6">
        <f t="shared" si="1"/>
        <v>10502</v>
      </c>
      <c r="D12" s="6">
        <f t="shared" si="2"/>
        <v>7002</v>
      </c>
      <c r="E12" s="7">
        <f t="shared" si="3"/>
        <v>3.5714285714285712E-2</v>
      </c>
      <c r="F12" s="8">
        <f t="shared" si="7"/>
        <v>3.9285714285714284</v>
      </c>
      <c r="G12" s="6">
        <f t="shared" si="4"/>
        <v>25088</v>
      </c>
      <c r="H12" s="6">
        <f t="shared" si="5"/>
        <v>224</v>
      </c>
      <c r="I12" s="9">
        <f t="shared" si="6"/>
        <v>112</v>
      </c>
      <c r="J12" s="10">
        <v>1.08</v>
      </c>
      <c r="K12" s="6">
        <v>30</v>
      </c>
      <c r="L12" s="6"/>
      <c r="M12" s="11" t="s">
        <v>21</v>
      </c>
      <c r="N12" s="11" t="s">
        <v>15</v>
      </c>
      <c r="O12" s="6"/>
    </row>
    <row r="13" spans="1:15" s="35" customFormat="1">
      <c r="A13">
        <f t="shared" si="0"/>
        <v>96040004</v>
      </c>
      <c r="B13" s="29">
        <v>400</v>
      </c>
      <c r="C13" s="29">
        <f t="shared" si="1"/>
        <v>12002</v>
      </c>
      <c r="D13" s="29">
        <f t="shared" si="2"/>
        <v>8002</v>
      </c>
      <c r="E13" s="30">
        <f t="shared" si="3"/>
        <v>3.125E-2</v>
      </c>
      <c r="F13" s="31">
        <f t="shared" si="7"/>
        <v>3.4375</v>
      </c>
      <c r="G13" s="29">
        <f t="shared" si="4"/>
        <v>32768</v>
      </c>
      <c r="H13" s="29">
        <f t="shared" si="5"/>
        <v>256</v>
      </c>
      <c r="I13" s="32">
        <f t="shared" si="6"/>
        <v>128</v>
      </c>
      <c r="J13" s="33">
        <v>1.08</v>
      </c>
      <c r="K13" s="29">
        <v>29</v>
      </c>
      <c r="L13" s="29"/>
      <c r="M13" s="29"/>
      <c r="N13" s="34" t="s">
        <v>17</v>
      </c>
      <c r="O13" s="29"/>
    </row>
    <row r="14" spans="1:15">
      <c r="A14">
        <f t="shared" si="0"/>
        <v>121545004</v>
      </c>
      <c r="B14" s="6">
        <v>450</v>
      </c>
      <c r="C14" s="6">
        <f t="shared" si="1"/>
        <v>13502</v>
      </c>
      <c r="D14" s="6">
        <f t="shared" si="2"/>
        <v>9002</v>
      </c>
      <c r="E14" s="7">
        <f t="shared" si="3"/>
        <v>2.7777777777777776E-2</v>
      </c>
      <c r="F14" s="8">
        <f t="shared" si="7"/>
        <v>3.0555555555555554</v>
      </c>
      <c r="G14" s="6">
        <f t="shared" si="4"/>
        <v>41472</v>
      </c>
      <c r="H14" s="6">
        <f t="shared" si="5"/>
        <v>288</v>
      </c>
      <c r="I14" s="9">
        <f t="shared" si="6"/>
        <v>144</v>
      </c>
      <c r="J14" s="10"/>
      <c r="K14" s="6"/>
      <c r="L14" s="6"/>
      <c r="M14" s="6"/>
      <c r="N14" s="6"/>
      <c r="O14" s="6"/>
    </row>
    <row r="15" spans="1:15">
      <c r="A15">
        <f t="shared" si="0"/>
        <v>150050004</v>
      </c>
      <c r="B15" s="6">
        <v>500</v>
      </c>
      <c r="C15" s="6">
        <f t="shared" si="1"/>
        <v>15002</v>
      </c>
      <c r="D15" s="6">
        <f t="shared" si="2"/>
        <v>10002</v>
      </c>
      <c r="E15" s="7">
        <f t="shared" si="3"/>
        <v>2.5000000000000001E-2</v>
      </c>
      <c r="F15" s="8">
        <f t="shared" si="7"/>
        <v>2.75</v>
      </c>
      <c r="G15" s="6">
        <f t="shared" si="4"/>
        <v>51200</v>
      </c>
      <c r="H15" s="6">
        <f t="shared" si="5"/>
        <v>320</v>
      </c>
      <c r="I15" s="9">
        <f t="shared" si="6"/>
        <v>160</v>
      </c>
      <c r="J15" s="10"/>
      <c r="K15" s="6"/>
      <c r="L15" s="6"/>
      <c r="M15" s="6"/>
      <c r="N15" s="6"/>
      <c r="O15" s="6"/>
    </row>
    <row r="16" spans="1:15">
      <c r="A16">
        <f t="shared" si="0"/>
        <v>181555004</v>
      </c>
      <c r="B16" s="6">
        <v>550</v>
      </c>
      <c r="C16" s="6">
        <f t="shared" si="1"/>
        <v>16502</v>
      </c>
      <c r="D16" s="6">
        <f t="shared" si="2"/>
        <v>11002</v>
      </c>
      <c r="E16" s="7">
        <f t="shared" si="3"/>
        <v>2.2727272727272728E-2</v>
      </c>
      <c r="F16" s="8">
        <f t="shared" si="7"/>
        <v>2.5</v>
      </c>
      <c r="G16" s="6">
        <f t="shared" si="4"/>
        <v>61952</v>
      </c>
      <c r="H16" s="6">
        <f t="shared" si="5"/>
        <v>352</v>
      </c>
      <c r="I16" s="9">
        <f t="shared" si="6"/>
        <v>176</v>
      </c>
      <c r="J16" s="10"/>
      <c r="K16" s="6"/>
      <c r="L16" s="6"/>
      <c r="M16" s="6"/>
      <c r="N16" s="6"/>
      <c r="O16" s="6"/>
    </row>
    <row r="17" spans="1:15">
      <c r="A17">
        <f t="shared" si="0"/>
        <v>216060004</v>
      </c>
      <c r="B17" s="6">
        <v>600</v>
      </c>
      <c r="C17" s="6">
        <f t="shared" si="1"/>
        <v>18002</v>
      </c>
      <c r="D17" s="6">
        <f t="shared" si="2"/>
        <v>12002</v>
      </c>
      <c r="E17" s="7">
        <f t="shared" si="3"/>
        <v>2.0833333333333332E-2</v>
      </c>
      <c r="F17" s="8">
        <f t="shared" si="7"/>
        <v>2.2916666666666665</v>
      </c>
      <c r="G17" s="6">
        <f t="shared" si="4"/>
        <v>73728</v>
      </c>
      <c r="H17" s="6">
        <f t="shared" si="5"/>
        <v>384</v>
      </c>
      <c r="I17" s="9">
        <f t="shared" si="6"/>
        <v>192</v>
      </c>
      <c r="J17" s="10"/>
      <c r="K17" s="6"/>
      <c r="L17" s="6"/>
      <c r="M17" s="6"/>
      <c r="N17" s="6"/>
      <c r="O17" s="6"/>
    </row>
    <row r="18" spans="1:15">
      <c r="A18">
        <f t="shared" si="0"/>
        <v>384080004</v>
      </c>
      <c r="B18" s="6">
        <v>800</v>
      </c>
      <c r="C18" s="6">
        <f>B18*30+2</f>
        <v>24002</v>
      </c>
      <c r="D18" s="6">
        <f t="shared" si="2"/>
        <v>16002</v>
      </c>
      <c r="E18" s="7">
        <f t="shared" si="3"/>
        <v>1.5625E-2</v>
      </c>
      <c r="F18" s="8">
        <f t="shared" si="7"/>
        <v>1.71875</v>
      </c>
      <c r="G18" s="6">
        <f t="shared" si="4"/>
        <v>131072</v>
      </c>
      <c r="H18" s="6">
        <f t="shared" si="5"/>
        <v>512</v>
      </c>
      <c r="I18" s="9">
        <f t="shared" si="6"/>
        <v>256</v>
      </c>
      <c r="J18" s="10"/>
      <c r="K18" s="6"/>
      <c r="L18" s="6"/>
      <c r="M18" s="6"/>
      <c r="N18" s="6"/>
      <c r="O18" s="6"/>
    </row>
    <row r="19" spans="1:15">
      <c r="A19">
        <f t="shared" si="0"/>
        <v>864120004</v>
      </c>
      <c r="B19" s="6">
        <v>1200</v>
      </c>
      <c r="C19" s="6">
        <f t="shared" si="1"/>
        <v>36002</v>
      </c>
      <c r="D19" s="6">
        <f t="shared" si="2"/>
        <v>24002</v>
      </c>
      <c r="E19" s="7">
        <f t="shared" si="3"/>
        <v>1.0416666666666666E-2</v>
      </c>
      <c r="F19" s="8">
        <f t="shared" si="7"/>
        <v>1.1458333333333333</v>
      </c>
      <c r="G19" s="6">
        <f t="shared" si="4"/>
        <v>294912</v>
      </c>
      <c r="H19" s="6">
        <f t="shared" si="5"/>
        <v>768</v>
      </c>
      <c r="I19" s="9">
        <f t="shared" si="6"/>
        <v>384</v>
      </c>
      <c r="J19" s="10"/>
      <c r="K19" s="6"/>
      <c r="L19" s="6"/>
      <c r="M19" s="6"/>
      <c r="N19" s="6"/>
      <c r="O19" s="6"/>
    </row>
    <row r="20" spans="1:15">
      <c r="A20">
        <f t="shared" si="0"/>
        <v>1261645004</v>
      </c>
      <c r="B20" s="12">
        <v>1450</v>
      </c>
      <c r="C20" s="12">
        <f t="shared" si="1"/>
        <v>43502</v>
      </c>
      <c r="D20" s="12">
        <f t="shared" si="2"/>
        <v>29002</v>
      </c>
      <c r="E20" s="14">
        <f t="shared" si="3"/>
        <v>8.6206896551724137E-3</v>
      </c>
      <c r="F20" s="16">
        <f t="shared" si="7"/>
        <v>0.94827586206896552</v>
      </c>
      <c r="G20" s="12">
        <f t="shared" si="4"/>
        <v>430592</v>
      </c>
      <c r="H20" s="12">
        <f t="shared" si="5"/>
        <v>928</v>
      </c>
      <c r="I20" s="13">
        <f t="shared" si="6"/>
        <v>464</v>
      </c>
    </row>
    <row r="21" spans="1:15">
      <c r="A21">
        <f t="shared" si="0"/>
        <v>4537775004</v>
      </c>
      <c r="B21" s="12">
        <v>2750</v>
      </c>
      <c r="C21" s="12">
        <f t="shared" si="1"/>
        <v>82502</v>
      </c>
      <c r="D21" s="12">
        <f t="shared" si="2"/>
        <v>55002</v>
      </c>
      <c r="E21" s="85">
        <f t="shared" si="3"/>
        <v>4.5454545454545452E-3</v>
      </c>
      <c r="F21" s="2">
        <f t="shared" si="7"/>
        <v>0.5</v>
      </c>
      <c r="G21" s="12">
        <f t="shared" si="4"/>
        <v>1548800</v>
      </c>
      <c r="H21" s="12">
        <f t="shared" si="5"/>
        <v>1760</v>
      </c>
      <c r="I21" s="13">
        <f t="shared" si="6"/>
        <v>880</v>
      </c>
    </row>
    <row r="22" spans="1:15">
      <c r="A22" t="s">
        <v>26</v>
      </c>
      <c r="B22" s="12">
        <f>79*6*1024</f>
        <v>485376</v>
      </c>
      <c r="C22" s="6">
        <v>42.76</v>
      </c>
    </row>
    <row r="23" spans="1:15">
      <c r="D23" s="40" t="s">
        <v>42</v>
      </c>
    </row>
    <row r="24" spans="1:15">
      <c r="A24" s="21" t="s">
        <v>22</v>
      </c>
      <c r="B24" s="20" t="s">
        <v>25</v>
      </c>
      <c r="C24" s="20" t="s">
        <v>33</v>
      </c>
      <c r="D24" s="21" t="s">
        <v>23</v>
      </c>
      <c r="E24" s="20" t="s">
        <v>39</v>
      </c>
      <c r="F24" s="20" t="s">
        <v>28</v>
      </c>
      <c r="G24" s="20" t="s">
        <v>30</v>
      </c>
      <c r="H24" s="20" t="s">
        <v>29</v>
      </c>
    </row>
    <row r="25" spans="1:15">
      <c r="A25" s="26">
        <v>4608</v>
      </c>
      <c r="B25" s="18">
        <v>0.80800000000000005</v>
      </c>
      <c r="C25" s="18"/>
      <c r="D25" s="26">
        <v>32768</v>
      </c>
      <c r="E25" s="39">
        <v>3.25</v>
      </c>
      <c r="F25" s="41">
        <v>1</v>
      </c>
      <c r="G25" s="22">
        <v>1</v>
      </c>
      <c r="H25" s="22">
        <f>F25/G25</f>
        <v>1</v>
      </c>
      <c r="I25" s="36">
        <v>256</v>
      </c>
      <c r="J25" s="36">
        <v>128</v>
      </c>
    </row>
    <row r="26" spans="1:15">
      <c r="A26" s="26">
        <v>8192</v>
      </c>
      <c r="B26" s="18">
        <v>0.81399999999999995</v>
      </c>
      <c r="C26" s="18"/>
      <c r="D26" s="26">
        <v>65536</v>
      </c>
      <c r="E26" s="39">
        <v>1.6879999999999999</v>
      </c>
      <c r="F26" s="41">
        <f>E25/E26</f>
        <v>1.925355450236967</v>
      </c>
      <c r="G26" s="22">
        <v>2</v>
      </c>
      <c r="H26" s="22">
        <f t="shared" ref="H26:H32" si="8">F26/G26</f>
        <v>0.96267772511848348</v>
      </c>
      <c r="I26" s="36">
        <v>256</v>
      </c>
      <c r="J26" s="36">
        <v>256</v>
      </c>
    </row>
    <row r="27" spans="1:15">
      <c r="A27" s="26">
        <v>18432</v>
      </c>
      <c r="B27" s="18">
        <v>0.8175</v>
      </c>
      <c r="C27" s="18"/>
      <c r="D27" s="26">
        <v>131072</v>
      </c>
      <c r="E27" s="38">
        <v>0.93500000000000005</v>
      </c>
      <c r="F27" s="41">
        <f>E25/E27</f>
        <v>3.475935828877005</v>
      </c>
      <c r="G27" s="22">
        <v>4</v>
      </c>
      <c r="H27" s="22">
        <f t="shared" si="8"/>
        <v>0.86898395721925126</v>
      </c>
      <c r="I27" s="36">
        <v>512</v>
      </c>
      <c r="J27" s="36">
        <v>256</v>
      </c>
    </row>
    <row r="28" spans="1:15">
      <c r="A28" s="26">
        <v>32768</v>
      </c>
      <c r="B28" s="18">
        <v>0.81499999999999995</v>
      </c>
      <c r="C28" s="18"/>
      <c r="D28" s="26">
        <v>196608</v>
      </c>
      <c r="E28" s="38">
        <v>0.65600000000000003</v>
      </c>
      <c r="F28" s="41">
        <f>E25/E28</f>
        <v>4.9542682926829267</v>
      </c>
      <c r="G28" s="22">
        <v>6</v>
      </c>
      <c r="H28" s="22">
        <f t="shared" si="8"/>
        <v>0.82571138211382111</v>
      </c>
      <c r="I28" s="37">
        <v>512</v>
      </c>
      <c r="J28" s="37">
        <v>384</v>
      </c>
    </row>
    <row r="29" spans="1:15">
      <c r="A29" s="26">
        <v>61952</v>
      </c>
      <c r="B29" s="18">
        <v>0.81699999999999995</v>
      </c>
      <c r="C29" s="18"/>
      <c r="D29" s="26">
        <v>262144</v>
      </c>
      <c r="E29" s="18">
        <v>0.48699999999999999</v>
      </c>
      <c r="F29" s="42">
        <f>E25/E29</f>
        <v>6.6735112936344967</v>
      </c>
      <c r="G29" s="22">
        <v>8</v>
      </c>
      <c r="H29" s="22">
        <f t="shared" si="8"/>
        <v>0.83418891170431209</v>
      </c>
      <c r="I29" s="37">
        <v>512</v>
      </c>
      <c r="J29" s="37">
        <v>512</v>
      </c>
    </row>
    <row r="30" spans="1:15">
      <c r="A30" s="26">
        <v>131072</v>
      </c>
      <c r="B30" s="18">
        <v>0.82199999999999995</v>
      </c>
      <c r="C30" s="18"/>
      <c r="D30" s="26">
        <f>D25*G30</f>
        <v>327680</v>
      </c>
      <c r="E30" s="18">
        <v>0.39900000000000002</v>
      </c>
      <c r="F30" s="42">
        <f>E25/E30</f>
        <v>8.1453634085213036</v>
      </c>
      <c r="G30" s="22">
        <v>10</v>
      </c>
      <c r="H30" s="22">
        <f t="shared" si="8"/>
        <v>0.81453634085213034</v>
      </c>
      <c r="I30" s="37">
        <v>512</v>
      </c>
      <c r="J30" s="37">
        <v>640</v>
      </c>
    </row>
    <row r="31" spans="1:15">
      <c r="A31" s="26">
        <v>294912</v>
      </c>
      <c r="B31" s="18">
        <v>0.82299999999999995</v>
      </c>
      <c r="C31" s="18"/>
      <c r="D31" s="26">
        <v>393216</v>
      </c>
      <c r="E31" s="18">
        <v>0.374</v>
      </c>
      <c r="F31" s="42">
        <f>E25/E31</f>
        <v>8.689839572192513</v>
      </c>
      <c r="G31" s="22">
        <v>12</v>
      </c>
      <c r="H31" s="22">
        <f t="shared" si="8"/>
        <v>0.72415329768270942</v>
      </c>
      <c r="I31" s="37">
        <v>768</v>
      </c>
      <c r="J31" s="37">
        <v>512</v>
      </c>
    </row>
    <row r="32" spans="1:15">
      <c r="A32" s="26">
        <v>430592</v>
      </c>
      <c r="B32" s="18">
        <v>0.82299999999999995</v>
      </c>
      <c r="C32" s="18"/>
      <c r="D32" s="26">
        <v>430592</v>
      </c>
      <c r="E32" s="23">
        <v>0.34599999999999997</v>
      </c>
      <c r="F32" s="42">
        <f>E25/E32</f>
        <v>9.3930635838150298</v>
      </c>
      <c r="G32" s="22">
        <f>D32/D25</f>
        <v>13.140625</v>
      </c>
      <c r="H32" s="22">
        <f t="shared" si="8"/>
        <v>0.71481102183610212</v>
      </c>
      <c r="I32" s="37">
        <v>928</v>
      </c>
      <c r="J32" s="37">
        <v>464</v>
      </c>
    </row>
    <row r="33" spans="1:7">
      <c r="B33" s="4"/>
      <c r="C33" s="4"/>
      <c r="D33" s="15"/>
      <c r="E33" s="16"/>
      <c r="F33" s="4"/>
      <c r="G33" s="4"/>
    </row>
    <row r="34" spans="1:7">
      <c r="A34" s="28" t="s">
        <v>32</v>
      </c>
      <c r="B34" s="28" t="s">
        <v>34</v>
      </c>
      <c r="C34" s="28" t="s">
        <v>40</v>
      </c>
      <c r="E34" s="2"/>
      <c r="F34"/>
    </row>
    <row r="35" spans="1:7">
      <c r="A35" s="20" t="s">
        <v>24</v>
      </c>
      <c r="B35" s="20" t="s">
        <v>27</v>
      </c>
      <c r="C35" s="20" t="s">
        <v>31</v>
      </c>
      <c r="D35">
        <v>322</v>
      </c>
      <c r="E35" s="2"/>
      <c r="F35"/>
    </row>
    <row r="36" spans="1:7">
      <c r="A36" s="18">
        <v>32768</v>
      </c>
      <c r="B36" s="18" t="s">
        <v>45</v>
      </c>
      <c r="C36" s="24" t="s">
        <v>35</v>
      </c>
      <c r="E36" s="2"/>
      <c r="F36"/>
    </row>
    <row r="37" spans="1:7">
      <c r="A37" s="18">
        <v>61352</v>
      </c>
      <c r="B37" s="18" t="s">
        <v>46</v>
      </c>
      <c r="C37" s="18" t="s">
        <v>36</v>
      </c>
      <c r="E37" s="2"/>
      <c r="F37"/>
    </row>
    <row r="38" spans="1:7">
      <c r="A38" s="18">
        <v>131072</v>
      </c>
      <c r="B38" s="18" t="s">
        <v>47</v>
      </c>
      <c r="C38" s="27" t="s">
        <v>37</v>
      </c>
      <c r="E38" s="2"/>
      <c r="F38"/>
    </row>
    <row r="39" spans="1:7">
      <c r="A39" s="18">
        <v>204800</v>
      </c>
      <c r="B39" s="18" t="s">
        <v>48</v>
      </c>
      <c r="C39" s="27" t="s">
        <v>38</v>
      </c>
      <c r="E39" s="2"/>
      <c r="F39"/>
    </row>
    <row r="40" spans="1:7">
      <c r="A40" s="18">
        <v>430592</v>
      </c>
      <c r="B40" s="18" t="s">
        <v>49</v>
      </c>
      <c r="C40" s="18"/>
    </row>
    <row r="51" spans="1:7">
      <c r="A51" s="40" t="s">
        <v>41</v>
      </c>
    </row>
    <row r="52" spans="1:7">
      <c r="A52" s="21" t="s">
        <v>23</v>
      </c>
      <c r="B52" s="20" t="s">
        <v>39</v>
      </c>
      <c r="C52" s="20" t="s">
        <v>28</v>
      </c>
      <c r="D52" s="20" t="s">
        <v>30</v>
      </c>
      <c r="E52" s="20" t="s">
        <v>29</v>
      </c>
    </row>
    <row r="53" spans="1:7">
      <c r="A53" s="26">
        <v>32768</v>
      </c>
      <c r="B53" s="18">
        <v>12.57</v>
      </c>
      <c r="C53" s="22">
        <v>1</v>
      </c>
      <c r="D53" s="22">
        <v>1</v>
      </c>
      <c r="E53" s="22">
        <f>C53/D53</f>
        <v>1</v>
      </c>
    </row>
    <row r="54" spans="1:7">
      <c r="A54" s="26">
        <v>65536</v>
      </c>
      <c r="B54" s="18">
        <v>6.343</v>
      </c>
      <c r="C54" s="22">
        <f>B53/B54</f>
        <v>1.9817121236008199</v>
      </c>
      <c r="D54" s="22">
        <v>2</v>
      </c>
      <c r="E54" s="22">
        <f t="shared" ref="E54:E60" si="9">C54/D54</f>
        <v>0.99085606180040997</v>
      </c>
    </row>
    <row r="55" spans="1:7">
      <c r="A55" s="26">
        <v>131072</v>
      </c>
      <c r="B55" s="18">
        <v>3.2890000000000001</v>
      </c>
      <c r="C55" s="22">
        <f>B53/B55</f>
        <v>3.821830343569474</v>
      </c>
      <c r="D55" s="22">
        <v>4</v>
      </c>
      <c r="E55" s="22">
        <f t="shared" si="9"/>
        <v>0.95545758589236851</v>
      </c>
    </row>
    <row r="56" spans="1:7">
      <c r="A56" s="26">
        <v>196608</v>
      </c>
      <c r="B56" s="18">
        <v>2.2469999999999999</v>
      </c>
      <c r="C56" s="22">
        <f>B53/B56</f>
        <v>5.5941255006675572</v>
      </c>
      <c r="D56" s="22">
        <v>6</v>
      </c>
      <c r="E56" s="22">
        <f t="shared" si="9"/>
        <v>0.9323542501112595</v>
      </c>
    </row>
    <row r="57" spans="1:7">
      <c r="A57" s="26">
        <v>262144</v>
      </c>
      <c r="B57" s="18">
        <v>1.7050000000000001</v>
      </c>
      <c r="C57" s="22">
        <f>B53/B57</f>
        <v>7.3724340175953076</v>
      </c>
      <c r="D57" s="22">
        <v>8</v>
      </c>
      <c r="E57" s="22">
        <f t="shared" si="9"/>
        <v>0.92155425219941345</v>
      </c>
    </row>
    <row r="58" spans="1:7">
      <c r="A58" s="26">
        <v>327680</v>
      </c>
      <c r="B58" s="18">
        <v>1.377</v>
      </c>
      <c r="C58" s="22">
        <f>B53/B58</f>
        <v>9.128540305010894</v>
      </c>
      <c r="D58" s="22">
        <v>10</v>
      </c>
      <c r="E58" s="22">
        <f t="shared" si="9"/>
        <v>0.91285403050108938</v>
      </c>
    </row>
    <row r="59" spans="1:7">
      <c r="A59" s="26">
        <v>393216</v>
      </c>
      <c r="B59" s="18">
        <v>1.2150000000000001</v>
      </c>
      <c r="C59" s="22">
        <f>B53/B59</f>
        <v>10.345679012345679</v>
      </c>
      <c r="D59" s="22">
        <v>12</v>
      </c>
      <c r="E59" s="22">
        <f t="shared" si="9"/>
        <v>0.86213991769547327</v>
      </c>
    </row>
    <row r="60" spans="1:7">
      <c r="A60" s="26">
        <v>430592</v>
      </c>
      <c r="B60" s="23">
        <v>1.147</v>
      </c>
      <c r="C60" s="22">
        <f>B53/B60</f>
        <v>10.959023539668701</v>
      </c>
      <c r="D60" s="22">
        <f>A60/A53</f>
        <v>13.140625</v>
      </c>
      <c r="E60" s="22">
        <f t="shared" si="9"/>
        <v>0.83398038827443144</v>
      </c>
    </row>
    <row r="62" spans="1:7">
      <c r="A62" s="40" t="s">
        <v>44</v>
      </c>
    </row>
    <row r="63" spans="1:7">
      <c r="A63" s="21" t="s">
        <v>43</v>
      </c>
      <c r="B63" s="20" t="s">
        <v>25</v>
      </c>
      <c r="C63" s="20" t="s">
        <v>28</v>
      </c>
      <c r="D63" s="20" t="s">
        <v>30</v>
      </c>
      <c r="E63" s="20" t="s">
        <v>33</v>
      </c>
    </row>
    <row r="64" spans="1:7">
      <c r="A64" s="26">
        <v>32768</v>
      </c>
      <c r="B64" s="18">
        <v>51.536000000000001</v>
      </c>
      <c r="C64" s="22">
        <v>1</v>
      </c>
      <c r="D64" s="22">
        <v>1</v>
      </c>
      <c r="E64" s="22">
        <v>1</v>
      </c>
      <c r="F64" s="36">
        <v>256</v>
      </c>
      <c r="G64" s="36">
        <v>128</v>
      </c>
    </row>
    <row r="65" spans="1:16">
      <c r="A65" s="26">
        <v>65536</v>
      </c>
      <c r="B65" s="18">
        <v>25.103000000000002</v>
      </c>
      <c r="C65" s="22">
        <f>B64/B65</f>
        <v>2.0529817153328285</v>
      </c>
      <c r="D65" s="22">
        <v>2</v>
      </c>
      <c r="E65" s="22">
        <f t="shared" ref="E65:E71" si="10">C65/D65</f>
        <v>1.0264908576664142</v>
      </c>
      <c r="F65" s="36">
        <v>256</v>
      </c>
      <c r="G65" s="36">
        <v>256</v>
      </c>
    </row>
    <row r="66" spans="1:16">
      <c r="A66" s="26">
        <v>131072</v>
      </c>
      <c r="B66" s="18">
        <v>12.676</v>
      </c>
      <c r="C66" s="22">
        <f>B64/B66</f>
        <v>4.0656358472704328</v>
      </c>
      <c r="D66" s="22">
        <v>4</v>
      </c>
      <c r="E66" s="22">
        <f t="shared" si="10"/>
        <v>1.0164089618176082</v>
      </c>
      <c r="F66" s="36">
        <v>512</v>
      </c>
      <c r="G66" s="36">
        <v>256</v>
      </c>
    </row>
    <row r="67" spans="1:16">
      <c r="A67" s="26">
        <v>196608</v>
      </c>
      <c r="B67" s="18">
        <v>8.3970000000000002</v>
      </c>
      <c r="C67" s="22">
        <f>B64/B67</f>
        <v>6.1374300345361439</v>
      </c>
      <c r="D67" s="22">
        <v>6</v>
      </c>
      <c r="E67" s="22">
        <f t="shared" si="10"/>
        <v>1.0229050057560241</v>
      </c>
      <c r="F67" s="37">
        <v>512</v>
      </c>
      <c r="G67" s="37">
        <v>384</v>
      </c>
    </row>
    <row r="68" spans="1:16">
      <c r="A68" s="26">
        <v>262144</v>
      </c>
      <c r="B68" s="18">
        <v>6.3410000000000002</v>
      </c>
      <c r="C68" s="22">
        <f>B64/B68</f>
        <v>8.1274246964201229</v>
      </c>
      <c r="D68" s="22">
        <v>8</v>
      </c>
      <c r="E68" s="22">
        <f t="shared" si="10"/>
        <v>1.0159280870525154</v>
      </c>
      <c r="F68" s="37">
        <v>512</v>
      </c>
      <c r="G68" s="37">
        <v>512</v>
      </c>
    </row>
    <row r="69" spans="1:16">
      <c r="A69" s="26">
        <v>327680</v>
      </c>
      <c r="B69" s="18">
        <v>4.9589999999999996</v>
      </c>
      <c r="C69" s="22">
        <f>B64/B69</f>
        <v>10.392417826174633</v>
      </c>
      <c r="D69" s="22">
        <v>10</v>
      </c>
      <c r="E69" s="22">
        <f t="shared" si="10"/>
        <v>1.0392417826174634</v>
      </c>
      <c r="F69" s="37">
        <v>512</v>
      </c>
      <c r="G69" s="37">
        <v>640</v>
      </c>
    </row>
    <row r="70" spans="1:16">
      <c r="A70" s="26">
        <v>393216</v>
      </c>
      <c r="B70" s="18">
        <v>4.2389999999999999</v>
      </c>
      <c r="C70" s="22">
        <f>B64/B70</f>
        <v>12.157584335928286</v>
      </c>
      <c r="D70" s="22">
        <v>12</v>
      </c>
      <c r="E70" s="22">
        <f t="shared" si="10"/>
        <v>1.0131320279940239</v>
      </c>
      <c r="F70" s="37">
        <v>768</v>
      </c>
      <c r="G70" s="37">
        <v>512</v>
      </c>
    </row>
    <row r="71" spans="1:16">
      <c r="A71" s="26">
        <v>430592</v>
      </c>
      <c r="B71" s="23">
        <v>3.95</v>
      </c>
      <c r="C71" s="22">
        <f>B64/B71</f>
        <v>13.047088607594937</v>
      </c>
      <c r="D71" s="22">
        <v>13.140625</v>
      </c>
      <c r="E71" s="22">
        <f t="shared" si="10"/>
        <v>0.99288189166001894</v>
      </c>
      <c r="F71" s="37">
        <v>928</v>
      </c>
      <c r="G71" s="37">
        <v>464</v>
      </c>
    </row>
    <row r="74" spans="1:16">
      <c r="A74" s="40" t="s">
        <v>44</v>
      </c>
    </row>
    <row r="75" spans="1:16">
      <c r="A75" s="21" t="s">
        <v>43</v>
      </c>
      <c r="B75" s="20" t="s">
        <v>25</v>
      </c>
      <c r="C75" s="20" t="s">
        <v>28</v>
      </c>
      <c r="D75" s="20" t="s">
        <v>50</v>
      </c>
      <c r="E75" s="20" t="s">
        <v>33</v>
      </c>
    </row>
    <row r="76" spans="1:16">
      <c r="A76" s="26">
        <v>65536</v>
      </c>
      <c r="B76" s="18">
        <v>25.103000000000002</v>
      </c>
      <c r="C76" s="42">
        <v>1</v>
      </c>
      <c r="D76" s="22">
        <v>1</v>
      </c>
      <c r="E76" s="43">
        <v>1</v>
      </c>
      <c r="F76" s="36">
        <v>256</v>
      </c>
      <c r="G76" s="36">
        <v>256</v>
      </c>
    </row>
    <row r="77" spans="1:16">
      <c r="A77" s="26">
        <v>131072</v>
      </c>
      <c r="B77" s="18">
        <v>12.676</v>
      </c>
      <c r="C77" s="42">
        <f>B76/B77</f>
        <v>1.980356579362575</v>
      </c>
      <c r="D77" s="22">
        <v>2</v>
      </c>
      <c r="E77" s="43">
        <f t="shared" ref="E77:E82" si="11">C77/D77</f>
        <v>0.99017828968128752</v>
      </c>
      <c r="F77" s="36">
        <v>512</v>
      </c>
      <c r="G77" s="36">
        <v>256</v>
      </c>
    </row>
    <row r="78" spans="1:16">
      <c r="A78" s="26">
        <v>196608</v>
      </c>
      <c r="B78" s="18">
        <v>8.3970000000000002</v>
      </c>
      <c r="C78" s="42">
        <f>B76/B78</f>
        <v>2.9895200666904849</v>
      </c>
      <c r="D78" s="22">
        <v>3</v>
      </c>
      <c r="E78" s="43">
        <f t="shared" si="11"/>
        <v>0.99650668889682825</v>
      </c>
      <c r="F78" s="37">
        <v>512</v>
      </c>
      <c r="G78" s="37">
        <v>384</v>
      </c>
    </row>
    <row r="79" spans="1:16">
      <c r="A79" s="26">
        <v>262144</v>
      </c>
      <c r="B79" s="18">
        <v>6.3410000000000002</v>
      </c>
      <c r="C79" s="42">
        <f>B76/B79</f>
        <v>3.9588392997949851</v>
      </c>
      <c r="D79" s="22">
        <v>4</v>
      </c>
      <c r="E79" s="43">
        <f t="shared" si="11"/>
        <v>0.98970982494874626</v>
      </c>
      <c r="F79" s="37">
        <v>512</v>
      </c>
      <c r="G79" s="37">
        <v>512</v>
      </c>
    </row>
    <row r="80" spans="1:16">
      <c r="A80" s="26">
        <v>327680</v>
      </c>
      <c r="B80" s="18">
        <v>4.9589999999999996</v>
      </c>
      <c r="C80" s="42">
        <f>B76/B80</f>
        <v>5.062109296229079</v>
      </c>
      <c r="D80" s="22">
        <v>5</v>
      </c>
      <c r="E80" s="43">
        <f t="shared" si="11"/>
        <v>1.0124218592458158</v>
      </c>
      <c r="F80" s="37">
        <v>512</v>
      </c>
      <c r="G80" s="37">
        <v>640</v>
      </c>
      <c r="O80">
        <v>322</v>
      </c>
      <c r="P80">
        <v>429</v>
      </c>
    </row>
    <row r="81" spans="1:7">
      <c r="A81" s="26">
        <v>393216</v>
      </c>
      <c r="B81" s="18">
        <v>4.2389999999999999</v>
      </c>
      <c r="C81" s="42">
        <f>B76/B81</f>
        <v>5.9219155461193687</v>
      </c>
      <c r="D81" s="22">
        <v>6</v>
      </c>
      <c r="E81" s="43">
        <f t="shared" si="11"/>
        <v>0.98698592435322807</v>
      </c>
      <c r="F81" s="37">
        <v>768</v>
      </c>
      <c r="G81" s="37">
        <v>512</v>
      </c>
    </row>
    <row r="82" spans="1:7">
      <c r="A82" s="26">
        <v>430592</v>
      </c>
      <c r="B82" s="23">
        <v>3.95</v>
      </c>
      <c r="C82" s="42">
        <f>B76/B82</f>
        <v>6.3551898734177215</v>
      </c>
      <c r="D82" s="22">
        <v>6.57</v>
      </c>
      <c r="E82" s="43">
        <f t="shared" si="11"/>
        <v>0.967304394736335</v>
      </c>
      <c r="F82" s="37">
        <v>928</v>
      </c>
      <c r="G82" s="37">
        <v>464</v>
      </c>
    </row>
    <row r="92" spans="1:7">
      <c r="A92" s="2">
        <v>113.15</v>
      </c>
    </row>
    <row r="93" spans="1:7">
      <c r="A93" s="2">
        <v>113.15</v>
      </c>
    </row>
    <row r="94" spans="1:7">
      <c r="A94" s="2">
        <v>113.15</v>
      </c>
    </row>
    <row r="95" spans="1:7">
      <c r="A95" s="2">
        <v>113.15</v>
      </c>
    </row>
    <row r="96" spans="1:7">
      <c r="A96" s="2">
        <v>113.15</v>
      </c>
    </row>
    <row r="97" spans="1:10">
      <c r="A97" s="2">
        <v>113.15</v>
      </c>
    </row>
    <row r="99" spans="1:10">
      <c r="A99" s="2">
        <v>113.15</v>
      </c>
    </row>
    <row r="100" spans="1:10">
      <c r="A100" t="s">
        <v>56</v>
      </c>
    </row>
    <row r="101" spans="1:10">
      <c r="A101" s="21" t="s">
        <v>22</v>
      </c>
      <c r="B101" s="20" t="s">
        <v>25</v>
      </c>
      <c r="C101" s="20" t="s">
        <v>51</v>
      </c>
      <c r="D101" s="20" t="s">
        <v>33</v>
      </c>
      <c r="E101" s="1">
        <v>1</v>
      </c>
      <c r="F101" s="2">
        <v>2</v>
      </c>
      <c r="G101">
        <v>3</v>
      </c>
      <c r="H101">
        <v>4</v>
      </c>
      <c r="I101">
        <v>5</v>
      </c>
      <c r="J101">
        <v>6</v>
      </c>
    </row>
    <row r="102" spans="1:10">
      <c r="A102" s="26">
        <v>4608</v>
      </c>
      <c r="B102" s="18">
        <v>0.80800000000000005</v>
      </c>
      <c r="C102" s="44">
        <f>(113.15/B102/30)*A102*0.001</f>
        <v>21.509702970297031</v>
      </c>
      <c r="D102" s="47">
        <f>C102/(2.3*A102)</f>
        <v>2.0295236045343667E-3</v>
      </c>
    </row>
    <row r="103" spans="1:10">
      <c r="A103" s="26">
        <v>8192</v>
      </c>
      <c r="B103" s="18">
        <v>0.81399999999999995</v>
      </c>
      <c r="C103" s="44">
        <f t="shared" ref="C103:C108" si="12">(113.15/B103/30)*A103*0.001</f>
        <v>37.95760851760852</v>
      </c>
      <c r="D103" s="47">
        <f t="shared" ref="D103:D109" si="13">C103/(2.3*A103)</f>
        <v>2.0145639710857106E-3</v>
      </c>
    </row>
    <row r="104" spans="1:10">
      <c r="A104" s="26">
        <v>18432</v>
      </c>
      <c r="B104" s="18">
        <v>0.8175</v>
      </c>
      <c r="C104" s="44">
        <f t="shared" si="12"/>
        <v>85.03897247706422</v>
      </c>
      <c r="D104" s="47">
        <f t="shared" si="13"/>
        <v>2.0059389265611842E-3</v>
      </c>
    </row>
    <row r="105" spans="1:10">
      <c r="A105" s="26">
        <v>32768</v>
      </c>
      <c r="B105" s="18">
        <v>0.81499999999999995</v>
      </c>
      <c r="C105" s="44">
        <f t="shared" si="12"/>
        <v>151.64413905930473</v>
      </c>
      <c r="D105" s="47">
        <f t="shared" si="13"/>
        <v>2.0120921134524766E-3</v>
      </c>
    </row>
    <row r="106" spans="1:10">
      <c r="A106" s="26">
        <v>61952</v>
      </c>
      <c r="B106" s="18">
        <v>0.81699999999999995</v>
      </c>
      <c r="C106" s="44">
        <f t="shared" si="12"/>
        <v>286.00035903712768</v>
      </c>
      <c r="D106" s="47">
        <f t="shared" si="13"/>
        <v>2.0071665513632414E-3</v>
      </c>
    </row>
    <row r="107" spans="1:10">
      <c r="A107" s="26">
        <v>131072</v>
      </c>
      <c r="B107" s="18">
        <v>0.82199999999999995</v>
      </c>
      <c r="C107" s="44">
        <f t="shared" si="12"/>
        <v>601.41106244931063</v>
      </c>
      <c r="D107" s="47">
        <f t="shared" si="13"/>
        <v>1.9949575090800102E-3</v>
      </c>
    </row>
    <row r="108" spans="1:10">
      <c r="A108" s="26">
        <v>294912</v>
      </c>
      <c r="B108" s="18">
        <v>0.82299999999999995</v>
      </c>
      <c r="C108" s="44">
        <f t="shared" si="12"/>
        <v>1351.5306925880925</v>
      </c>
      <c r="D108" s="47">
        <f t="shared" si="13"/>
        <v>1.9925335023861096E-3</v>
      </c>
    </row>
    <row r="109" spans="1:10">
      <c r="A109" s="26">
        <v>430592</v>
      </c>
      <c r="B109" s="18">
        <v>0.82299999999999995</v>
      </c>
      <c r="C109" s="44">
        <f>(113.15/B109/30)*A109*0.001</f>
        <v>1973.3286674767114</v>
      </c>
      <c r="D109" s="47">
        <f t="shared" si="13"/>
        <v>1.9925335023861096E-3</v>
      </c>
    </row>
    <row r="129" spans="1:4">
      <c r="A129" s="93" t="s">
        <v>119</v>
      </c>
      <c r="B129" s="93"/>
      <c r="C129" s="93"/>
      <c r="D129" s="93"/>
    </row>
    <row r="130" spans="1:4">
      <c r="A130" s="50"/>
      <c r="B130" s="19" t="s">
        <v>52</v>
      </c>
      <c r="C130" s="19" t="s">
        <v>53</v>
      </c>
      <c r="D130" s="19" t="s">
        <v>54</v>
      </c>
    </row>
    <row r="131" spans="1:4">
      <c r="A131" s="19" t="s">
        <v>55</v>
      </c>
      <c r="B131" s="19">
        <v>433.86</v>
      </c>
      <c r="C131" s="19">
        <f>B131/D131</f>
        <v>49.868965517241385</v>
      </c>
      <c r="D131" s="19">
        <v>8.6999999999999993</v>
      </c>
    </row>
    <row r="132" spans="1:4">
      <c r="A132" s="19" t="s">
        <v>56</v>
      </c>
      <c r="B132" s="19">
        <v>1211.5455999999999</v>
      </c>
      <c r="C132" s="19">
        <f t="shared" ref="C132:C133" si="14">B132/D132</f>
        <v>165.06070844686647</v>
      </c>
      <c r="D132" s="19">
        <v>7.34</v>
      </c>
    </row>
    <row r="133" spans="1:4">
      <c r="A133" s="19" t="s">
        <v>57</v>
      </c>
      <c r="B133" s="19">
        <v>4158.6053000000002</v>
      </c>
      <c r="C133" s="19">
        <f t="shared" si="14"/>
        <v>568.89265389876891</v>
      </c>
      <c r="D133" s="19">
        <v>7.31</v>
      </c>
    </row>
    <row r="134" spans="1:4">
      <c r="B134" s="80" t="s">
        <v>120</v>
      </c>
      <c r="C134" s="3">
        <v>4.75</v>
      </c>
    </row>
    <row r="135" spans="1:4">
      <c r="B135" s="80">
        <v>0.19</v>
      </c>
      <c r="C135">
        <v>1.43</v>
      </c>
    </row>
    <row r="136" spans="1:4">
      <c r="B136" s="80">
        <v>5.7000000000000002E-2</v>
      </c>
      <c r="C136">
        <v>0.41599999999999998</v>
      </c>
    </row>
    <row r="170" spans="1:5">
      <c r="A170" s="44"/>
    </row>
    <row r="171" spans="1:5">
      <c r="A171">
        <v>1973.329</v>
      </c>
    </row>
    <row r="172" spans="1:5" ht="17" thickBot="1">
      <c r="A172" s="92" t="s">
        <v>122</v>
      </c>
      <c r="B172" s="92"/>
      <c r="C172" s="81"/>
      <c r="D172" s="81"/>
    </row>
    <row r="173" spans="1:5" ht="18" thickTop="1" thickBot="1">
      <c r="A173" s="82" t="s">
        <v>123</v>
      </c>
      <c r="B173" s="82" t="s">
        <v>124</v>
      </c>
    </row>
    <row r="174" spans="1:5" ht="18" thickTop="1" thickBot="1">
      <c r="A174" s="83">
        <v>32768</v>
      </c>
      <c r="B174" s="82">
        <f>B181/C181</f>
        <v>180.06430891010342</v>
      </c>
      <c r="C174">
        <v>1</v>
      </c>
      <c r="D174" s="79">
        <v>12.57</v>
      </c>
      <c r="E174" s="84">
        <f>B174/10.31</f>
        <v>17.465015413201108</v>
      </c>
    </row>
    <row r="175" spans="1:5" ht="18" thickTop="1" thickBot="1">
      <c r="A175" s="83">
        <v>65536</v>
      </c>
      <c r="B175" s="82">
        <f>B174*C175</f>
        <v>356.83562399495509</v>
      </c>
      <c r="C175">
        <f>12.57/D175</f>
        <v>1.9817121236008199</v>
      </c>
      <c r="D175" s="79">
        <v>6.343</v>
      </c>
      <c r="E175" s="84">
        <f>B175/10.29</f>
        <v>34.677903206506812</v>
      </c>
    </row>
    <row r="176" spans="1:5" ht="18" thickTop="1" thickBot="1">
      <c r="A176" s="83">
        <v>131072</v>
      </c>
      <c r="B176" s="82">
        <f>B174*C176</f>
        <v>688.17523958650042</v>
      </c>
      <c r="C176">
        <f t="shared" ref="C176:C181" si="15">12.57/D176</f>
        <v>3.821830343569474</v>
      </c>
      <c r="D176" s="79">
        <v>3.2890000000000001</v>
      </c>
      <c r="E176" s="84">
        <f>B176/10.3</f>
        <v>66.813130056941787</v>
      </c>
    </row>
    <row r="177" spans="1:6" ht="18" thickTop="1" thickBot="1">
      <c r="A177" s="83">
        <v>196608</v>
      </c>
      <c r="B177" s="82">
        <f>B174*C177</f>
        <v>1007.30234223409</v>
      </c>
      <c r="C177">
        <f t="shared" si="15"/>
        <v>5.5941255006675572</v>
      </c>
      <c r="D177" s="79">
        <v>2.2469999999999999</v>
      </c>
      <c r="E177" s="84">
        <f>B177/10.29</f>
        <v>97.891384084945585</v>
      </c>
    </row>
    <row r="178" spans="1:6" ht="18" thickTop="1" thickBot="1">
      <c r="A178" s="83">
        <v>262144</v>
      </c>
      <c r="B178" s="82">
        <f>B174*C178</f>
        <v>1327.5122363636362</v>
      </c>
      <c r="C178">
        <f t="shared" si="15"/>
        <v>7.3724340175953076</v>
      </c>
      <c r="D178" s="79">
        <v>1.7050000000000001</v>
      </c>
      <c r="E178" s="84">
        <f>B178/10.29</f>
        <v>129.00993550667019</v>
      </c>
    </row>
    <row r="179" spans="1:6" ht="18" thickTop="1" thickBot="1">
      <c r="A179" s="83">
        <v>327680</v>
      </c>
      <c r="B179" s="82">
        <f>B174*C179</f>
        <v>1643.7243013798113</v>
      </c>
      <c r="C179">
        <f t="shared" si="15"/>
        <v>9.128540305010894</v>
      </c>
      <c r="D179" s="79">
        <v>1.377</v>
      </c>
      <c r="E179" s="84">
        <f>B179/10.28</f>
        <v>159.8953600564019</v>
      </c>
    </row>
    <row r="180" spans="1:6" ht="18" thickTop="1" thickBot="1">
      <c r="A180" s="83">
        <v>393216</v>
      </c>
      <c r="B180" s="82">
        <f>B174*C180</f>
        <v>1862.887541563786</v>
      </c>
      <c r="C180">
        <f t="shared" si="15"/>
        <v>10.345679012345679</v>
      </c>
      <c r="D180" s="79">
        <v>1.2150000000000001</v>
      </c>
      <c r="E180" s="84">
        <f>B180/10.25</f>
        <v>181.74512600622302</v>
      </c>
    </row>
    <row r="181" spans="1:6" ht="18" thickTop="1" thickBot="1">
      <c r="A181" s="83">
        <v>430592</v>
      </c>
      <c r="B181" s="82">
        <v>1973.329</v>
      </c>
      <c r="C181">
        <f t="shared" si="15"/>
        <v>10.959023539668701</v>
      </c>
      <c r="D181" s="23">
        <v>1.147</v>
      </c>
      <c r="E181" s="23">
        <f>B181/10.25</f>
        <v>192.51990243902438</v>
      </c>
    </row>
    <row r="182" spans="1:6" ht="17" thickTop="1"/>
    <row r="184" spans="1:6">
      <c r="A184" t="s">
        <v>128</v>
      </c>
    </row>
    <row r="185" spans="1:6">
      <c r="A185" s="21" t="s">
        <v>22</v>
      </c>
      <c r="B185" s="20" t="s">
        <v>25</v>
      </c>
      <c r="C185" s="20" t="s">
        <v>51</v>
      </c>
      <c r="D185" s="20" t="s">
        <v>33</v>
      </c>
    </row>
    <row r="186" spans="1:6">
      <c r="A186" s="26">
        <v>4608</v>
      </c>
      <c r="B186" s="89">
        <v>0.80800000000000005</v>
      </c>
      <c r="C186" s="44">
        <f>(113.15/B186/30)*A186*0.001</f>
        <v>21.509702970297031</v>
      </c>
      <c r="D186" s="47">
        <f>C186/(2.3*A186)</f>
        <v>2.0295236045343667E-3</v>
      </c>
    </row>
    <row r="187" spans="1:6">
      <c r="A187" s="26">
        <v>8192</v>
      </c>
      <c r="B187" s="89">
        <v>0.81399999999999995</v>
      </c>
      <c r="C187" s="44">
        <f t="shared" ref="C187:C192" si="16">(113.15/B187/30)*A187*0.001</f>
        <v>37.95760851760852</v>
      </c>
      <c r="D187" s="47">
        <f t="shared" ref="D187:D193" si="17">C187/(2.3*A187)</f>
        <v>2.0145639710857106E-3</v>
      </c>
    </row>
    <row r="188" spans="1:6">
      <c r="A188" s="26">
        <v>18432</v>
      </c>
      <c r="B188" s="89">
        <v>0.8175</v>
      </c>
      <c r="C188" s="44">
        <f t="shared" si="16"/>
        <v>85.03897247706422</v>
      </c>
      <c r="D188" s="47">
        <f t="shared" si="17"/>
        <v>2.0059389265611842E-3</v>
      </c>
    </row>
    <row r="189" spans="1:6">
      <c r="A189" s="26">
        <v>32768</v>
      </c>
      <c r="B189" s="89">
        <v>0.81499999999999995</v>
      </c>
      <c r="C189" s="44">
        <f t="shared" si="16"/>
        <v>151.64413905930473</v>
      </c>
      <c r="D189" s="47">
        <f t="shared" si="17"/>
        <v>2.0120921134524766E-3</v>
      </c>
    </row>
    <row r="190" spans="1:6">
      <c r="A190" s="26">
        <v>61952</v>
      </c>
      <c r="B190" s="89">
        <v>0.81699999999999995</v>
      </c>
      <c r="C190" s="44">
        <f t="shared" si="16"/>
        <v>286.00035903712768</v>
      </c>
      <c r="D190" s="47">
        <f t="shared" si="17"/>
        <v>2.0071665513632414E-3</v>
      </c>
    </row>
    <row r="191" spans="1:6">
      <c r="A191" s="26">
        <v>131072</v>
      </c>
      <c r="B191" s="89">
        <v>0.82199999999999995</v>
      </c>
      <c r="C191" s="44">
        <f t="shared" si="16"/>
        <v>601.41106244931063</v>
      </c>
      <c r="D191" s="47">
        <f t="shared" si="17"/>
        <v>1.9949575090800102E-3</v>
      </c>
    </row>
    <row r="192" spans="1:6">
      <c r="A192" s="26">
        <v>294912</v>
      </c>
      <c r="B192" s="89">
        <v>0.82299999999999995</v>
      </c>
      <c r="C192" s="44">
        <f t="shared" si="16"/>
        <v>1351.5306925880925</v>
      </c>
      <c r="D192" s="47">
        <f t="shared" si="17"/>
        <v>1.9925335023861096E-3</v>
      </c>
      <c r="F192" s="108">
        <f>C6*D6</f>
        <v>6010004</v>
      </c>
    </row>
    <row r="193" spans="1:8">
      <c r="A193" s="26">
        <v>430592</v>
      </c>
      <c r="B193" s="89">
        <v>0.82299999999999995</v>
      </c>
      <c r="C193" s="44">
        <f>(113.15/B193/30)*A193*0.001</f>
        <v>1973.3286674767114</v>
      </c>
      <c r="D193" s="47">
        <f t="shared" si="17"/>
        <v>1.9925335023861096E-3</v>
      </c>
      <c r="E193" s="8">
        <f>110*E7</f>
        <v>9.1666666666666661</v>
      </c>
      <c r="F193" s="108">
        <f>C7*D7</f>
        <v>13515004</v>
      </c>
      <c r="G193">
        <f>(B7/25)^2*128</f>
        <v>4608</v>
      </c>
      <c r="H193">
        <f>G193*65</f>
        <v>299520</v>
      </c>
    </row>
    <row r="194" spans="1:8">
      <c r="A194" t="s">
        <v>56</v>
      </c>
      <c r="B194" t="s">
        <v>129</v>
      </c>
      <c r="E194" s="8">
        <f t="shared" ref="E194:E207" si="18">110*E8</f>
        <v>6.875</v>
      </c>
      <c r="F194">
        <f>C8*D8</f>
        <v>24020004</v>
      </c>
      <c r="G194">
        <f t="shared" ref="G194:G207" si="19">(B8/25)^2*128</f>
        <v>8192</v>
      </c>
      <c r="H194">
        <f t="shared" ref="H194:H207" si="20">G194*65</f>
        <v>532480</v>
      </c>
    </row>
    <row r="195" spans="1:8">
      <c r="A195">
        <f>A186*65</f>
        <v>299520</v>
      </c>
      <c r="B195" s="2">
        <f>E193</f>
        <v>9.1666666666666661</v>
      </c>
      <c r="C195" s="109">
        <f>F193</f>
        <v>13515004</v>
      </c>
      <c r="E195" s="8">
        <f t="shared" si="18"/>
        <v>5.5</v>
      </c>
      <c r="F195">
        <f t="shared" ref="F195:F207" si="21">C9*D9</f>
        <v>37525004</v>
      </c>
      <c r="G195">
        <f t="shared" si="19"/>
        <v>12800</v>
      </c>
      <c r="H195">
        <f t="shared" si="20"/>
        <v>832000</v>
      </c>
    </row>
    <row r="196" spans="1:8">
      <c r="A196">
        <f t="shared" ref="A196:A202" si="22">A187*65</f>
        <v>532480</v>
      </c>
      <c r="B196" s="2">
        <f>E194</f>
        <v>6.875</v>
      </c>
      <c r="C196">
        <f>F194</f>
        <v>24020004</v>
      </c>
      <c r="E196" s="8">
        <f t="shared" si="18"/>
        <v>5</v>
      </c>
      <c r="F196">
        <f t="shared" si="21"/>
        <v>45402504</v>
      </c>
      <c r="G196">
        <f t="shared" si="19"/>
        <v>15488</v>
      </c>
      <c r="H196">
        <f t="shared" si="20"/>
        <v>1006720</v>
      </c>
    </row>
    <row r="197" spans="1:8">
      <c r="A197">
        <f t="shared" si="22"/>
        <v>1198080</v>
      </c>
      <c r="B197" s="2">
        <f>E197</f>
        <v>4.583333333333333</v>
      </c>
      <c r="C197">
        <f>F197</f>
        <v>54030004</v>
      </c>
      <c r="E197" s="8">
        <f t="shared" si="18"/>
        <v>4.583333333333333</v>
      </c>
      <c r="F197">
        <f t="shared" si="21"/>
        <v>54030004</v>
      </c>
      <c r="G197">
        <f t="shared" si="19"/>
        <v>18432</v>
      </c>
      <c r="H197">
        <f t="shared" si="20"/>
        <v>1198080</v>
      </c>
    </row>
    <row r="198" spans="1:8">
      <c r="A198">
        <f t="shared" si="22"/>
        <v>2129920</v>
      </c>
      <c r="B198" s="2">
        <f>E199</f>
        <v>3.4375</v>
      </c>
      <c r="C198">
        <f>F199</f>
        <v>96040004</v>
      </c>
      <c r="E198" s="8">
        <f t="shared" si="18"/>
        <v>3.9285714285714284</v>
      </c>
      <c r="F198">
        <f t="shared" si="21"/>
        <v>73535004</v>
      </c>
      <c r="G198">
        <f t="shared" si="19"/>
        <v>25088</v>
      </c>
      <c r="H198">
        <f t="shared" si="20"/>
        <v>1630720</v>
      </c>
    </row>
    <row r="199" spans="1:8">
      <c r="A199">
        <f t="shared" si="22"/>
        <v>4026880</v>
      </c>
      <c r="B199" s="2">
        <f>E202</f>
        <v>2.5</v>
      </c>
      <c r="C199">
        <f>F202</f>
        <v>181555004</v>
      </c>
      <c r="E199" s="8">
        <f t="shared" si="18"/>
        <v>3.4375</v>
      </c>
      <c r="F199">
        <f t="shared" si="21"/>
        <v>96040004</v>
      </c>
      <c r="G199">
        <f t="shared" si="19"/>
        <v>32768</v>
      </c>
      <c r="H199">
        <f t="shared" si="20"/>
        <v>2129920</v>
      </c>
    </row>
    <row r="200" spans="1:8">
      <c r="A200">
        <f t="shared" si="22"/>
        <v>8519680</v>
      </c>
      <c r="B200" s="2">
        <f>E204</f>
        <v>1.71875</v>
      </c>
      <c r="C200">
        <f>F204</f>
        <v>384080004</v>
      </c>
      <c r="E200" s="8">
        <f t="shared" si="18"/>
        <v>3.0555555555555554</v>
      </c>
      <c r="F200">
        <f t="shared" si="21"/>
        <v>121545004</v>
      </c>
      <c r="G200">
        <f t="shared" si="19"/>
        <v>41472</v>
      </c>
      <c r="H200">
        <f t="shared" si="20"/>
        <v>2695680</v>
      </c>
    </row>
    <row r="201" spans="1:8">
      <c r="A201">
        <f t="shared" si="22"/>
        <v>19169280</v>
      </c>
      <c r="B201" s="2">
        <f>E205</f>
        <v>1.1458333333333333</v>
      </c>
      <c r="C201">
        <f>F205</f>
        <v>864120004</v>
      </c>
      <c r="E201" s="8">
        <f t="shared" si="18"/>
        <v>2.75</v>
      </c>
      <c r="F201">
        <f t="shared" si="21"/>
        <v>150050004</v>
      </c>
      <c r="G201">
        <f t="shared" si="19"/>
        <v>51200</v>
      </c>
      <c r="H201">
        <f t="shared" si="20"/>
        <v>3328000</v>
      </c>
    </row>
    <row r="202" spans="1:8">
      <c r="A202">
        <f t="shared" si="22"/>
        <v>27988480</v>
      </c>
      <c r="B202" s="2">
        <f>E206</f>
        <v>0.94827586206896552</v>
      </c>
      <c r="C202">
        <f>F206</f>
        <v>1261645004</v>
      </c>
      <c r="E202" s="8">
        <f t="shared" si="18"/>
        <v>2.5</v>
      </c>
      <c r="F202">
        <f t="shared" si="21"/>
        <v>181555004</v>
      </c>
      <c r="G202">
        <f t="shared" si="19"/>
        <v>61952</v>
      </c>
      <c r="H202">
        <f t="shared" si="20"/>
        <v>4026880</v>
      </c>
    </row>
    <row r="203" spans="1:8">
      <c r="E203" s="8">
        <f t="shared" si="18"/>
        <v>2.2916666666666665</v>
      </c>
      <c r="F203">
        <f t="shared" si="21"/>
        <v>216060004</v>
      </c>
      <c r="G203">
        <f t="shared" si="19"/>
        <v>73728</v>
      </c>
      <c r="H203">
        <f t="shared" si="20"/>
        <v>4792320</v>
      </c>
    </row>
    <row r="204" spans="1:8">
      <c r="A204" t="s">
        <v>55</v>
      </c>
      <c r="E204" s="8">
        <f t="shared" si="18"/>
        <v>1.71875</v>
      </c>
      <c r="F204">
        <f t="shared" si="21"/>
        <v>384080004</v>
      </c>
      <c r="G204">
        <f t="shared" si="19"/>
        <v>131072</v>
      </c>
      <c r="H204">
        <f t="shared" si="20"/>
        <v>8519680</v>
      </c>
    </row>
    <row r="205" spans="1:8">
      <c r="A205">
        <f>A186*65</f>
        <v>299520</v>
      </c>
      <c r="B205">
        <v>13.75</v>
      </c>
      <c r="C205">
        <f>F192</f>
        <v>6010004</v>
      </c>
      <c r="E205" s="8">
        <f t="shared" si="18"/>
        <v>1.1458333333333333</v>
      </c>
      <c r="F205">
        <f t="shared" si="21"/>
        <v>864120004</v>
      </c>
      <c r="G205">
        <f t="shared" si="19"/>
        <v>294912</v>
      </c>
      <c r="H205">
        <f t="shared" si="20"/>
        <v>19169280</v>
      </c>
    </row>
    <row r="206" spans="1:8">
      <c r="A206">
        <f t="shared" ref="A206:A214" si="23">A187*65</f>
        <v>532480</v>
      </c>
      <c r="B206" s="2">
        <v>9.17</v>
      </c>
      <c r="C206">
        <f>C195</f>
        <v>13515004</v>
      </c>
      <c r="E206" s="8">
        <f t="shared" si="18"/>
        <v>0.94827586206896552</v>
      </c>
      <c r="F206">
        <f t="shared" si="21"/>
        <v>1261645004</v>
      </c>
      <c r="G206">
        <f t="shared" si="19"/>
        <v>430592</v>
      </c>
      <c r="H206">
        <f t="shared" si="20"/>
        <v>27988480</v>
      </c>
    </row>
    <row r="207" spans="1:8">
      <c r="A207">
        <f t="shared" si="23"/>
        <v>1198080</v>
      </c>
      <c r="B207" s="2">
        <v>6.88</v>
      </c>
      <c r="C207">
        <f t="shared" ref="C207:C212" si="24">C196</f>
        <v>24020004</v>
      </c>
      <c r="E207" s="8">
        <f t="shared" si="18"/>
        <v>0.5</v>
      </c>
      <c r="F207">
        <f t="shared" si="21"/>
        <v>4537775004</v>
      </c>
      <c r="G207">
        <f t="shared" si="19"/>
        <v>1548800</v>
      </c>
      <c r="H207">
        <f t="shared" si="20"/>
        <v>100672000</v>
      </c>
    </row>
    <row r="208" spans="1:8">
      <c r="A208">
        <f t="shared" si="23"/>
        <v>2129920</v>
      </c>
      <c r="B208" s="2">
        <v>4.58</v>
      </c>
      <c r="C208">
        <f t="shared" si="24"/>
        <v>54030004</v>
      </c>
    </row>
    <row r="209" spans="1:4">
      <c r="A209">
        <f t="shared" si="23"/>
        <v>4026880</v>
      </c>
      <c r="B209" s="2">
        <v>3.44</v>
      </c>
      <c r="C209">
        <f t="shared" si="24"/>
        <v>96040004</v>
      </c>
    </row>
    <row r="210" spans="1:4">
      <c r="A210">
        <f t="shared" si="23"/>
        <v>8519680</v>
      </c>
      <c r="B210" s="2">
        <v>2.5</v>
      </c>
      <c r="C210">
        <f t="shared" si="24"/>
        <v>181555004</v>
      </c>
    </row>
    <row r="211" spans="1:4">
      <c r="A211">
        <f t="shared" si="23"/>
        <v>19169280</v>
      </c>
      <c r="B211" s="2">
        <v>1.72</v>
      </c>
      <c r="C211">
        <f t="shared" si="24"/>
        <v>384080004</v>
      </c>
    </row>
    <row r="212" spans="1:4">
      <c r="A212">
        <f t="shared" si="23"/>
        <v>27988480</v>
      </c>
      <c r="B212" s="2">
        <v>1.1499999999999999</v>
      </c>
      <c r="C212">
        <f t="shared" si="24"/>
        <v>864120004</v>
      </c>
    </row>
    <row r="214" spans="1:4">
      <c r="A214" t="s">
        <v>128</v>
      </c>
    </row>
    <row r="215" spans="1:4">
      <c r="A215">
        <f>A205</f>
        <v>299520</v>
      </c>
      <c r="B215" s="2">
        <f>B196</f>
        <v>6.875</v>
      </c>
      <c r="C215">
        <f>C196</f>
        <v>24020004</v>
      </c>
      <c r="D215" s="110">
        <v>0</v>
      </c>
    </row>
    <row r="216" spans="1:4">
      <c r="A216">
        <f t="shared" ref="A216:A222" si="25">A206</f>
        <v>532480</v>
      </c>
      <c r="B216" s="2">
        <f t="shared" ref="B216:C221" si="26">B197</f>
        <v>4.583333333333333</v>
      </c>
      <c r="C216">
        <f t="shared" si="26"/>
        <v>54030004</v>
      </c>
    </row>
    <row r="217" spans="1:4">
      <c r="A217">
        <f t="shared" si="25"/>
        <v>1198080</v>
      </c>
      <c r="B217" s="2">
        <f t="shared" si="26"/>
        <v>3.4375</v>
      </c>
      <c r="C217">
        <f t="shared" si="26"/>
        <v>96040004</v>
      </c>
    </row>
    <row r="218" spans="1:4">
      <c r="A218">
        <f t="shared" si="25"/>
        <v>2129920</v>
      </c>
      <c r="B218" s="2">
        <f t="shared" si="26"/>
        <v>2.5</v>
      </c>
      <c r="C218">
        <f t="shared" si="26"/>
        <v>181555004</v>
      </c>
    </row>
    <row r="219" spans="1:4">
      <c r="A219">
        <f t="shared" si="25"/>
        <v>4026880</v>
      </c>
      <c r="B219" s="2">
        <f t="shared" si="26"/>
        <v>1.71875</v>
      </c>
      <c r="C219">
        <f t="shared" si="26"/>
        <v>384080004</v>
      </c>
    </row>
    <row r="220" spans="1:4">
      <c r="A220">
        <f t="shared" si="25"/>
        <v>8519680</v>
      </c>
      <c r="B220" s="2">
        <f t="shared" si="26"/>
        <v>1.1458333333333333</v>
      </c>
      <c r="C220">
        <f t="shared" si="26"/>
        <v>864120004</v>
      </c>
    </row>
    <row r="221" spans="1:4">
      <c r="A221">
        <f t="shared" si="25"/>
        <v>19169280</v>
      </c>
      <c r="B221" s="2">
        <f t="shared" si="26"/>
        <v>0.94827586206896552</v>
      </c>
      <c r="C221">
        <f t="shared" si="26"/>
        <v>1261645004</v>
      </c>
    </row>
    <row r="222" spans="1:4">
      <c r="A222">
        <f t="shared" si="25"/>
        <v>27988480</v>
      </c>
      <c r="B222" s="2">
        <f>E207</f>
        <v>0.5</v>
      </c>
      <c r="C222">
        <f>F207</f>
        <v>4537775004</v>
      </c>
    </row>
  </sheetData>
  <mergeCells count="14">
    <mergeCell ref="A172:B172"/>
    <mergeCell ref="A129:D129"/>
    <mergeCell ref="K2:K3"/>
    <mergeCell ref="L2:L3"/>
    <mergeCell ref="M2:O2"/>
    <mergeCell ref="B2:B3"/>
    <mergeCell ref="C2:C3"/>
    <mergeCell ref="D2:D3"/>
    <mergeCell ref="E2:E3"/>
    <mergeCell ref="F2:F3"/>
    <mergeCell ref="G2:G3"/>
    <mergeCell ref="H2:H3"/>
    <mergeCell ref="I2:I3"/>
    <mergeCell ref="J2:J3"/>
  </mergeCells>
  <phoneticPr fontId="2" type="noConversion"/>
  <pageMargins left="0.69930555555555596" right="0.69930555555555596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BF642-74DE-9842-A257-E6AFDB1C3145}">
  <dimension ref="A1:N45"/>
  <sheetViews>
    <sheetView tabSelected="1" topLeftCell="A12" workbookViewId="0">
      <selection activeCell="B38" sqref="B38"/>
    </sheetView>
  </sheetViews>
  <sheetFormatPr baseColWidth="10" defaultRowHeight="16"/>
  <cols>
    <col min="9" max="9" width="11.5" bestFit="1" customWidth="1"/>
    <col min="13" max="13" width="13.1640625" bestFit="1" customWidth="1"/>
  </cols>
  <sheetData>
    <row r="1" spans="1:14">
      <c r="A1" s="4"/>
      <c r="B1" s="95" t="s">
        <v>0</v>
      </c>
      <c r="C1" s="95" t="s">
        <v>1</v>
      </c>
      <c r="D1" s="96" t="s">
        <v>2</v>
      </c>
      <c r="E1" s="98" t="s">
        <v>6</v>
      </c>
      <c r="F1" s="99" t="s">
        <v>7</v>
      </c>
      <c r="G1" s="95" t="s">
        <v>3</v>
      </c>
      <c r="H1" s="95" t="s">
        <v>4</v>
      </c>
      <c r="I1" s="100" t="s">
        <v>5</v>
      </c>
      <c r="L1" t="s">
        <v>56</v>
      </c>
      <c r="M1" t="s">
        <v>129</v>
      </c>
    </row>
    <row r="2" spans="1:14">
      <c r="A2" s="4"/>
      <c r="B2" s="95"/>
      <c r="C2" s="95"/>
      <c r="D2" s="97"/>
      <c r="E2" s="98"/>
      <c r="F2" s="99"/>
      <c r="G2" s="95"/>
      <c r="H2" s="95"/>
      <c r="I2" s="100"/>
      <c r="L2">
        <f>J6</f>
        <v>299520</v>
      </c>
      <c r="M2" s="108">
        <f>A6</f>
        <v>13515004</v>
      </c>
      <c r="N2" s="109" t="e">
        <f>#REF!</f>
        <v>#REF!</v>
      </c>
    </row>
    <row r="3" spans="1:14">
      <c r="A3">
        <f>C3*D3</f>
        <v>377504</v>
      </c>
      <c r="B3" s="6">
        <v>25</v>
      </c>
      <c r="C3" s="6">
        <f>B3*30+2</f>
        <v>752</v>
      </c>
      <c r="D3" s="6">
        <f>B3*20+2</f>
        <v>502</v>
      </c>
      <c r="E3" s="7">
        <v>0.5</v>
      </c>
      <c r="F3" s="8">
        <f>110*E3</f>
        <v>55</v>
      </c>
      <c r="G3" s="6">
        <v>128</v>
      </c>
      <c r="H3" s="6">
        <v>16</v>
      </c>
      <c r="I3" s="9">
        <v>8</v>
      </c>
      <c r="J3">
        <f>G3*65</f>
        <v>8320</v>
      </c>
      <c r="L3">
        <f>J8</f>
        <v>532480</v>
      </c>
      <c r="M3" s="108">
        <f>A8</f>
        <v>24020004</v>
      </c>
      <c r="N3">
        <f>O1</f>
        <v>0</v>
      </c>
    </row>
    <row r="4" spans="1:14">
      <c r="A4">
        <f t="shared" ref="A4:A21" si="0">C4*D4</f>
        <v>1505004</v>
      </c>
      <c r="B4" s="6">
        <v>50</v>
      </c>
      <c r="C4" s="6">
        <f>B4*30+2</f>
        <v>1502</v>
      </c>
      <c r="D4" s="6">
        <f t="shared" ref="D4:D21" si="1">B4*20+2</f>
        <v>1002</v>
      </c>
      <c r="E4" s="7">
        <f t="shared" ref="E4:E21" si="2">(1/2)/(B4/25)</f>
        <v>0.25</v>
      </c>
      <c r="F4" s="8">
        <f>110*E4</f>
        <v>27.5</v>
      </c>
      <c r="G4" s="6">
        <f t="shared" ref="G4:G21" si="3">(B4/25)^2*128</f>
        <v>512</v>
      </c>
      <c r="H4" s="6">
        <f>B4/25*16</f>
        <v>32</v>
      </c>
      <c r="I4" s="9">
        <f>B4/25*8</f>
        <v>16</v>
      </c>
      <c r="J4">
        <f t="shared" ref="J4:J20" si="4">G4*65</f>
        <v>33280</v>
      </c>
      <c r="L4">
        <f>J11</f>
        <v>1198080</v>
      </c>
      <c r="M4" s="108">
        <f>A11</f>
        <v>54030004</v>
      </c>
      <c r="N4">
        <f>O4</f>
        <v>0</v>
      </c>
    </row>
    <row r="5" spans="1:14">
      <c r="A5">
        <f t="shared" si="0"/>
        <v>6010004</v>
      </c>
      <c r="B5" s="6">
        <v>100</v>
      </c>
      <c r="C5" s="6">
        <f t="shared" ref="C4:C21" si="5">B5*30+2</f>
        <v>3002</v>
      </c>
      <c r="D5" s="6">
        <f t="shared" si="1"/>
        <v>2002</v>
      </c>
      <c r="E5" s="7">
        <v>0.125</v>
      </c>
      <c r="F5" s="8">
        <f>110*E5</f>
        <v>13.75</v>
      </c>
      <c r="G5" s="6">
        <f t="shared" si="3"/>
        <v>2048</v>
      </c>
      <c r="H5" s="6">
        <f t="shared" ref="H4:H21" si="6">B5/25*16</f>
        <v>64</v>
      </c>
      <c r="I5" s="9">
        <f>B5/25*8</f>
        <v>32</v>
      </c>
      <c r="J5">
        <f t="shared" si="4"/>
        <v>133120</v>
      </c>
      <c r="L5">
        <f>J13</f>
        <v>2129920</v>
      </c>
      <c r="M5" s="108">
        <f>A13</f>
        <v>96040004</v>
      </c>
      <c r="N5">
        <f>O6</f>
        <v>0</v>
      </c>
    </row>
    <row r="6" spans="1:14">
      <c r="A6">
        <f>C6*D6</f>
        <v>13515004</v>
      </c>
      <c r="B6" s="86">
        <v>150</v>
      </c>
      <c r="C6" s="86">
        <f>B6*30+2</f>
        <v>4502</v>
      </c>
      <c r="D6" s="86">
        <f>B6*20+2</f>
        <v>3002</v>
      </c>
      <c r="E6" s="112">
        <f t="shared" si="2"/>
        <v>8.3333333333333329E-2</v>
      </c>
      <c r="F6" s="87">
        <f>110*E6</f>
        <v>9.1666666666666661</v>
      </c>
      <c r="G6" s="86">
        <f t="shared" si="3"/>
        <v>4608</v>
      </c>
      <c r="H6" s="86">
        <f>B6/25*16</f>
        <v>96</v>
      </c>
      <c r="I6" s="88">
        <f t="shared" ref="I4:I21" si="7">B6/25*8</f>
        <v>48</v>
      </c>
      <c r="J6" s="111">
        <f t="shared" si="4"/>
        <v>299520</v>
      </c>
      <c r="L6">
        <f>J16</f>
        <v>4026880</v>
      </c>
      <c r="M6" s="108">
        <f>A16</f>
        <v>181555004</v>
      </c>
      <c r="N6">
        <f>O10</f>
        <v>0</v>
      </c>
    </row>
    <row r="7" spans="1:14">
      <c r="A7">
        <f>C7*D7</f>
        <v>18392504</v>
      </c>
      <c r="B7" s="86">
        <v>175</v>
      </c>
      <c r="C7" s="86">
        <f>B7*30+2</f>
        <v>5252</v>
      </c>
      <c r="D7" s="86">
        <f>B7*20+2</f>
        <v>3502</v>
      </c>
      <c r="E7" s="112">
        <v>7.1428571428571397E-2</v>
      </c>
      <c r="F7" s="87">
        <f>110*E7</f>
        <v>7.8571428571428541</v>
      </c>
      <c r="G7" s="86">
        <f t="shared" si="3"/>
        <v>6272</v>
      </c>
      <c r="H7" s="86">
        <f t="shared" si="6"/>
        <v>112</v>
      </c>
      <c r="I7" s="88">
        <f t="shared" si="7"/>
        <v>56</v>
      </c>
      <c r="J7" s="111">
        <f t="shared" si="4"/>
        <v>407680</v>
      </c>
      <c r="M7" s="108"/>
    </row>
    <row r="8" spans="1:14">
      <c r="A8">
        <f>C8*D8</f>
        <v>24020004</v>
      </c>
      <c r="B8" s="113">
        <v>200</v>
      </c>
      <c r="C8" s="113">
        <f>B8*30+2</f>
        <v>6002</v>
      </c>
      <c r="D8" s="113">
        <f t="shared" si="1"/>
        <v>4002</v>
      </c>
      <c r="E8" s="114">
        <f t="shared" si="2"/>
        <v>6.25E-2</v>
      </c>
      <c r="F8" s="115">
        <f>110*E8</f>
        <v>6.875</v>
      </c>
      <c r="G8" s="113">
        <f t="shared" si="3"/>
        <v>8192</v>
      </c>
      <c r="H8" s="113">
        <f t="shared" si="6"/>
        <v>128</v>
      </c>
      <c r="I8" s="116">
        <f t="shared" si="7"/>
        <v>64</v>
      </c>
      <c r="J8" s="111">
        <f t="shared" si="4"/>
        <v>532480</v>
      </c>
      <c r="L8">
        <f>J18</f>
        <v>8519680</v>
      </c>
      <c r="M8" s="108">
        <f>A18</f>
        <v>384080004</v>
      </c>
      <c r="N8">
        <f>O12</f>
        <v>0</v>
      </c>
    </row>
    <row r="9" spans="1:14">
      <c r="A9">
        <f t="shared" si="0"/>
        <v>37525004</v>
      </c>
      <c r="B9" s="6">
        <v>250</v>
      </c>
      <c r="C9" s="6">
        <f t="shared" si="5"/>
        <v>7502</v>
      </c>
      <c r="D9" s="6">
        <f t="shared" si="1"/>
        <v>5002</v>
      </c>
      <c r="E9" s="7">
        <f t="shared" si="2"/>
        <v>0.05</v>
      </c>
      <c r="F9" s="8">
        <f t="shared" ref="F9:F21" si="8">110*E9</f>
        <v>5.5</v>
      </c>
      <c r="G9" s="6">
        <f t="shared" si="3"/>
        <v>12800</v>
      </c>
      <c r="H9" s="6">
        <f t="shared" si="6"/>
        <v>160</v>
      </c>
      <c r="I9" s="9">
        <f t="shared" si="7"/>
        <v>80</v>
      </c>
      <c r="J9">
        <f t="shared" si="4"/>
        <v>832000</v>
      </c>
      <c r="L9">
        <f>J19</f>
        <v>19169280</v>
      </c>
      <c r="M9" s="108">
        <f>A19</f>
        <v>864120004</v>
      </c>
      <c r="N9">
        <f>O13</f>
        <v>0</v>
      </c>
    </row>
    <row r="10" spans="1:14">
      <c r="A10">
        <f t="shared" si="0"/>
        <v>45402504</v>
      </c>
      <c r="B10" s="6">
        <v>275</v>
      </c>
      <c r="C10" s="6">
        <f t="shared" si="5"/>
        <v>8252</v>
      </c>
      <c r="D10" s="6">
        <f t="shared" si="1"/>
        <v>5502</v>
      </c>
      <c r="E10" s="7">
        <f t="shared" si="2"/>
        <v>4.5454545454545456E-2</v>
      </c>
      <c r="F10" s="8">
        <f t="shared" si="8"/>
        <v>5</v>
      </c>
      <c r="G10" s="6">
        <f t="shared" si="3"/>
        <v>15488</v>
      </c>
      <c r="H10" s="6">
        <f t="shared" si="6"/>
        <v>176</v>
      </c>
      <c r="I10" s="9">
        <f t="shared" si="7"/>
        <v>88</v>
      </c>
      <c r="J10">
        <f t="shared" si="4"/>
        <v>1006720</v>
      </c>
      <c r="L10">
        <f>J20</f>
        <v>27988480</v>
      </c>
      <c r="M10" s="108">
        <f>A20</f>
        <v>1261645004</v>
      </c>
      <c r="N10">
        <f>O14</f>
        <v>0</v>
      </c>
    </row>
    <row r="11" spans="1:14">
      <c r="A11">
        <f t="shared" si="0"/>
        <v>54030004</v>
      </c>
      <c r="B11" s="86">
        <v>300</v>
      </c>
      <c r="C11" s="86">
        <f t="shared" si="5"/>
        <v>9002</v>
      </c>
      <c r="D11" s="86">
        <f t="shared" si="1"/>
        <v>6002</v>
      </c>
      <c r="E11" s="112">
        <f t="shared" si="2"/>
        <v>4.1666666666666664E-2</v>
      </c>
      <c r="F11" s="87">
        <f t="shared" si="8"/>
        <v>4.583333333333333</v>
      </c>
      <c r="G11" s="86">
        <f t="shared" si="3"/>
        <v>18432</v>
      </c>
      <c r="H11" s="86">
        <f t="shared" si="6"/>
        <v>192</v>
      </c>
      <c r="I11" s="88">
        <f t="shared" si="7"/>
        <v>96</v>
      </c>
      <c r="J11" s="111">
        <f t="shared" si="4"/>
        <v>1198080</v>
      </c>
    </row>
    <row r="12" spans="1:14">
      <c r="A12">
        <f t="shared" si="0"/>
        <v>73535004</v>
      </c>
      <c r="B12" s="6">
        <v>350</v>
      </c>
      <c r="C12" s="6">
        <f t="shared" si="5"/>
        <v>10502</v>
      </c>
      <c r="D12" s="6">
        <f t="shared" si="1"/>
        <v>7002</v>
      </c>
      <c r="E12" s="7">
        <f t="shared" si="2"/>
        <v>3.5714285714285712E-2</v>
      </c>
      <c r="F12" s="8">
        <f t="shared" si="8"/>
        <v>3.9285714285714284</v>
      </c>
      <c r="G12" s="6">
        <f t="shared" si="3"/>
        <v>25088</v>
      </c>
      <c r="H12" s="6">
        <f t="shared" si="6"/>
        <v>224</v>
      </c>
      <c r="I12" s="9">
        <f t="shared" si="7"/>
        <v>112</v>
      </c>
      <c r="J12">
        <f t="shared" si="4"/>
        <v>1630720</v>
      </c>
    </row>
    <row r="13" spans="1:14">
      <c r="A13">
        <f t="shared" si="0"/>
        <v>96040004</v>
      </c>
      <c r="B13" s="86">
        <v>400</v>
      </c>
      <c r="C13" s="86">
        <f t="shared" si="5"/>
        <v>12002</v>
      </c>
      <c r="D13" s="86">
        <f t="shared" si="1"/>
        <v>8002</v>
      </c>
      <c r="E13" s="112">
        <f t="shared" si="2"/>
        <v>3.125E-2</v>
      </c>
      <c r="F13" s="87">
        <f t="shared" si="8"/>
        <v>3.4375</v>
      </c>
      <c r="G13" s="86">
        <f t="shared" si="3"/>
        <v>32768</v>
      </c>
      <c r="H13" s="86">
        <f t="shared" si="6"/>
        <v>256</v>
      </c>
      <c r="I13" s="88">
        <f t="shared" si="7"/>
        <v>128</v>
      </c>
      <c r="J13" s="111">
        <f t="shared" si="4"/>
        <v>2129920</v>
      </c>
    </row>
    <row r="14" spans="1:14">
      <c r="A14">
        <f t="shared" si="0"/>
        <v>121545004</v>
      </c>
      <c r="B14" s="6">
        <v>450</v>
      </c>
      <c r="C14" s="6">
        <f t="shared" si="5"/>
        <v>13502</v>
      </c>
      <c r="D14" s="6">
        <f t="shared" si="1"/>
        <v>9002</v>
      </c>
      <c r="E14" s="7">
        <f t="shared" si="2"/>
        <v>2.7777777777777776E-2</v>
      </c>
      <c r="F14" s="8">
        <f t="shared" si="8"/>
        <v>3.0555555555555554</v>
      </c>
      <c r="G14" s="6">
        <f t="shared" si="3"/>
        <v>41472</v>
      </c>
      <c r="H14" s="6">
        <f t="shared" si="6"/>
        <v>288</v>
      </c>
      <c r="I14" s="9">
        <f t="shared" si="7"/>
        <v>144</v>
      </c>
      <c r="J14">
        <f t="shared" si="4"/>
        <v>2695680</v>
      </c>
    </row>
    <row r="15" spans="1:14">
      <c r="A15">
        <f t="shared" si="0"/>
        <v>150050004</v>
      </c>
      <c r="B15" s="6">
        <v>500</v>
      </c>
      <c r="C15" s="6">
        <f t="shared" si="5"/>
        <v>15002</v>
      </c>
      <c r="D15" s="6">
        <f t="shared" si="1"/>
        <v>10002</v>
      </c>
      <c r="E15" s="7">
        <f t="shared" si="2"/>
        <v>2.5000000000000001E-2</v>
      </c>
      <c r="F15" s="8">
        <f t="shared" si="8"/>
        <v>2.75</v>
      </c>
      <c r="G15" s="6">
        <f t="shared" si="3"/>
        <v>51200</v>
      </c>
      <c r="H15" s="6">
        <f t="shared" si="6"/>
        <v>320</v>
      </c>
      <c r="I15" s="9">
        <f t="shared" si="7"/>
        <v>160</v>
      </c>
      <c r="J15">
        <f t="shared" si="4"/>
        <v>3328000</v>
      </c>
    </row>
    <row r="16" spans="1:14">
      <c r="A16">
        <f t="shared" si="0"/>
        <v>181555004</v>
      </c>
      <c r="B16" s="86">
        <v>550</v>
      </c>
      <c r="C16" s="86">
        <f t="shared" si="5"/>
        <v>16502</v>
      </c>
      <c r="D16" s="86">
        <f t="shared" si="1"/>
        <v>11002</v>
      </c>
      <c r="E16" s="112">
        <f t="shared" si="2"/>
        <v>2.2727272727272728E-2</v>
      </c>
      <c r="F16" s="87">
        <f t="shared" si="8"/>
        <v>2.5</v>
      </c>
      <c r="G16" s="86">
        <f t="shared" si="3"/>
        <v>61952</v>
      </c>
      <c r="H16" s="86">
        <f t="shared" si="6"/>
        <v>352</v>
      </c>
      <c r="I16" s="88">
        <f t="shared" si="7"/>
        <v>176</v>
      </c>
      <c r="J16" s="111">
        <f t="shared" si="4"/>
        <v>4026880</v>
      </c>
    </row>
    <row r="17" spans="1:10">
      <c r="A17">
        <f t="shared" si="0"/>
        <v>216060004</v>
      </c>
      <c r="B17" s="6">
        <v>600</v>
      </c>
      <c r="C17" s="6">
        <f t="shared" si="5"/>
        <v>18002</v>
      </c>
      <c r="D17" s="6">
        <f t="shared" si="1"/>
        <v>12002</v>
      </c>
      <c r="E17" s="7">
        <f t="shared" si="2"/>
        <v>2.0833333333333332E-2</v>
      </c>
      <c r="F17" s="8">
        <f t="shared" si="8"/>
        <v>2.2916666666666665</v>
      </c>
      <c r="G17" s="6">
        <f t="shared" si="3"/>
        <v>73728</v>
      </c>
      <c r="H17" s="6">
        <f t="shared" si="6"/>
        <v>384</v>
      </c>
      <c r="I17" s="9">
        <f t="shared" si="7"/>
        <v>192</v>
      </c>
      <c r="J17">
        <f t="shared" si="4"/>
        <v>4792320</v>
      </c>
    </row>
    <row r="18" spans="1:10">
      <c r="A18">
        <f t="shared" si="0"/>
        <v>384080004</v>
      </c>
      <c r="B18" s="86">
        <v>800</v>
      </c>
      <c r="C18" s="86">
        <f>B18*30+2</f>
        <v>24002</v>
      </c>
      <c r="D18" s="86">
        <f t="shared" si="1"/>
        <v>16002</v>
      </c>
      <c r="E18" s="112">
        <f t="shared" si="2"/>
        <v>1.5625E-2</v>
      </c>
      <c r="F18" s="87">
        <f t="shared" si="8"/>
        <v>1.71875</v>
      </c>
      <c r="G18" s="86">
        <f t="shared" si="3"/>
        <v>131072</v>
      </c>
      <c r="H18" s="86">
        <f t="shared" si="6"/>
        <v>512</v>
      </c>
      <c r="I18" s="88">
        <f t="shared" si="7"/>
        <v>256</v>
      </c>
      <c r="J18" s="111">
        <f t="shared" si="4"/>
        <v>8519680</v>
      </c>
    </row>
    <row r="19" spans="1:10">
      <c r="A19">
        <f t="shared" si="0"/>
        <v>864120004</v>
      </c>
      <c r="B19" s="86">
        <v>1200</v>
      </c>
      <c r="C19" s="86">
        <f t="shared" si="5"/>
        <v>36002</v>
      </c>
      <c r="D19" s="86">
        <f t="shared" si="1"/>
        <v>24002</v>
      </c>
      <c r="E19" s="112">
        <f t="shared" si="2"/>
        <v>1.0416666666666666E-2</v>
      </c>
      <c r="F19" s="87">
        <f t="shared" si="8"/>
        <v>1.1458333333333333</v>
      </c>
      <c r="G19" s="86">
        <f t="shared" si="3"/>
        <v>294912</v>
      </c>
      <c r="H19" s="86">
        <f t="shared" si="6"/>
        <v>768</v>
      </c>
      <c r="I19" s="88">
        <f t="shared" si="7"/>
        <v>384</v>
      </c>
      <c r="J19" s="111">
        <f t="shared" si="4"/>
        <v>19169280</v>
      </c>
    </row>
    <row r="20" spans="1:10">
      <c r="A20">
        <f t="shared" si="0"/>
        <v>1261645004</v>
      </c>
      <c r="B20" s="117">
        <v>1450</v>
      </c>
      <c r="C20" s="117">
        <f t="shared" si="5"/>
        <v>43502</v>
      </c>
      <c r="D20" s="117">
        <f t="shared" si="1"/>
        <v>29002</v>
      </c>
      <c r="E20" s="118">
        <f t="shared" si="2"/>
        <v>8.6206896551724137E-3</v>
      </c>
      <c r="F20" s="119">
        <f t="shared" si="8"/>
        <v>0.94827586206896552</v>
      </c>
      <c r="G20" s="117">
        <f t="shared" si="3"/>
        <v>430592</v>
      </c>
      <c r="H20" s="117">
        <f t="shared" si="6"/>
        <v>928</v>
      </c>
      <c r="I20" s="120">
        <f t="shared" si="7"/>
        <v>464</v>
      </c>
      <c r="J20" s="111">
        <f t="shared" si="4"/>
        <v>27988480</v>
      </c>
    </row>
    <row r="21" spans="1:10">
      <c r="A21">
        <f t="shared" si="0"/>
        <v>4537775004</v>
      </c>
      <c r="B21" s="12">
        <v>2750</v>
      </c>
      <c r="C21" s="12">
        <f>B21*30+2</f>
        <v>82502</v>
      </c>
      <c r="D21" s="12">
        <f>B21*20+2</f>
        <v>55002</v>
      </c>
      <c r="E21" s="85">
        <f t="shared" si="2"/>
        <v>4.5454545454545452E-3</v>
      </c>
      <c r="F21" s="2">
        <f t="shared" si="8"/>
        <v>0.5</v>
      </c>
      <c r="G21" s="12">
        <f t="shared" si="3"/>
        <v>1548800</v>
      </c>
      <c r="H21" s="12">
        <f t="shared" si="6"/>
        <v>1760</v>
      </c>
      <c r="I21" s="13">
        <f t="shared" si="7"/>
        <v>880</v>
      </c>
    </row>
    <row r="23" spans="1:10">
      <c r="A23" t="s">
        <v>130</v>
      </c>
      <c r="B23" t="s">
        <v>131</v>
      </c>
    </row>
    <row r="24" spans="1:10">
      <c r="A24">
        <f>L2</f>
        <v>299520</v>
      </c>
    </row>
    <row r="25" spans="1:10">
      <c r="A25">
        <f>L3</f>
        <v>532480</v>
      </c>
    </row>
    <row r="26" spans="1:10">
      <c r="A26">
        <f>L4</f>
        <v>1198080</v>
      </c>
    </row>
    <row r="27" spans="1:10">
      <c r="A27">
        <f>L5</f>
        <v>2129920</v>
      </c>
    </row>
    <row r="28" spans="1:10">
      <c r="A28">
        <f>L6</f>
        <v>4026880</v>
      </c>
    </row>
    <row r="29" spans="1:10">
      <c r="A29">
        <f t="shared" ref="A29:A31" si="9">L8</f>
        <v>8519680</v>
      </c>
    </row>
    <row r="30" spans="1:10">
      <c r="A30">
        <f t="shared" si="9"/>
        <v>19169280</v>
      </c>
      <c r="E30">
        <f>C33/G33</f>
        <v>88.903017241379317</v>
      </c>
      <c r="F30">
        <f>D33/H33</f>
        <v>118.53879310344827</v>
      </c>
    </row>
    <row r="31" spans="1:10">
      <c r="A31">
        <f t="shared" si="9"/>
        <v>27988480</v>
      </c>
    </row>
    <row r="32" spans="1:10">
      <c r="B32">
        <v>1450</v>
      </c>
      <c r="G32">
        <f>G33*(B32/B33)</f>
        <v>489.30909090909086</v>
      </c>
      <c r="H32">
        <f>H33*(B32/B33)</f>
        <v>244.65454545454543</v>
      </c>
    </row>
    <row r="33" spans="2:9" ht="17" customHeight="1">
      <c r="B33">
        <v>2750</v>
      </c>
      <c r="C33">
        <v>82502</v>
      </c>
      <c r="D33">
        <v>55002</v>
      </c>
      <c r="E33" t="s">
        <v>132</v>
      </c>
      <c r="F33">
        <v>0.5</v>
      </c>
      <c r="G33" s="121">
        <v>928</v>
      </c>
      <c r="H33" s="121">
        <v>464</v>
      </c>
      <c r="I33" s="121">
        <f>65*G33*H33</f>
        <v>27988480</v>
      </c>
    </row>
    <row r="34" spans="2:9">
      <c r="B34">
        <v>1450</v>
      </c>
      <c r="C34" s="121">
        <f>E30*G34</f>
        <v>68277.517241379319</v>
      </c>
      <c r="D34" s="121">
        <f>F30*H34</f>
        <v>45518.896551724138</v>
      </c>
      <c r="G34" s="121">
        <f>H19</f>
        <v>768</v>
      </c>
      <c r="H34" s="121">
        <f>I19</f>
        <v>384</v>
      </c>
      <c r="I34" s="121">
        <f>65*G34*H34</f>
        <v>19169280</v>
      </c>
    </row>
    <row r="35" spans="2:9">
      <c r="G35" s="121"/>
      <c r="H35" s="121"/>
      <c r="I35" s="121"/>
    </row>
    <row r="36" spans="2:9">
      <c r="G36" s="121"/>
      <c r="H36" s="121"/>
      <c r="I36" s="121"/>
    </row>
    <row r="37" spans="2:9">
      <c r="B37" s="6">
        <v>33</v>
      </c>
      <c r="C37" s="6">
        <v>992</v>
      </c>
      <c r="D37" s="6">
        <v>662</v>
      </c>
      <c r="E37" s="7"/>
      <c r="F37" s="8"/>
      <c r="G37" s="6">
        <v>8</v>
      </c>
      <c r="H37" s="6">
        <v>8</v>
      </c>
      <c r="I37" s="9">
        <v>33</v>
      </c>
    </row>
    <row r="38" spans="2:9">
      <c r="B38">
        <v>66</v>
      </c>
      <c r="C38">
        <f>990/8*G38+2</f>
        <v>1982</v>
      </c>
      <c r="D38">
        <f>B38*(D37/B37)+2</f>
        <v>1326</v>
      </c>
      <c r="E38" s="122"/>
      <c r="G38" s="121">
        <f>B38/33*8</f>
        <v>16</v>
      </c>
      <c r="H38" s="6">
        <f>B38/B37*H37</f>
        <v>16</v>
      </c>
      <c r="I38" s="121"/>
    </row>
    <row r="39" spans="2:9">
      <c r="G39" s="121"/>
      <c r="H39" s="121"/>
      <c r="I39" s="121"/>
    </row>
    <row r="40" spans="2:9">
      <c r="G40" s="121"/>
      <c r="H40" s="121"/>
      <c r="I40" s="121"/>
    </row>
    <row r="41" spans="2:9">
      <c r="G41" s="121"/>
      <c r="H41" s="121"/>
      <c r="I41" s="121"/>
    </row>
    <row r="42" spans="2:9">
      <c r="G42" s="121"/>
      <c r="H42" s="121"/>
      <c r="I42" s="121"/>
    </row>
    <row r="43" spans="2:9">
      <c r="G43" s="121"/>
      <c r="H43" s="121"/>
      <c r="I43" s="121"/>
    </row>
    <row r="44" spans="2:9">
      <c r="G44" s="121"/>
      <c r="H44" s="121"/>
      <c r="I44" s="121"/>
    </row>
    <row r="45" spans="2:9">
      <c r="I45" s="121"/>
    </row>
  </sheetData>
  <mergeCells count="8">
    <mergeCell ref="H1:H2"/>
    <mergeCell ref="I1:I2"/>
    <mergeCell ref="B1:B2"/>
    <mergeCell ref="C1:C2"/>
    <mergeCell ref="D1:D2"/>
    <mergeCell ref="E1:E2"/>
    <mergeCell ref="F1:F2"/>
    <mergeCell ref="G1:G2"/>
  </mergeCells>
  <phoneticPr fontId="2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61"/>
  <sheetViews>
    <sheetView topLeftCell="A18" zoomScale="150" zoomScaleNormal="150" zoomScalePageLayoutView="150" workbookViewId="0">
      <selection activeCell="U55" sqref="U55"/>
    </sheetView>
  </sheetViews>
  <sheetFormatPr baseColWidth="10" defaultColWidth="8.83203125" defaultRowHeight="16"/>
  <cols>
    <col min="1" max="1" width="37.6640625" customWidth="1"/>
    <col min="2" max="2" width="23.6640625" customWidth="1"/>
    <col min="3" max="3" width="22.33203125" customWidth="1"/>
    <col min="4" max="4" width="23.5" customWidth="1"/>
    <col min="5" max="5" width="21.83203125" style="4" customWidth="1"/>
    <col min="6" max="6" width="21.83203125" customWidth="1"/>
    <col min="7" max="7" width="15.1640625" customWidth="1"/>
    <col min="9" max="9" width="22" customWidth="1"/>
    <col min="10" max="10" width="12.5" customWidth="1"/>
    <col min="11" max="11" width="11.83203125" customWidth="1"/>
    <col min="19" max="19" width="16" customWidth="1"/>
    <col min="23" max="23" width="17.83203125" customWidth="1"/>
  </cols>
  <sheetData>
    <row r="1" spans="1:11" ht="19" thickBot="1">
      <c r="A1" s="102" t="s">
        <v>90</v>
      </c>
      <c r="B1" s="102"/>
      <c r="C1" s="102"/>
      <c r="D1" s="102"/>
      <c r="E1" s="69"/>
      <c r="F1" s="63"/>
      <c r="G1" s="63"/>
      <c r="I1" s="17" t="s">
        <v>59</v>
      </c>
      <c r="J1" s="17" t="s">
        <v>60</v>
      </c>
      <c r="K1" s="17" t="s">
        <v>61</v>
      </c>
    </row>
    <row r="2" spans="1:11" ht="19" thickBot="1">
      <c r="A2" s="66" t="s">
        <v>87</v>
      </c>
      <c r="B2" s="66" t="s">
        <v>78</v>
      </c>
      <c r="C2" s="66" t="s">
        <v>79</v>
      </c>
      <c r="D2" s="66" t="s">
        <v>80</v>
      </c>
      <c r="E2" s="70"/>
      <c r="F2" s="64"/>
      <c r="G2" s="64"/>
      <c r="I2" s="17" t="s">
        <v>62</v>
      </c>
      <c r="J2" s="17">
        <v>3.91</v>
      </c>
      <c r="K2" s="17">
        <v>5.9</v>
      </c>
    </row>
    <row r="3" spans="1:11" ht="19" thickBot="1">
      <c r="A3" s="66" t="s">
        <v>74</v>
      </c>
      <c r="B3" s="67">
        <f>C3*1.46</f>
        <v>7.236814498901361E-4</v>
      </c>
      <c r="C3" s="67">
        <v>4.95672225952148E-4</v>
      </c>
      <c r="D3" s="67">
        <v>3.4900000000000003E-4</v>
      </c>
      <c r="E3" s="70"/>
      <c r="F3" s="64"/>
      <c r="G3" s="64"/>
      <c r="I3" s="17" t="s">
        <v>63</v>
      </c>
      <c r="J3" s="17">
        <v>3.95</v>
      </c>
      <c r="K3" s="17">
        <v>6.33</v>
      </c>
    </row>
    <row r="4" spans="1:11" ht="19" thickBot="1">
      <c r="A4" s="66" t="s">
        <v>75</v>
      </c>
      <c r="B4" s="67">
        <f>C4*1.45</f>
        <v>6.9687604904174706E-3</v>
      </c>
      <c r="C4" s="67">
        <v>4.8060417175292899E-3</v>
      </c>
      <c r="D4" s="67">
        <v>3.47E-3</v>
      </c>
      <c r="E4" s="70"/>
      <c r="F4" s="64"/>
      <c r="G4" s="64"/>
      <c r="I4" s="17" t="s">
        <v>64</v>
      </c>
      <c r="J4" s="17">
        <v>2.39</v>
      </c>
      <c r="K4" s="17">
        <v>3.56</v>
      </c>
    </row>
    <row r="5" spans="1:11" ht="19" thickBot="1">
      <c r="A5" s="66" t="s">
        <v>76</v>
      </c>
      <c r="B5" s="67">
        <f>C5*1.57</f>
        <v>5.530910491943348E-3</v>
      </c>
      <c r="C5" s="67">
        <v>3.5228729248046801E-3</v>
      </c>
      <c r="D5" s="67">
        <v>2.81E-3</v>
      </c>
      <c r="E5" s="70"/>
      <c r="F5" s="64"/>
      <c r="G5" s="64"/>
      <c r="I5" s="17" t="s">
        <v>65</v>
      </c>
      <c r="J5" s="17">
        <v>2.39</v>
      </c>
      <c r="K5" s="17">
        <v>3.36</v>
      </c>
    </row>
    <row r="6" spans="1:11" ht="19" thickBot="1">
      <c r="A6" s="66" t="s">
        <v>77</v>
      </c>
      <c r="B6" s="67">
        <f>C6*1.66</f>
        <v>2.1379756927490221E-3</v>
      </c>
      <c r="C6" s="67">
        <v>1.28793716430664E-3</v>
      </c>
      <c r="D6" s="67">
        <v>9.5100000000000002E-4</v>
      </c>
      <c r="E6" s="70"/>
      <c r="F6" s="64"/>
      <c r="G6" s="64"/>
      <c r="I6" s="17" t="s">
        <v>66</v>
      </c>
      <c r="J6" s="17">
        <v>3.31</v>
      </c>
      <c r="K6" s="17">
        <v>5.09</v>
      </c>
    </row>
    <row r="7" spans="1:11">
      <c r="A7" s="66" t="s">
        <v>58</v>
      </c>
      <c r="B7" s="67">
        <f>C7*1.46</f>
        <v>1.8107700347900272E-2</v>
      </c>
      <c r="C7" s="67">
        <v>1.24025344848632E-2</v>
      </c>
      <c r="D7" s="67">
        <v>9.4599999999999997E-3</v>
      </c>
      <c r="I7" s="17" t="s">
        <v>67</v>
      </c>
      <c r="J7" s="17">
        <v>2.73</v>
      </c>
      <c r="K7" s="17">
        <v>4.53</v>
      </c>
    </row>
    <row r="8" spans="1:11">
      <c r="A8" s="49"/>
      <c r="B8" s="49"/>
      <c r="C8" s="49"/>
      <c r="D8" s="49"/>
      <c r="I8" s="17" t="s">
        <v>68</v>
      </c>
      <c r="J8" s="17">
        <v>4.07</v>
      </c>
      <c r="K8" s="17">
        <v>6.56</v>
      </c>
    </row>
    <row r="9" spans="1:11">
      <c r="E9" s="71"/>
    </row>
    <row r="11" spans="1:11" ht="17" thickBot="1"/>
    <row r="12" spans="1:11" ht="23" thickTop="1" thickBot="1">
      <c r="A12" s="103" t="s">
        <v>121</v>
      </c>
      <c r="B12" s="104"/>
      <c r="C12" s="104"/>
      <c r="D12" s="104"/>
      <c r="E12" s="104"/>
    </row>
    <row r="13" spans="1:11" ht="56" thickTop="1" thickBot="1">
      <c r="A13" s="56" t="s">
        <v>69</v>
      </c>
      <c r="B13" s="56" t="s">
        <v>71</v>
      </c>
      <c r="C13" s="56" t="s">
        <v>72</v>
      </c>
      <c r="D13" s="56" t="s">
        <v>73</v>
      </c>
      <c r="E13" s="56"/>
      <c r="G13" s="66" t="s">
        <v>93</v>
      </c>
      <c r="H13" s="66" t="s">
        <v>85</v>
      </c>
      <c r="I13" s="66" t="s">
        <v>86</v>
      </c>
    </row>
    <row r="14" spans="1:11" ht="19">
      <c r="A14" s="57">
        <v>1617</v>
      </c>
      <c r="B14" s="58">
        <v>312141</v>
      </c>
      <c r="C14" s="58">
        <v>91056</v>
      </c>
      <c r="D14" s="58">
        <v>10363</v>
      </c>
      <c r="E14" s="58"/>
      <c r="G14" s="66">
        <v>1617</v>
      </c>
      <c r="H14" s="66">
        <v>3.42</v>
      </c>
      <c r="I14" s="66">
        <v>30.12</v>
      </c>
    </row>
    <row r="15" spans="1:11" ht="19">
      <c r="A15" s="59">
        <v>3185</v>
      </c>
      <c r="B15" s="60">
        <v>610430</v>
      </c>
      <c r="C15" s="60">
        <v>125460</v>
      </c>
      <c r="D15" s="60">
        <v>11188</v>
      </c>
      <c r="E15" s="60"/>
      <c r="G15" s="66">
        <v>3185</v>
      </c>
      <c r="H15" s="66">
        <v>4.8600000000000003</v>
      </c>
      <c r="I15" s="66">
        <v>54.56</v>
      </c>
    </row>
    <row r="16" spans="1:11" ht="19">
      <c r="A16" s="57">
        <v>5720</v>
      </c>
      <c r="B16" s="58">
        <v>1187266</v>
      </c>
      <c r="C16" s="58">
        <v>150680</v>
      </c>
      <c r="D16" s="58">
        <v>20274</v>
      </c>
      <c r="E16" s="58"/>
      <c r="G16" s="66">
        <v>5720</v>
      </c>
      <c r="H16" s="66">
        <v>7.87</v>
      </c>
      <c r="I16" s="66">
        <v>58.91</v>
      </c>
    </row>
    <row r="17" spans="1:9" ht="20" thickBot="1">
      <c r="A17" s="61">
        <v>11264</v>
      </c>
      <c r="B17" s="62">
        <v>2381242</v>
      </c>
      <c r="C17" s="62">
        <v>163171</v>
      </c>
      <c r="D17" s="62">
        <v>37131</v>
      </c>
      <c r="E17" s="62"/>
      <c r="G17" s="66">
        <v>11264</v>
      </c>
      <c r="H17" s="66">
        <v>14.59</v>
      </c>
      <c r="I17" s="66">
        <v>64.13</v>
      </c>
    </row>
    <row r="21" spans="1:9">
      <c r="A21" s="48" t="s">
        <v>89</v>
      </c>
    </row>
    <row r="22" spans="1:9">
      <c r="A22" s="105" t="s">
        <v>88</v>
      </c>
      <c r="B22" s="106"/>
      <c r="C22" s="106"/>
      <c r="D22" s="106"/>
      <c r="E22" s="106"/>
      <c r="F22" t="s">
        <v>95</v>
      </c>
    </row>
    <row r="23" spans="1:9">
      <c r="A23" s="18" t="s">
        <v>101</v>
      </c>
      <c r="B23" s="18" t="s">
        <v>70</v>
      </c>
      <c r="C23" s="18" t="s">
        <v>94</v>
      </c>
      <c r="D23" s="18" t="s">
        <v>92</v>
      </c>
      <c r="E23" s="18" t="s">
        <v>96</v>
      </c>
      <c r="F23" s="74" t="s">
        <v>109</v>
      </c>
    </row>
    <row r="24" spans="1:9">
      <c r="A24" s="18" t="s">
        <v>97</v>
      </c>
      <c r="B24" s="75">
        <v>3.56E-2</v>
      </c>
      <c r="C24" s="75">
        <v>1.212E-3</v>
      </c>
      <c r="D24" s="46">
        <f>B24/C24</f>
        <v>29.372937293729372</v>
      </c>
      <c r="E24" s="24">
        <v>0.93479999999999996</v>
      </c>
      <c r="F24" s="25">
        <v>41.6</v>
      </c>
      <c r="G24" s="4"/>
    </row>
    <row r="25" spans="1:9">
      <c r="A25" s="18" t="s">
        <v>82</v>
      </c>
      <c r="B25" s="75">
        <v>6.4799999999999996E-2</v>
      </c>
      <c r="C25" s="75">
        <f>B25/D25</f>
        <v>1.6701030927835051E-3</v>
      </c>
      <c r="D25" s="77">
        <v>38.799999999999997</v>
      </c>
      <c r="E25" s="24">
        <f>F25/44.5</f>
        <v>0.91910112359550555</v>
      </c>
      <c r="F25" s="25">
        <v>40.9</v>
      </c>
      <c r="G25" s="65"/>
    </row>
    <row r="26" spans="1:9">
      <c r="A26" s="18" t="s">
        <v>99</v>
      </c>
      <c r="B26" s="75">
        <v>4.7399999999999998E-2</v>
      </c>
      <c r="C26" s="75">
        <f t="shared" ref="C26:C28" si="0">B26/D26</f>
        <v>8.58695652173913E-4</v>
      </c>
      <c r="D26" s="77">
        <v>55.2</v>
      </c>
      <c r="E26" s="24">
        <f t="shared" ref="E26:E28" si="1">F26/44.5</f>
        <v>0.9213483146067416</v>
      </c>
      <c r="F26" s="25">
        <v>41</v>
      </c>
      <c r="G26" s="65"/>
    </row>
    <row r="27" spans="1:9">
      <c r="A27" s="18" t="s">
        <v>100</v>
      </c>
      <c r="B27" s="75">
        <v>8.9499999999999996E-3</v>
      </c>
      <c r="C27" s="75">
        <f t="shared" si="0"/>
        <v>2.1723300970873783E-4</v>
      </c>
      <c r="D27" s="77">
        <v>41.2</v>
      </c>
      <c r="E27" s="24">
        <f t="shared" si="1"/>
        <v>0.94606741573033715</v>
      </c>
      <c r="F27" s="25">
        <v>42.1</v>
      </c>
      <c r="G27" s="65"/>
    </row>
    <row r="28" spans="1:9">
      <c r="A28" s="18" t="s">
        <v>105</v>
      </c>
      <c r="B28" s="75">
        <v>3.7100000000000001E-2</v>
      </c>
      <c r="C28" s="75">
        <f t="shared" si="0"/>
        <v>1.1008902077151335E-3</v>
      </c>
      <c r="D28" s="77">
        <v>33.700000000000003</v>
      </c>
      <c r="E28" s="24">
        <f t="shared" si="1"/>
        <v>0.95056179775280891</v>
      </c>
      <c r="F28" s="25">
        <v>42.3</v>
      </c>
      <c r="G28" s="65"/>
    </row>
    <row r="29" spans="1:9">
      <c r="A29" s="4"/>
      <c r="B29" s="4"/>
      <c r="C29" s="4"/>
      <c r="D29" s="4"/>
      <c r="F29" s="4"/>
      <c r="G29" s="65"/>
    </row>
    <row r="30" spans="1:9" ht="17" thickBot="1">
      <c r="A30" s="4"/>
      <c r="B30" s="4"/>
      <c r="C30" s="4"/>
      <c r="D30" s="4"/>
      <c r="F30" s="4"/>
      <c r="G30" s="65"/>
    </row>
    <row r="31" spans="1:9" ht="18" thickTop="1" thickBot="1">
      <c r="A31" s="107" t="s">
        <v>102</v>
      </c>
      <c r="B31" s="107"/>
      <c r="C31" s="107"/>
      <c r="D31" s="107"/>
      <c r="E31" s="107"/>
      <c r="F31" t="s">
        <v>110</v>
      </c>
    </row>
    <row r="32" spans="1:9" ht="17" thickTop="1">
      <c r="A32" s="49" t="s">
        <v>104</v>
      </c>
      <c r="B32" s="18" t="s">
        <v>70</v>
      </c>
      <c r="C32" s="18" t="s">
        <v>91</v>
      </c>
      <c r="D32" s="18" t="s">
        <v>106</v>
      </c>
      <c r="E32" s="18" t="s">
        <v>107</v>
      </c>
      <c r="F32" s="76" t="s">
        <v>108</v>
      </c>
    </row>
    <row r="33" spans="1:6">
      <c r="A33" s="49" t="s">
        <v>98</v>
      </c>
      <c r="B33" s="75">
        <v>1.34E-2</v>
      </c>
      <c r="C33" s="75">
        <v>7.0500000000000001E-4</v>
      </c>
      <c r="D33" s="45">
        <f>B33/C33</f>
        <v>19.00709219858156</v>
      </c>
      <c r="E33" s="24">
        <f>F33/44.5</f>
        <v>0.74831460674157302</v>
      </c>
      <c r="F33" s="76">
        <v>33.299999999999997</v>
      </c>
    </row>
    <row r="34" spans="1:6">
      <c r="A34" s="49" t="s">
        <v>81</v>
      </c>
      <c r="B34" s="75">
        <f>C34*D34</f>
        <v>4.6220999999999998E-2</v>
      </c>
      <c r="C34" s="75">
        <v>2.1299999999999999E-3</v>
      </c>
      <c r="D34" s="45">
        <v>21.7</v>
      </c>
      <c r="E34" s="24">
        <f t="shared" ref="E34:E36" si="2">F34/44.5</f>
        <v>0.8</v>
      </c>
      <c r="F34" s="76">
        <v>35.6</v>
      </c>
    </row>
    <row r="35" spans="1:6">
      <c r="A35" s="49" t="s">
        <v>83</v>
      </c>
      <c r="B35" s="75">
        <f t="shared" ref="B35:B36" si="3">C35*D35</f>
        <v>1.6197299999999998E-2</v>
      </c>
      <c r="C35" s="75">
        <v>8.5700000000000001E-4</v>
      </c>
      <c r="D35" s="45">
        <v>18.899999999999999</v>
      </c>
      <c r="E35" s="24">
        <f t="shared" si="2"/>
        <v>0.77977528089887649</v>
      </c>
      <c r="F35" s="76">
        <v>34.700000000000003</v>
      </c>
    </row>
    <row r="36" spans="1:6">
      <c r="A36" s="49" t="s">
        <v>84</v>
      </c>
      <c r="B36" s="75">
        <f t="shared" si="3"/>
        <v>2.0235624000000001E-2</v>
      </c>
      <c r="C36" s="75">
        <v>1.0356E-3</v>
      </c>
      <c r="D36" s="45">
        <v>19.54</v>
      </c>
      <c r="E36" s="24">
        <f t="shared" si="2"/>
        <v>0.79101123595505629</v>
      </c>
      <c r="F36" s="76">
        <v>35.200000000000003</v>
      </c>
    </row>
    <row r="37" spans="1:6">
      <c r="F37" s="4"/>
    </row>
    <row r="39" spans="1:6">
      <c r="A39" s="105" t="s">
        <v>103</v>
      </c>
      <c r="B39" s="106"/>
      <c r="C39" s="106"/>
      <c r="D39" s="106"/>
      <c r="E39" s="106"/>
    </row>
    <row r="40" spans="1:6">
      <c r="A40" s="18" t="s">
        <v>112</v>
      </c>
      <c r="B40" s="18" t="s">
        <v>70</v>
      </c>
      <c r="C40" s="18" t="s">
        <v>114</v>
      </c>
      <c r="D40" s="18" t="s">
        <v>113</v>
      </c>
      <c r="E40" s="18" t="s">
        <v>107</v>
      </c>
    </row>
    <row r="41" spans="1:6">
      <c r="A41" s="18" t="s">
        <v>115</v>
      </c>
      <c r="B41" s="75">
        <v>2.7129999999999998E-4</v>
      </c>
      <c r="C41" s="75">
        <v>6.3069999999999999E-6</v>
      </c>
      <c r="D41" s="45">
        <f>B41/C41</f>
        <v>43.015696844775647</v>
      </c>
      <c r="E41" s="24">
        <v>0.93100000000000005</v>
      </c>
    </row>
    <row r="42" spans="1:6">
      <c r="A42" s="18" t="s">
        <v>111</v>
      </c>
      <c r="B42" s="75">
        <v>1.9199999999999998E-2</v>
      </c>
      <c r="C42" s="75">
        <v>2.173E-4</v>
      </c>
      <c r="D42" s="45">
        <f>B42/C42</f>
        <v>88.357109986194189</v>
      </c>
      <c r="E42" s="24">
        <v>0.85399999999999998</v>
      </c>
    </row>
    <row r="44" spans="1:6">
      <c r="A44" s="78" t="s">
        <v>117</v>
      </c>
      <c r="B44" s="20" t="s">
        <v>118</v>
      </c>
      <c r="C44" s="20" t="s">
        <v>91</v>
      </c>
    </row>
    <row r="45" spans="1:6">
      <c r="A45" s="78" t="s">
        <v>116</v>
      </c>
      <c r="B45" s="20">
        <v>4.6900000000000004</v>
      </c>
      <c r="C45" s="20">
        <v>1.17E-2</v>
      </c>
    </row>
    <row r="48" spans="1:6">
      <c r="A48" s="78"/>
      <c r="B48" s="20"/>
      <c r="C48" s="20"/>
      <c r="F48" s="68"/>
    </row>
    <row r="49" spans="1:24">
      <c r="A49" s="78"/>
      <c r="B49" s="78"/>
      <c r="C49" s="20"/>
      <c r="F49" s="68"/>
      <c r="G49" s="68"/>
    </row>
    <row r="52" spans="1:24">
      <c r="A52" s="78" t="s">
        <v>117</v>
      </c>
      <c r="B52" s="20" t="s">
        <v>118</v>
      </c>
      <c r="C52" s="20"/>
      <c r="D52" s="20" t="s">
        <v>91</v>
      </c>
      <c r="E52" s="20" t="s">
        <v>91</v>
      </c>
    </row>
    <row r="53" spans="1:24">
      <c r="A53" s="78" t="s">
        <v>116</v>
      </c>
      <c r="B53" s="20">
        <v>4.6900000000000004</v>
      </c>
      <c r="C53" s="20">
        <v>1.17E-2</v>
      </c>
      <c r="D53" s="20">
        <v>1.17E-2</v>
      </c>
      <c r="E53" s="20">
        <v>1.17E-2</v>
      </c>
    </row>
    <row r="54" spans="1:24">
      <c r="S54" s="78"/>
      <c r="T54" s="20" t="s">
        <v>118</v>
      </c>
      <c r="U54" s="20" t="s">
        <v>125</v>
      </c>
      <c r="V54" s="20" t="s">
        <v>126</v>
      </c>
      <c r="W54" s="20" t="s">
        <v>127</v>
      </c>
      <c r="X54" s="90"/>
    </row>
    <row r="55" spans="1:24">
      <c r="S55" s="78" t="s">
        <v>117</v>
      </c>
      <c r="T55" s="20">
        <v>4.6900000000000004</v>
      </c>
      <c r="U55" s="20"/>
      <c r="V55" s="20">
        <v>1.17E-2</v>
      </c>
      <c r="W55" s="20">
        <v>1.17E-2</v>
      </c>
      <c r="X55" s="91">
        <v>1.17E-2</v>
      </c>
    </row>
    <row r="56" spans="1:24">
      <c r="S56" s="78"/>
      <c r="T56" s="78"/>
      <c r="U56" s="78"/>
      <c r="V56" s="78"/>
      <c r="W56" s="78"/>
      <c r="X56" s="90"/>
    </row>
    <row r="58" spans="1:24">
      <c r="A58" s="4"/>
      <c r="B58" s="73"/>
      <c r="C58" s="73"/>
      <c r="D58" s="65"/>
      <c r="E58" s="72"/>
    </row>
    <row r="59" spans="1:24">
      <c r="A59" s="4"/>
      <c r="B59" s="73"/>
      <c r="C59" s="73"/>
      <c r="D59" s="65"/>
    </row>
    <row r="61" spans="1:24">
      <c r="A61" s="4"/>
      <c r="B61" s="4"/>
      <c r="C61" s="4"/>
      <c r="D61" s="4"/>
    </row>
  </sheetData>
  <mergeCells count="5">
    <mergeCell ref="A1:D1"/>
    <mergeCell ref="A12:E12"/>
    <mergeCell ref="A22:E22"/>
    <mergeCell ref="A31:E31"/>
    <mergeCell ref="A39:E39"/>
  </mergeCells>
  <phoneticPr fontId="14" type="noConversion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规模扩展</vt:lpstr>
      <vt:lpstr>Sheet1</vt:lpstr>
      <vt:lpstr>optimize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2021-01-29T15:32:00Z</dcterms:created>
  <dcterms:modified xsi:type="dcterms:W3CDTF">2022-01-21T14:23:36Z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2052-3.3.0.5120</vt:lpwstr>
  </property>
</Properties>
</file>