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6275" windowHeight="19215"/>
  </bookViews>
  <sheets>
    <sheet name="Fixed income arb" sheetId="6" r:id="rId1"/>
  </sheets>
  <definedNames>
    <definedName name="solver_adj" localSheetId="0" hidden="1">'Fixed income arb'!$F$107</definedName>
    <definedName name="solver_cvg" localSheetId="0" hidden="1">"0,0001"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"0,075"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'Fixed income arb'!$F$109</definedName>
    <definedName name="solver_pre" localSheetId="0" hidden="1">"0,000001"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H131" i="6" l="1"/>
  <c r="H130" i="6"/>
  <c r="G131" i="6"/>
  <c r="G130" i="6"/>
  <c r="V122" i="6"/>
  <c r="V123" i="6"/>
  <c r="X123" i="6" s="1"/>
  <c r="X122" i="6"/>
  <c r="V121" i="6"/>
  <c r="X121" i="6" s="1"/>
  <c r="E131" i="6"/>
  <c r="D131" i="6"/>
  <c r="C131" i="6"/>
  <c r="E130" i="6"/>
  <c r="D130" i="6"/>
  <c r="C130" i="6"/>
  <c r="I121" i="6"/>
  <c r="I123" i="6"/>
  <c r="T123" i="6"/>
  <c r="Q123" i="6"/>
  <c r="N123" i="6"/>
  <c r="K123" i="6"/>
  <c r="T122" i="6"/>
  <c r="Q122" i="6"/>
  <c r="N122" i="6"/>
  <c r="K122" i="6"/>
  <c r="D122" i="6"/>
  <c r="T121" i="6"/>
  <c r="Q121" i="6"/>
  <c r="N121" i="6"/>
  <c r="K121" i="6"/>
  <c r="C121" i="6"/>
  <c r="G121" i="6" s="1"/>
  <c r="D117" i="6"/>
  <c r="I107" i="6"/>
  <c r="D107" i="6"/>
  <c r="C107" i="6"/>
  <c r="E106" i="6"/>
  <c r="C106" i="6"/>
  <c r="G106" i="6" s="1"/>
  <c r="D105" i="6"/>
  <c r="C85" i="6"/>
  <c r="G78" i="6"/>
  <c r="J77" i="6"/>
  <c r="H57" i="6"/>
  <c r="K54" i="6"/>
  <c r="J60" i="6" s="1"/>
  <c r="J54" i="6"/>
  <c r="J45" i="6"/>
  <c r="H45" i="6"/>
  <c r="H60" i="6" s="1"/>
  <c r="G45" i="6"/>
  <c r="G60" i="6" s="1"/>
  <c r="E45" i="6"/>
  <c r="I45" i="6" s="1"/>
  <c r="J43" i="6"/>
  <c r="J46" i="6" s="1"/>
  <c r="G43" i="6"/>
  <c r="G58" i="6" s="1"/>
  <c r="H42" i="6"/>
  <c r="G42" i="6"/>
  <c r="G57" i="6" s="1"/>
  <c r="K26" i="6"/>
  <c r="J26" i="6"/>
  <c r="I25" i="6"/>
  <c r="C25" i="6"/>
  <c r="C45" i="6" s="1"/>
  <c r="C60" i="6" s="1"/>
  <c r="C24" i="6"/>
  <c r="C44" i="6" s="1"/>
  <c r="C59" i="6" s="1"/>
  <c r="C78" i="6" s="1"/>
  <c r="E22" i="6"/>
  <c r="C22" i="6"/>
  <c r="C42" i="6" s="1"/>
  <c r="C57" i="6" s="1"/>
  <c r="C76" i="6" s="1"/>
  <c r="D17" i="6"/>
  <c r="D25" i="6" s="1"/>
  <c r="D45" i="6" s="1"/>
  <c r="D60" i="6" s="1"/>
  <c r="C17" i="6"/>
  <c r="E16" i="6"/>
  <c r="E123" i="6" s="1"/>
  <c r="D16" i="6"/>
  <c r="D106" i="6" s="1"/>
  <c r="C16" i="6"/>
  <c r="C123" i="6" s="1"/>
  <c r="G123" i="6" s="1"/>
  <c r="F15" i="6"/>
  <c r="F122" i="6" s="1"/>
  <c r="E15" i="6"/>
  <c r="E122" i="6" s="1"/>
  <c r="D15" i="6"/>
  <c r="D23" i="6" s="1"/>
  <c r="D43" i="6" s="1"/>
  <c r="D58" i="6" s="1"/>
  <c r="D77" i="6" s="1"/>
  <c r="C15" i="6"/>
  <c r="C122" i="6" s="1"/>
  <c r="G122" i="6" s="1"/>
  <c r="E14" i="6"/>
  <c r="E121" i="6" s="1"/>
  <c r="D14" i="6"/>
  <c r="D22" i="6" s="1"/>
  <c r="D42" i="6" s="1"/>
  <c r="D57" i="6" s="1"/>
  <c r="D76" i="6" s="1"/>
  <c r="C14" i="6"/>
  <c r="C104" i="6" s="1"/>
  <c r="G104" i="6" s="1"/>
  <c r="F6" i="6"/>
  <c r="C71" i="6" s="1"/>
  <c r="W123" i="6" l="1"/>
  <c r="W122" i="6"/>
  <c r="W121" i="6"/>
  <c r="F130" i="6"/>
  <c r="H122" i="6"/>
  <c r="R122" i="6" s="1"/>
  <c r="J107" i="6"/>
  <c r="U122" i="6"/>
  <c r="E60" i="6"/>
  <c r="I60" i="6" s="1"/>
  <c r="E42" i="6"/>
  <c r="F14" i="6"/>
  <c r="F16" i="6"/>
  <c r="I22" i="6"/>
  <c r="D24" i="6"/>
  <c r="D44" i="6" s="1"/>
  <c r="D59" i="6" s="1"/>
  <c r="D78" i="6" s="1"/>
  <c r="E23" i="6"/>
  <c r="J58" i="6"/>
  <c r="C23" i="6"/>
  <c r="C43" i="6" s="1"/>
  <c r="C58" i="6" s="1"/>
  <c r="C77" i="6" s="1"/>
  <c r="E24" i="6"/>
  <c r="D104" i="6"/>
  <c r="D123" i="6"/>
  <c r="E17" i="6"/>
  <c r="E107" i="6" s="1"/>
  <c r="J57" i="6"/>
  <c r="E104" i="6"/>
  <c r="C105" i="6"/>
  <c r="G105" i="6" s="1"/>
  <c r="H105" i="6" s="1"/>
  <c r="K105" i="6" s="1"/>
  <c r="F23" i="6"/>
  <c r="F43" i="6" s="1"/>
  <c r="F58" i="6" s="1"/>
  <c r="F77" i="6" s="1"/>
  <c r="E105" i="6"/>
  <c r="D121" i="6"/>
  <c r="F105" i="6"/>
  <c r="I105" i="6" s="1"/>
  <c r="J105" i="6" s="1"/>
  <c r="J61" i="6" l="1"/>
  <c r="E43" i="6"/>
  <c r="I23" i="6"/>
  <c r="I26" i="6" s="1"/>
  <c r="H23" i="6" s="1"/>
  <c r="G111" i="6"/>
  <c r="F111" i="6"/>
  <c r="G107" i="6" s="1"/>
  <c r="H107" i="6" s="1"/>
  <c r="K107" i="6" s="1"/>
  <c r="L107" i="6" s="1"/>
  <c r="F109" i="6"/>
  <c r="C127" i="6"/>
  <c r="L105" i="6"/>
  <c r="F123" i="6"/>
  <c r="H123" i="6" s="1"/>
  <c r="F24" i="6"/>
  <c r="F44" i="6" s="1"/>
  <c r="F59" i="6" s="1"/>
  <c r="F78" i="6" s="1"/>
  <c r="F106" i="6"/>
  <c r="L122" i="6"/>
  <c r="F104" i="6"/>
  <c r="F22" i="6"/>
  <c r="F42" i="6" s="1"/>
  <c r="F57" i="6" s="1"/>
  <c r="F76" i="6" s="1"/>
  <c r="F121" i="6"/>
  <c r="H121" i="6" s="1"/>
  <c r="O122" i="6"/>
  <c r="I24" i="6"/>
  <c r="E44" i="6"/>
  <c r="E57" i="6"/>
  <c r="I42" i="6"/>
  <c r="K27" i="6" l="1"/>
  <c r="D36" i="6" s="1"/>
  <c r="J62" i="6"/>
  <c r="D66" i="6" s="1"/>
  <c r="J47" i="6"/>
  <c r="D51" i="6" s="1"/>
  <c r="H43" i="6"/>
  <c r="H58" i="6" s="1"/>
  <c r="J27" i="6"/>
  <c r="C32" i="6"/>
  <c r="C33" i="6" s="1"/>
  <c r="I27" i="6"/>
  <c r="R123" i="6"/>
  <c r="O123" i="6"/>
  <c r="U123" i="6"/>
  <c r="L123" i="6"/>
  <c r="O121" i="6"/>
  <c r="L121" i="6"/>
  <c r="U121" i="6"/>
  <c r="R121" i="6"/>
  <c r="I44" i="6"/>
  <c r="I46" i="6" s="1"/>
  <c r="E59" i="6"/>
  <c r="I104" i="6"/>
  <c r="J104" i="6" s="1"/>
  <c r="H104" i="6"/>
  <c r="K104" i="6" s="1"/>
  <c r="I43" i="6"/>
  <c r="E58" i="6"/>
  <c r="E76" i="6"/>
  <c r="I76" i="6" s="1"/>
  <c r="I57" i="6"/>
  <c r="I106" i="6"/>
  <c r="J106" i="6" s="1"/>
  <c r="H106" i="6"/>
  <c r="K106" i="6" s="1"/>
  <c r="F131" i="6" l="1"/>
  <c r="I47" i="6"/>
  <c r="E77" i="6"/>
  <c r="I58" i="6"/>
  <c r="I61" i="6" s="1"/>
  <c r="L106" i="6"/>
  <c r="E66" i="6"/>
  <c r="F66" i="6" s="1"/>
  <c r="D67" i="6"/>
  <c r="E67" i="6" s="1"/>
  <c r="F67" i="6" s="1"/>
  <c r="E51" i="6"/>
  <c r="F51" i="6" s="1"/>
  <c r="D52" i="6"/>
  <c r="E52" i="6" s="1"/>
  <c r="F52" i="6" s="1"/>
  <c r="L104" i="6"/>
  <c r="E78" i="6"/>
  <c r="I78" i="6" s="1"/>
  <c r="I59" i="6"/>
  <c r="D37" i="6"/>
  <c r="E37" i="6" s="1"/>
  <c r="F37" i="6" s="1"/>
  <c r="E36" i="6"/>
  <c r="F36" i="6" s="1"/>
  <c r="I62" i="6" l="1"/>
  <c r="I77" i="6"/>
  <c r="G76" i="6"/>
  <c r="I80" i="6" l="1"/>
  <c r="J80" i="6"/>
</calcChain>
</file>

<file path=xl/sharedStrings.xml><?xml version="1.0" encoding="utf-8"?>
<sst xmlns="http://schemas.openxmlformats.org/spreadsheetml/2006/main" count="169" uniqueCount="80">
  <si>
    <t>Type of bond</t>
  </si>
  <si>
    <t>Maturity</t>
  </si>
  <si>
    <t>Coupon</t>
  </si>
  <si>
    <t>Price</t>
  </si>
  <si>
    <t>Zero coupon</t>
  </si>
  <si>
    <t>Y</t>
  </si>
  <si>
    <t>Annual-pay coupon</t>
  </si>
  <si>
    <t>YTM</t>
  </si>
  <si>
    <t>P_zero</t>
  </si>
  <si>
    <t>P_coupon</t>
  </si>
  <si>
    <t>Forward rate</t>
  </si>
  <si>
    <t>Duration</t>
  </si>
  <si>
    <t>Data given in the exercise</t>
  </si>
  <si>
    <t>Answer to 14.1-14.2</t>
  </si>
  <si>
    <t>Answer to 14.3</t>
  </si>
  <si>
    <t>Position</t>
  </si>
  <si>
    <t>Position: method 1</t>
  </si>
  <si>
    <t>Position: method 2</t>
  </si>
  <si>
    <t>Time 1 cashflow</t>
  </si>
  <si>
    <t>Time 0 cashflow</t>
  </si>
  <si>
    <t>Time 2 cashflow</t>
  </si>
  <si>
    <t>Arbitrage (method 2)</t>
  </si>
  <si>
    <t>Arbitrage (method 1)</t>
  </si>
  <si>
    <t>Long side</t>
  </si>
  <si>
    <t>Initial margin</t>
  </si>
  <si>
    <t>Profit over 2 years - I use arbitrage method 2 in order to have the profit in the future</t>
  </si>
  <si>
    <t>Profit over 1 year if YTM=5% for all bonds</t>
  </si>
  <si>
    <t>Time 1 value</t>
  </si>
  <si>
    <t>P&amp;L in dollars</t>
  </si>
  <si>
    <t>Profit relative to long side</t>
  </si>
  <si>
    <t>Profit relative to margin</t>
  </si>
  <si>
    <t>Profit if YTM=5% for all bonds after 1 month</t>
  </si>
  <si>
    <t>Value after 1 month</t>
  </si>
  <si>
    <t>Discount factors for payments at years 1 and 2</t>
  </si>
  <si>
    <t>Profit over the next year if the 1-year interest rate will be 4% at that time</t>
  </si>
  <si>
    <t>Cash flow from portfolio</t>
  </si>
  <si>
    <t>Answer to 14.4 Forward rate</t>
  </si>
  <si>
    <t>Answer to 14.5 Yield curve</t>
  </si>
  <si>
    <t>Overnight rate</t>
  </si>
  <si>
    <t>Overnight maturity</t>
  </si>
  <si>
    <t>Fitted yield curve</t>
  </si>
  <si>
    <t>Answer to 14.6 Duration</t>
  </si>
  <si>
    <t>Modified D</t>
  </si>
  <si>
    <t>Price at new YTM</t>
  </si>
  <si>
    <t>% price change, exact</t>
  </si>
  <si>
    <t>% price change, approx</t>
  </si>
  <si>
    <t>To compute YTM on coupon bond: use solver to get a zero here:</t>
  </si>
  <si>
    <t>To compute duration of coupon bond</t>
  </si>
  <si>
    <t>Year</t>
  </si>
  <si>
    <t>% of value</t>
  </si>
  <si>
    <t>Delta_YTM</t>
  </si>
  <si>
    <t>approximation error</t>
  </si>
  <si>
    <t>Answer to 14.7 Yield curve trading</t>
  </si>
  <si>
    <t>New yield curve 1</t>
  </si>
  <si>
    <t>New yield curve 2</t>
  </si>
  <si>
    <t>New YTM 1</t>
  </si>
  <si>
    <t>Price at new YTM 1</t>
  </si>
  <si>
    <t>Price at new YTM 1, approx</t>
  </si>
  <si>
    <t>New YTM 2</t>
  </si>
  <si>
    <t>Price at new YTM 2</t>
  </si>
  <si>
    <t>Price at new YTM 2, approx</t>
  </si>
  <si>
    <t>New YTM 3</t>
  </si>
  <si>
    <t>Price at new YTM 3</t>
  </si>
  <si>
    <t>Price at new YTM 3, approx</t>
  </si>
  <si>
    <t>New yield curve 3</t>
  </si>
  <si>
    <t>New YTM 4</t>
  </si>
  <si>
    <t>Price at new YTM 4</t>
  </si>
  <si>
    <t>Price at new YTM 4, approx</t>
  </si>
  <si>
    <t>New yield curve 4</t>
  </si>
  <si>
    <t>P&amp;L in % over 2 years</t>
  </si>
  <si>
    <t>P&amp;L in % annualized</t>
  </si>
  <si>
    <t>P&amp;L in % over 1 month</t>
  </si>
  <si>
    <t>P&amp;L in % 
over 1 year</t>
  </si>
  <si>
    <t>Initial value of arbitrage portfolio</t>
  </si>
  <si>
    <t>P&amp;L of arbitrage portfolio</t>
  </si>
  <si>
    <t>P&amp;L of arbitrage portfolio, approx</t>
  </si>
  <si>
    <t>New yield curve 5</t>
  </si>
  <si>
    <t>New YTM 5</t>
  </si>
  <si>
    <t>Price at new YTM 5</t>
  </si>
  <si>
    <t>Price at new YTM 5, approx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</si>
</sst>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10" fontId="0" fillId="0" borderId="0" xfId="0" applyNumberFormat="1"/>
    <xf numFmtId="9" fontId="0" fillId="0" borderId="0" xfId="0" applyNumberFormat="1"/>
    <xf numFmtId="0" fontId="2" fillId="0" borderId="0" xfId="0" applyFont="1"/>
    <xf numFmtId="10" fontId="0" fillId="0" borderId="0" xfId="1" applyNumberFormat="1" applyFont="1"/>
    <xf numFmtId="4" fontId="0" fillId="0" borderId="0" xfId="0" applyNumberFormat="1"/>
    <xf numFmtId="0" fontId="0" fillId="0" borderId="1" xfId="0" applyBorder="1"/>
    <xf numFmtId="9" fontId="0" fillId="0" borderId="1" xfId="0" applyNumberFormat="1" applyBorder="1"/>
    <xf numFmtId="4" fontId="0" fillId="0" borderId="1" xfId="0" applyNumberFormat="1" applyBorder="1"/>
    <xf numFmtId="9" fontId="0" fillId="0" borderId="1" xfId="1" applyFont="1" applyBorder="1"/>
    <xf numFmtId="10" fontId="0" fillId="0" borderId="1" xfId="1" applyNumberFormat="1" applyFont="1" applyBorder="1"/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10" fontId="3" fillId="0" borderId="0" xfId="0" applyNumberFormat="1" applyFont="1" applyAlignment="1">
      <alignment horizontal="right"/>
    </xf>
    <xf numFmtId="10" fontId="0" fillId="0" borderId="3" xfId="0" applyNumberFormat="1" applyBorder="1"/>
    <xf numFmtId="0" fontId="2" fillId="0" borderId="3" xfId="0" applyFont="1" applyBorder="1" applyAlignment="1">
      <alignment vertical="center"/>
    </xf>
    <xf numFmtId="0" fontId="2" fillId="0" borderId="0" xfId="0" applyFont="1" applyBorder="1" applyAlignment="1">
      <alignment horizontal="right" vertical="center" wrapText="1"/>
    </xf>
    <xf numFmtId="10" fontId="0" fillId="0" borderId="0" xfId="1" applyNumberFormat="1" applyFont="1" applyBorder="1"/>
    <xf numFmtId="164" fontId="0" fillId="0" borderId="0" xfId="0" applyNumberFormat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10" fontId="0" fillId="0" borderId="1" xfId="0" applyNumberFormat="1" applyBorder="1"/>
    <xf numFmtId="4" fontId="0" fillId="0" borderId="0" xfId="0" applyNumberFormat="1" applyBorder="1"/>
    <xf numFmtId="0" fontId="0" fillId="0" borderId="1" xfId="0" applyFill="1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horizontal="right" wrapText="1"/>
    </xf>
    <xf numFmtId="10" fontId="0" fillId="2" borderId="0" xfId="0" applyNumberFormat="1" applyFill="1" applyBorder="1"/>
    <xf numFmtId="10" fontId="0" fillId="2" borderId="1" xfId="0" applyNumberFormat="1" applyFill="1" applyBorder="1"/>
    <xf numFmtId="10" fontId="0" fillId="2" borderId="4" xfId="0" applyNumberFormat="1" applyFill="1" applyBorder="1"/>
    <xf numFmtId="4" fontId="0" fillId="0" borderId="2" xfId="0" applyNumberFormat="1" applyBorder="1"/>
    <xf numFmtId="4" fontId="0" fillId="0" borderId="0" xfId="1" applyNumberFormat="1" applyFont="1"/>
    <xf numFmtId="3" fontId="0" fillId="0" borderId="0" xfId="1" applyNumberFormat="1" applyFont="1"/>
    <xf numFmtId="4" fontId="0" fillId="0" borderId="0" xfId="0" applyNumberFormat="1" applyFill="1" applyBorder="1"/>
    <xf numFmtId="4" fontId="0" fillId="0" borderId="1" xfId="1" applyNumberFormat="1" applyFont="1" applyBorder="1"/>
    <xf numFmtId="9" fontId="0" fillId="0" borderId="0" xfId="1" applyFont="1" applyBorder="1"/>
    <xf numFmtId="4" fontId="0" fillId="0" borderId="0" xfId="1" applyNumberFormat="1" applyFont="1" applyBorder="1"/>
    <xf numFmtId="0" fontId="2" fillId="3" borderId="2" xfId="0" applyFont="1" applyFill="1" applyBorder="1" applyAlignment="1">
      <alignment horizontal="right" vertical="center" wrapText="1"/>
    </xf>
    <xf numFmtId="10" fontId="0" fillId="3" borderId="0" xfId="1" applyNumberFormat="1" applyFont="1" applyFill="1"/>
    <xf numFmtId="4" fontId="0" fillId="3" borderId="0" xfId="0" applyNumberFormat="1" applyFill="1"/>
    <xf numFmtId="4" fontId="0" fillId="3" borderId="0" xfId="1" applyNumberFormat="1" applyFont="1" applyFill="1"/>
    <xf numFmtId="4" fontId="0" fillId="3" borderId="1" xfId="0" applyNumberFormat="1" applyFill="1" applyBorder="1"/>
    <xf numFmtId="10" fontId="0" fillId="3" borderId="1" xfId="1" applyNumberFormat="1" applyFont="1" applyFill="1" applyBorder="1"/>
    <xf numFmtId="0" fontId="2" fillId="4" borderId="2" xfId="0" applyFont="1" applyFill="1" applyBorder="1" applyAlignment="1">
      <alignment horizontal="right" vertical="center" wrapText="1"/>
    </xf>
    <xf numFmtId="4" fontId="0" fillId="4" borderId="0" xfId="0" applyNumberFormat="1" applyFill="1"/>
    <xf numFmtId="4" fontId="0" fillId="4" borderId="1" xfId="0" applyNumberFormat="1" applyFill="1" applyBorder="1"/>
    <xf numFmtId="4" fontId="4" fillId="0" borderId="1" xfId="0" applyNumberFormat="1" applyFont="1" applyBorder="1" applyAlignment="1">
      <alignment horizontal="right"/>
    </xf>
    <xf numFmtId="4" fontId="4" fillId="0" borderId="0" xfId="0" applyNumberFormat="1" applyFont="1" applyAlignment="1">
      <alignment horizontal="right"/>
    </xf>
    <xf numFmtId="0" fontId="0" fillId="0" borderId="2" xfId="0" applyBorder="1" applyAlignment="1">
      <alignment horizontal="righ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xVal>
            <c:numRef>
              <c:f>('Fixed income arb'!$C$85,'Fixed income arb'!$C$14,'Fixed income arb'!$C$15,'Fixed income arb'!$C$16)</c:f>
              <c:numCache>
                <c:formatCode>General</c:formatCode>
                <c:ptCount val="4"/>
                <c:pt idx="0">
                  <c:v>2.7397260273972603E-3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('Fixed income arb'!$C$84,'Fixed income arb'!$F$14,'Fixed income arb'!$F$15,'Fixed income arb'!$F$16)</c:f>
              <c:numCache>
                <c:formatCode>0.00%</c:formatCode>
                <c:ptCount val="4"/>
                <c:pt idx="0">
                  <c:v>3.6999999999999998E-2</c:v>
                </c:pt>
                <c:pt idx="1">
                  <c:v>3.8205980066445155E-2</c:v>
                </c:pt>
                <c:pt idx="2">
                  <c:v>4.5999999999999999E-2</c:v>
                </c:pt>
                <c:pt idx="3">
                  <c:v>3.9180970773608381E-2</c:v>
                </c:pt>
              </c:numCache>
            </c:numRef>
          </c:yVal>
          <c:smooth val="0"/>
        </c:ser>
        <c:ser>
          <c:idx val="1"/>
          <c:order val="1"/>
          <c:spPr>
            <a:ln w="19050">
              <a:prstDash val="sysDot"/>
            </a:ln>
          </c:spPr>
          <c:marker>
            <c:symbol val="none"/>
          </c:marker>
          <c:xVal>
            <c:numRef>
              <c:f>('Fixed income arb'!$C$85,'Fixed income arb'!$C$14,'Fixed income arb'!$C$15,'Fixed income arb'!$C$16)</c:f>
              <c:numCache>
                <c:formatCode>General</c:formatCode>
                <c:ptCount val="4"/>
                <c:pt idx="0">
                  <c:v>2.7397260273972603E-3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('Fixed income arb'!$P$3,'Fixed income arb'!$D$116,'Fixed income arb'!$D$117,'Fixed income arb'!$D$118)</c:f>
              <c:numCache>
                <c:formatCode>0.00%</c:formatCode>
                <c:ptCount val="4"/>
                <c:pt idx="1">
                  <c:v>3.8205980066445155E-2</c:v>
                </c:pt>
                <c:pt idx="2">
                  <c:v>3.8693475420026768E-2</c:v>
                </c:pt>
                <c:pt idx="3">
                  <c:v>3.9180970773608381E-2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1920"/>
        <c:axId val="59406528"/>
      </c:scatterChart>
      <c:valAx>
        <c:axId val="59401920"/>
        <c:scaling>
          <c:orientation val="minMax"/>
          <c:max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59406528"/>
        <c:crosses val="autoZero"/>
        <c:crossBetween val="midCat"/>
        <c:majorUnit val="1"/>
      </c:valAx>
      <c:valAx>
        <c:axId val="59406528"/>
        <c:scaling>
          <c:orientation val="minMax"/>
          <c:min val="0"/>
        </c:scaling>
        <c:delete val="0"/>
        <c:axPos val="l"/>
        <c:numFmt formatCode="0.0%" sourceLinked="0"/>
        <c:majorTickMark val="out"/>
        <c:minorTickMark val="none"/>
        <c:tickLblPos val="nextTo"/>
        <c:crossAx val="594019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Initial</c:v>
          </c:tx>
          <c:spPr>
            <a:ln w="28575">
              <a:solidFill>
                <a:schemeClr val="accent1"/>
              </a:solidFill>
            </a:ln>
          </c:spPr>
          <c:xVal>
            <c:numRef>
              <c:f>('Fixed income arb'!$C$85,'Fixed income arb'!$C$14,'Fixed income arb'!$C$15,'Fixed income arb'!$C$16)</c:f>
              <c:numCache>
                <c:formatCode>General</c:formatCode>
                <c:ptCount val="4"/>
                <c:pt idx="0">
                  <c:v>2.7397260273972603E-3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('Fixed income arb'!$C$84,'Fixed income arb'!$F$14,'Fixed income arb'!$F$15,'Fixed income arb'!$F$16)</c:f>
              <c:numCache>
                <c:formatCode>0.00%</c:formatCode>
                <c:ptCount val="4"/>
                <c:pt idx="0">
                  <c:v>3.6999999999999998E-2</c:v>
                </c:pt>
                <c:pt idx="1">
                  <c:v>3.8205980066445155E-2</c:v>
                </c:pt>
                <c:pt idx="2">
                  <c:v>4.5999999999999999E-2</c:v>
                </c:pt>
                <c:pt idx="3">
                  <c:v>3.9180970773608381E-2</c:v>
                </c:pt>
              </c:numCache>
            </c:numRef>
          </c:yVal>
          <c:smooth val="0"/>
        </c:ser>
        <c:ser>
          <c:idx val="1"/>
          <c:order val="1"/>
          <c:tx>
            <c:v>Fitted</c:v>
          </c:tx>
          <c:spPr>
            <a:ln w="19050">
              <a:prstDash val="sysDot"/>
            </a:ln>
          </c:spPr>
          <c:marker>
            <c:symbol val="none"/>
          </c:marker>
          <c:xVal>
            <c:numRef>
              <c:f>('Fixed income arb'!$C$85,'Fixed income arb'!$C$14,'Fixed income arb'!$C$15,'Fixed income arb'!$C$16)</c:f>
              <c:numCache>
                <c:formatCode>General</c:formatCode>
                <c:ptCount val="4"/>
                <c:pt idx="0">
                  <c:v>2.7397260273972603E-3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('Fixed income arb'!$P$3,'Fixed income arb'!$D$116,'Fixed income arb'!$D$117,'Fixed income arb'!$D$118)</c:f>
              <c:numCache>
                <c:formatCode>0.00%</c:formatCode>
                <c:ptCount val="4"/>
                <c:pt idx="1">
                  <c:v>3.8205980066445155E-2</c:v>
                </c:pt>
                <c:pt idx="2">
                  <c:v>3.8693475420026768E-2</c:v>
                </c:pt>
                <c:pt idx="3">
                  <c:v>3.9180970773608381E-2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'Fixed income arb'!$J$120</c:f>
              <c:strCache>
                <c:ptCount val="1"/>
                <c:pt idx="0">
                  <c:v>New YTM 1</c:v>
                </c:pt>
              </c:strCache>
            </c:strRef>
          </c:tx>
          <c:xVal>
            <c:numRef>
              <c:f>'Fixed income arb'!$C$121:$C$123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'Fixed income arb'!$J$121:$J$123</c:f>
              <c:numCache>
                <c:formatCode>0.00%</c:formatCode>
                <c:ptCount val="3"/>
                <c:pt idx="0">
                  <c:v>4.82E-2</c:v>
                </c:pt>
                <c:pt idx="1">
                  <c:v>4.87E-2</c:v>
                </c:pt>
                <c:pt idx="2">
                  <c:v>4.9200000000000001E-2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'Fixed income arb'!$M$120</c:f>
              <c:strCache>
                <c:ptCount val="1"/>
                <c:pt idx="0">
                  <c:v>New YTM 2</c:v>
                </c:pt>
              </c:strCache>
            </c:strRef>
          </c:tx>
          <c:xVal>
            <c:numRef>
              <c:f>'Fixed income arb'!$C$121:$C$123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'Fixed income arb'!$M$121:$M$123</c:f>
              <c:numCache>
                <c:formatCode>0.00%</c:formatCode>
                <c:ptCount val="3"/>
                <c:pt idx="0">
                  <c:v>2.8199999999999999E-2</c:v>
                </c:pt>
                <c:pt idx="1">
                  <c:v>2.87E-2</c:v>
                </c:pt>
                <c:pt idx="2">
                  <c:v>2.92E-2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'Fixed income arb'!$P$120</c:f>
              <c:strCache>
                <c:ptCount val="1"/>
                <c:pt idx="0">
                  <c:v>New YTM 3</c:v>
                </c:pt>
              </c:strCache>
            </c:strRef>
          </c:tx>
          <c:xVal>
            <c:numRef>
              <c:f>'Fixed income arb'!$C$121:$C$123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'Fixed income arb'!$P$121:$P$123</c:f>
              <c:numCache>
                <c:formatCode>0.00%</c:formatCode>
                <c:ptCount val="3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'Fixed income arb'!$S$120</c:f>
              <c:strCache>
                <c:ptCount val="1"/>
                <c:pt idx="0">
                  <c:v>New YTM 4</c:v>
                </c:pt>
              </c:strCache>
            </c:strRef>
          </c:tx>
          <c:xVal>
            <c:numRef>
              <c:f>'Fixed income arb'!$C$121:$C$123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'Fixed income arb'!$S$121:$S$123</c:f>
              <c:numCache>
                <c:formatCode>0.00%</c:formatCode>
                <c:ptCount val="3"/>
                <c:pt idx="0">
                  <c:v>0.04</c:v>
                </c:pt>
                <c:pt idx="1">
                  <c:v>0.03</c:v>
                </c:pt>
                <c:pt idx="2">
                  <c:v>0.02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'Fixed income arb'!$V$120</c:f>
              <c:strCache>
                <c:ptCount val="1"/>
                <c:pt idx="0">
                  <c:v>New YTM 5</c:v>
                </c:pt>
              </c:strCache>
            </c:strRef>
          </c:tx>
          <c:xVal>
            <c:numRef>
              <c:f>'Fixed income arb'!$C$121:$C$123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'Fixed income arb'!$V$121:$V$123</c:f>
              <c:numCache>
                <c:formatCode>0.00%</c:formatCode>
                <c:ptCount val="3"/>
                <c:pt idx="0">
                  <c:v>3.8205980066445155E-2</c:v>
                </c:pt>
                <c:pt idx="1">
                  <c:v>0.05</c:v>
                </c:pt>
                <c:pt idx="2">
                  <c:v>3.9180970773608381E-2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23648"/>
        <c:axId val="84124224"/>
      </c:scatterChart>
      <c:valAx>
        <c:axId val="84123648"/>
        <c:scaling>
          <c:orientation val="minMax"/>
          <c:max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84124224"/>
        <c:crosses val="autoZero"/>
        <c:crossBetween val="midCat"/>
      </c:valAx>
      <c:valAx>
        <c:axId val="84124224"/>
        <c:scaling>
          <c:orientation val="minMax"/>
          <c:min val="0"/>
        </c:scaling>
        <c:delete val="0"/>
        <c:axPos val="l"/>
        <c:numFmt formatCode="0.00%" sourceLinked="1"/>
        <c:majorTickMark val="out"/>
        <c:minorTickMark val="none"/>
        <c:tickLblPos val="nextTo"/>
        <c:crossAx val="84123648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Initial</c:v>
          </c:tx>
          <c:spPr>
            <a:ln w="28575">
              <a:solidFill>
                <a:schemeClr val="accent1"/>
              </a:solidFill>
            </a:ln>
          </c:spPr>
          <c:xVal>
            <c:numRef>
              <c:f>('Fixed income arb'!$C$85,'Fixed income arb'!$C$14,'Fixed income arb'!$C$15,'Fixed income arb'!$C$16)</c:f>
              <c:numCache>
                <c:formatCode>General</c:formatCode>
                <c:ptCount val="4"/>
                <c:pt idx="0">
                  <c:v>2.7397260273972603E-3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('Fixed income arb'!$C$84,'Fixed income arb'!$F$14,'Fixed income arb'!$F$15,'Fixed income arb'!$F$16)</c:f>
              <c:numCache>
                <c:formatCode>0.00%</c:formatCode>
                <c:ptCount val="4"/>
                <c:pt idx="0">
                  <c:v>3.6999999999999998E-2</c:v>
                </c:pt>
                <c:pt idx="1">
                  <c:v>3.8205980066445155E-2</c:v>
                </c:pt>
                <c:pt idx="2">
                  <c:v>4.5999999999999999E-2</c:v>
                </c:pt>
                <c:pt idx="3">
                  <c:v>3.9180970773608381E-2</c:v>
                </c:pt>
              </c:numCache>
            </c:numRef>
          </c:yVal>
          <c:smooth val="0"/>
        </c:ser>
        <c:ser>
          <c:idx val="1"/>
          <c:order val="1"/>
          <c:tx>
            <c:v>Fitted</c:v>
          </c:tx>
          <c:spPr>
            <a:ln w="19050">
              <a:prstDash val="sysDot"/>
            </a:ln>
          </c:spPr>
          <c:marker>
            <c:symbol val="none"/>
          </c:marker>
          <c:xVal>
            <c:numRef>
              <c:f>('Fixed income arb'!$C$85,'Fixed income arb'!$C$14,'Fixed income arb'!$C$15,'Fixed income arb'!$C$16)</c:f>
              <c:numCache>
                <c:formatCode>General</c:formatCode>
                <c:ptCount val="4"/>
                <c:pt idx="0">
                  <c:v>2.7397260273972603E-3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('Fixed income arb'!$P$3,'Fixed income arb'!$D$116,'Fixed income arb'!$D$117,'Fixed income arb'!$D$118)</c:f>
              <c:numCache>
                <c:formatCode>0.00%</c:formatCode>
                <c:ptCount val="4"/>
                <c:pt idx="1">
                  <c:v>3.8205980066445155E-2</c:v>
                </c:pt>
                <c:pt idx="2">
                  <c:v>3.8693475420026768E-2</c:v>
                </c:pt>
                <c:pt idx="3">
                  <c:v>3.9180970773608381E-2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'Fixed income arb'!$J$120</c:f>
              <c:strCache>
                <c:ptCount val="1"/>
                <c:pt idx="0">
                  <c:v>New YTM 1</c:v>
                </c:pt>
              </c:strCache>
            </c:strRef>
          </c:tx>
          <c:xVal>
            <c:numRef>
              <c:f>'Fixed income arb'!$C$121:$C$123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'Fixed income arb'!$J$121:$J$123</c:f>
              <c:numCache>
                <c:formatCode>0.00%</c:formatCode>
                <c:ptCount val="3"/>
                <c:pt idx="0">
                  <c:v>4.82E-2</c:v>
                </c:pt>
                <c:pt idx="1">
                  <c:v>4.87E-2</c:v>
                </c:pt>
                <c:pt idx="2">
                  <c:v>4.9200000000000001E-2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26528"/>
        <c:axId val="84127104"/>
      </c:scatterChart>
      <c:valAx>
        <c:axId val="84126528"/>
        <c:scaling>
          <c:orientation val="minMax"/>
          <c:max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84127104"/>
        <c:crosses val="autoZero"/>
        <c:crossBetween val="midCat"/>
      </c:valAx>
      <c:valAx>
        <c:axId val="84127104"/>
        <c:scaling>
          <c:orientation val="minMax"/>
          <c:min val="0"/>
        </c:scaling>
        <c:delete val="0"/>
        <c:axPos val="l"/>
        <c:numFmt formatCode="0.00%" sourceLinked="1"/>
        <c:majorTickMark val="out"/>
        <c:minorTickMark val="none"/>
        <c:tickLblPos val="nextTo"/>
        <c:crossAx val="84126528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Initial</c:v>
          </c:tx>
          <c:spPr>
            <a:ln w="28575">
              <a:solidFill>
                <a:schemeClr val="accent1"/>
              </a:solidFill>
            </a:ln>
          </c:spPr>
          <c:xVal>
            <c:numRef>
              <c:f>('Fixed income arb'!$C$85,'Fixed income arb'!$C$14,'Fixed income arb'!$C$15,'Fixed income arb'!$C$16)</c:f>
              <c:numCache>
                <c:formatCode>General</c:formatCode>
                <c:ptCount val="4"/>
                <c:pt idx="0">
                  <c:v>2.7397260273972603E-3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('Fixed income arb'!$C$84,'Fixed income arb'!$F$14,'Fixed income arb'!$F$15,'Fixed income arb'!$F$16)</c:f>
              <c:numCache>
                <c:formatCode>0.00%</c:formatCode>
                <c:ptCount val="4"/>
                <c:pt idx="0">
                  <c:v>3.6999999999999998E-2</c:v>
                </c:pt>
                <c:pt idx="1">
                  <c:v>3.8205980066445155E-2</c:v>
                </c:pt>
                <c:pt idx="2">
                  <c:v>4.5999999999999999E-2</c:v>
                </c:pt>
                <c:pt idx="3">
                  <c:v>3.9180970773608381E-2</c:v>
                </c:pt>
              </c:numCache>
            </c:numRef>
          </c:yVal>
          <c:smooth val="0"/>
        </c:ser>
        <c:ser>
          <c:idx val="1"/>
          <c:order val="1"/>
          <c:tx>
            <c:v>Fitted</c:v>
          </c:tx>
          <c:spPr>
            <a:ln w="19050">
              <a:prstDash val="sysDot"/>
            </a:ln>
          </c:spPr>
          <c:marker>
            <c:symbol val="none"/>
          </c:marker>
          <c:xVal>
            <c:numRef>
              <c:f>('Fixed income arb'!$C$85,'Fixed income arb'!$C$14,'Fixed income arb'!$C$15,'Fixed income arb'!$C$16)</c:f>
              <c:numCache>
                <c:formatCode>General</c:formatCode>
                <c:ptCount val="4"/>
                <c:pt idx="0">
                  <c:v>2.7397260273972603E-3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('Fixed income arb'!$P$3,'Fixed income arb'!$D$116,'Fixed income arb'!$D$117,'Fixed income arb'!$D$118)</c:f>
              <c:numCache>
                <c:formatCode>0.00%</c:formatCode>
                <c:ptCount val="4"/>
                <c:pt idx="1">
                  <c:v>3.8205980066445155E-2</c:v>
                </c:pt>
                <c:pt idx="2">
                  <c:v>3.8693475420026768E-2</c:v>
                </c:pt>
                <c:pt idx="3">
                  <c:v>3.9180970773608381E-2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'Fixed income arb'!$P$120</c:f>
              <c:strCache>
                <c:ptCount val="1"/>
                <c:pt idx="0">
                  <c:v>New YTM 3</c:v>
                </c:pt>
              </c:strCache>
            </c:strRef>
          </c:tx>
          <c:xVal>
            <c:numRef>
              <c:f>'Fixed income arb'!$C$121:$C$123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'Fixed income arb'!$P$121:$P$123</c:f>
              <c:numCache>
                <c:formatCode>0.00%</c:formatCode>
                <c:ptCount val="3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29408"/>
        <c:axId val="84129984"/>
      </c:scatterChart>
      <c:valAx>
        <c:axId val="84129408"/>
        <c:scaling>
          <c:orientation val="minMax"/>
          <c:max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84129984"/>
        <c:crosses val="autoZero"/>
        <c:crossBetween val="midCat"/>
      </c:valAx>
      <c:valAx>
        <c:axId val="84129984"/>
        <c:scaling>
          <c:orientation val="minMax"/>
          <c:min val="0"/>
        </c:scaling>
        <c:delete val="0"/>
        <c:axPos val="l"/>
        <c:numFmt formatCode="0.00%" sourceLinked="1"/>
        <c:majorTickMark val="out"/>
        <c:minorTickMark val="none"/>
        <c:tickLblPos val="nextTo"/>
        <c:crossAx val="84129408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Initial</c:v>
          </c:tx>
          <c:spPr>
            <a:ln w="28575">
              <a:solidFill>
                <a:schemeClr val="accent1"/>
              </a:solidFill>
            </a:ln>
          </c:spPr>
          <c:xVal>
            <c:numRef>
              <c:f>('Fixed income arb'!$C$85,'Fixed income arb'!$C$14,'Fixed income arb'!$C$15,'Fixed income arb'!$C$16)</c:f>
              <c:numCache>
                <c:formatCode>General</c:formatCode>
                <c:ptCount val="4"/>
                <c:pt idx="0">
                  <c:v>2.7397260273972603E-3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('Fixed income arb'!$C$84,'Fixed income arb'!$F$14,'Fixed income arb'!$F$15,'Fixed income arb'!$F$16)</c:f>
              <c:numCache>
                <c:formatCode>0.00%</c:formatCode>
                <c:ptCount val="4"/>
                <c:pt idx="0">
                  <c:v>3.6999999999999998E-2</c:v>
                </c:pt>
                <c:pt idx="1">
                  <c:v>3.8205980066445155E-2</c:v>
                </c:pt>
                <c:pt idx="2">
                  <c:v>4.5999999999999999E-2</c:v>
                </c:pt>
                <c:pt idx="3">
                  <c:v>3.9180970773608381E-2</c:v>
                </c:pt>
              </c:numCache>
            </c:numRef>
          </c:yVal>
          <c:smooth val="0"/>
        </c:ser>
        <c:ser>
          <c:idx val="1"/>
          <c:order val="1"/>
          <c:tx>
            <c:v>Fitted</c:v>
          </c:tx>
          <c:spPr>
            <a:ln w="19050">
              <a:prstDash val="sysDot"/>
            </a:ln>
          </c:spPr>
          <c:marker>
            <c:symbol val="none"/>
          </c:marker>
          <c:xVal>
            <c:numRef>
              <c:f>('Fixed income arb'!$C$85,'Fixed income arb'!$C$14,'Fixed income arb'!$C$15,'Fixed income arb'!$C$16)</c:f>
              <c:numCache>
                <c:formatCode>General</c:formatCode>
                <c:ptCount val="4"/>
                <c:pt idx="0">
                  <c:v>2.7397260273972603E-3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('Fixed income arb'!$P$3,'Fixed income arb'!$D$116,'Fixed income arb'!$D$117,'Fixed income arb'!$D$118)</c:f>
              <c:numCache>
                <c:formatCode>0.00%</c:formatCode>
                <c:ptCount val="4"/>
                <c:pt idx="1">
                  <c:v>3.8205980066445155E-2</c:v>
                </c:pt>
                <c:pt idx="2">
                  <c:v>3.8693475420026768E-2</c:v>
                </c:pt>
                <c:pt idx="3">
                  <c:v>3.9180970773608381E-2</c:v>
                </c:pt>
              </c:numCache>
            </c:numRef>
          </c:yVal>
          <c:smooth val="0"/>
        </c:ser>
        <c:ser>
          <c:idx val="6"/>
          <c:order val="2"/>
          <c:tx>
            <c:strRef>
              <c:f>'Fixed income arb'!$V$120</c:f>
              <c:strCache>
                <c:ptCount val="1"/>
                <c:pt idx="0">
                  <c:v>New YTM 5</c:v>
                </c:pt>
              </c:strCache>
            </c:strRef>
          </c:tx>
          <c:xVal>
            <c:numRef>
              <c:f>'Fixed income arb'!$C$121:$C$123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'Fixed income arb'!$V$121:$V$123</c:f>
              <c:numCache>
                <c:formatCode>0.00%</c:formatCode>
                <c:ptCount val="3"/>
                <c:pt idx="0">
                  <c:v>3.8205980066445155E-2</c:v>
                </c:pt>
                <c:pt idx="1">
                  <c:v>0.05</c:v>
                </c:pt>
                <c:pt idx="2">
                  <c:v>3.9180970773608381E-2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59520"/>
        <c:axId val="85460096"/>
      </c:scatterChart>
      <c:valAx>
        <c:axId val="85459520"/>
        <c:scaling>
          <c:orientation val="minMax"/>
          <c:max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85460096"/>
        <c:crosses val="autoZero"/>
        <c:crossBetween val="midCat"/>
      </c:valAx>
      <c:valAx>
        <c:axId val="85460096"/>
        <c:scaling>
          <c:orientation val="minMax"/>
          <c:min val="0"/>
        </c:scaling>
        <c:delete val="0"/>
        <c:axPos val="l"/>
        <c:numFmt formatCode="0.00%" sourceLinked="1"/>
        <c:majorTickMark val="out"/>
        <c:minorTickMark val="none"/>
        <c:tickLblPos val="nextTo"/>
        <c:crossAx val="85459520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Initial</c:v>
          </c:tx>
          <c:spPr>
            <a:ln w="28575">
              <a:solidFill>
                <a:schemeClr val="accent1"/>
              </a:solidFill>
            </a:ln>
          </c:spPr>
          <c:xVal>
            <c:numRef>
              <c:f>('Fixed income arb'!$C$85,'Fixed income arb'!$C$14,'Fixed income arb'!$C$15,'Fixed income arb'!$C$16)</c:f>
              <c:numCache>
                <c:formatCode>General</c:formatCode>
                <c:ptCount val="4"/>
                <c:pt idx="0">
                  <c:v>2.7397260273972603E-3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('Fixed income arb'!$C$84,'Fixed income arb'!$F$14,'Fixed income arb'!$F$15,'Fixed income arb'!$F$16)</c:f>
              <c:numCache>
                <c:formatCode>0.00%</c:formatCode>
                <c:ptCount val="4"/>
                <c:pt idx="0">
                  <c:v>3.6999999999999998E-2</c:v>
                </c:pt>
                <c:pt idx="1">
                  <c:v>3.8205980066445155E-2</c:v>
                </c:pt>
                <c:pt idx="2">
                  <c:v>4.5999999999999999E-2</c:v>
                </c:pt>
                <c:pt idx="3">
                  <c:v>3.9180970773608381E-2</c:v>
                </c:pt>
              </c:numCache>
            </c:numRef>
          </c:yVal>
          <c:smooth val="0"/>
        </c:ser>
        <c:ser>
          <c:idx val="1"/>
          <c:order val="1"/>
          <c:tx>
            <c:v>Fitted</c:v>
          </c:tx>
          <c:spPr>
            <a:ln w="19050">
              <a:prstDash val="sysDot"/>
            </a:ln>
          </c:spPr>
          <c:marker>
            <c:symbol val="none"/>
          </c:marker>
          <c:xVal>
            <c:numRef>
              <c:f>('Fixed income arb'!$C$85,'Fixed income arb'!$C$14,'Fixed income arb'!$C$15,'Fixed income arb'!$C$16)</c:f>
              <c:numCache>
                <c:formatCode>General</c:formatCode>
                <c:ptCount val="4"/>
                <c:pt idx="0">
                  <c:v>2.7397260273972603E-3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('Fixed income arb'!$P$3,'Fixed income arb'!$D$116,'Fixed income arb'!$D$117,'Fixed income arb'!$D$118)</c:f>
              <c:numCache>
                <c:formatCode>0.00%</c:formatCode>
                <c:ptCount val="4"/>
                <c:pt idx="1">
                  <c:v>3.8205980066445155E-2</c:v>
                </c:pt>
                <c:pt idx="2">
                  <c:v>3.8693475420026768E-2</c:v>
                </c:pt>
                <c:pt idx="3">
                  <c:v>3.9180970773608381E-2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'Fixed income arb'!$M$120</c:f>
              <c:strCache>
                <c:ptCount val="1"/>
                <c:pt idx="0">
                  <c:v>New YTM 2</c:v>
                </c:pt>
              </c:strCache>
            </c:strRef>
          </c:tx>
          <c:xVal>
            <c:numRef>
              <c:f>'Fixed income arb'!$C$121:$C$123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'Fixed income arb'!$M$121:$M$123</c:f>
              <c:numCache>
                <c:formatCode>0.00%</c:formatCode>
                <c:ptCount val="3"/>
                <c:pt idx="0">
                  <c:v>2.8199999999999999E-2</c:v>
                </c:pt>
                <c:pt idx="1">
                  <c:v>2.87E-2</c:v>
                </c:pt>
                <c:pt idx="2">
                  <c:v>2.92E-2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2400"/>
        <c:axId val="85462976"/>
      </c:scatterChart>
      <c:valAx>
        <c:axId val="85462400"/>
        <c:scaling>
          <c:orientation val="minMax"/>
          <c:max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85462976"/>
        <c:crosses val="autoZero"/>
        <c:crossBetween val="midCat"/>
      </c:valAx>
      <c:valAx>
        <c:axId val="85462976"/>
        <c:scaling>
          <c:orientation val="minMax"/>
          <c:min val="0"/>
        </c:scaling>
        <c:delete val="0"/>
        <c:axPos val="l"/>
        <c:numFmt formatCode="0.00%" sourceLinked="1"/>
        <c:majorTickMark val="out"/>
        <c:minorTickMark val="none"/>
        <c:tickLblPos val="nextTo"/>
        <c:crossAx val="85462400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Initial</c:v>
          </c:tx>
          <c:spPr>
            <a:ln w="28575">
              <a:solidFill>
                <a:schemeClr val="accent1"/>
              </a:solidFill>
            </a:ln>
          </c:spPr>
          <c:xVal>
            <c:numRef>
              <c:f>('Fixed income arb'!$C$85,'Fixed income arb'!$C$14,'Fixed income arb'!$C$15,'Fixed income arb'!$C$16)</c:f>
              <c:numCache>
                <c:formatCode>General</c:formatCode>
                <c:ptCount val="4"/>
                <c:pt idx="0">
                  <c:v>2.7397260273972603E-3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('Fixed income arb'!$C$84,'Fixed income arb'!$F$14,'Fixed income arb'!$F$15,'Fixed income arb'!$F$16)</c:f>
              <c:numCache>
                <c:formatCode>0.00%</c:formatCode>
                <c:ptCount val="4"/>
                <c:pt idx="0">
                  <c:v>3.6999999999999998E-2</c:v>
                </c:pt>
                <c:pt idx="1">
                  <c:v>3.8205980066445155E-2</c:v>
                </c:pt>
                <c:pt idx="2">
                  <c:v>4.5999999999999999E-2</c:v>
                </c:pt>
                <c:pt idx="3">
                  <c:v>3.9180970773608381E-2</c:v>
                </c:pt>
              </c:numCache>
            </c:numRef>
          </c:yVal>
          <c:smooth val="0"/>
        </c:ser>
        <c:ser>
          <c:idx val="1"/>
          <c:order val="1"/>
          <c:tx>
            <c:v>Fitted</c:v>
          </c:tx>
          <c:spPr>
            <a:ln w="19050">
              <a:prstDash val="sysDot"/>
            </a:ln>
          </c:spPr>
          <c:marker>
            <c:symbol val="none"/>
          </c:marker>
          <c:xVal>
            <c:numRef>
              <c:f>('Fixed income arb'!$C$85,'Fixed income arb'!$C$14,'Fixed income arb'!$C$15,'Fixed income arb'!$C$16)</c:f>
              <c:numCache>
                <c:formatCode>General</c:formatCode>
                <c:ptCount val="4"/>
                <c:pt idx="0">
                  <c:v>2.7397260273972603E-3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('Fixed income arb'!$P$3,'Fixed income arb'!$D$116,'Fixed income arb'!$D$117,'Fixed income arb'!$D$118)</c:f>
              <c:numCache>
                <c:formatCode>0.00%</c:formatCode>
                <c:ptCount val="4"/>
                <c:pt idx="1">
                  <c:v>3.8205980066445155E-2</c:v>
                </c:pt>
                <c:pt idx="2">
                  <c:v>3.8693475420026768E-2</c:v>
                </c:pt>
                <c:pt idx="3">
                  <c:v>3.9180970773608381E-2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'Fixed income arb'!$S$120</c:f>
              <c:strCache>
                <c:ptCount val="1"/>
                <c:pt idx="0">
                  <c:v>New YTM 4</c:v>
                </c:pt>
              </c:strCache>
            </c:strRef>
          </c:tx>
          <c:xVal>
            <c:numRef>
              <c:f>'Fixed income arb'!$C$121:$C$123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'Fixed income arb'!$S$121:$S$123</c:f>
              <c:numCache>
                <c:formatCode>0.00%</c:formatCode>
                <c:ptCount val="3"/>
                <c:pt idx="0">
                  <c:v>0.04</c:v>
                </c:pt>
                <c:pt idx="1">
                  <c:v>0.03</c:v>
                </c:pt>
                <c:pt idx="2">
                  <c:v>0.02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5280"/>
        <c:axId val="85465856"/>
      </c:scatterChart>
      <c:valAx>
        <c:axId val="85465280"/>
        <c:scaling>
          <c:orientation val="minMax"/>
          <c:max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85465856"/>
        <c:crosses val="autoZero"/>
        <c:crossBetween val="midCat"/>
      </c:valAx>
      <c:valAx>
        <c:axId val="85465856"/>
        <c:scaling>
          <c:orientation val="minMax"/>
          <c:min val="0"/>
        </c:scaling>
        <c:delete val="0"/>
        <c:axPos val="l"/>
        <c:numFmt formatCode="0.00%" sourceLinked="1"/>
        <c:majorTickMark val="out"/>
        <c:minorTickMark val="none"/>
        <c:tickLblPos val="nextTo"/>
        <c:crossAx val="85465280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84</xdr:row>
      <xdr:rowOff>1</xdr:rowOff>
    </xdr:from>
    <xdr:to>
      <xdr:col>10</xdr:col>
      <xdr:colOff>47625</xdr:colOff>
      <xdr:row>95</xdr:row>
      <xdr:rowOff>57151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981075</xdr:colOff>
      <xdr:row>132</xdr:row>
      <xdr:rowOff>85725</xdr:rowOff>
    </xdr:from>
    <xdr:to>
      <xdr:col>3</xdr:col>
      <xdr:colOff>485775</xdr:colOff>
      <xdr:row>146</xdr:row>
      <xdr:rowOff>76201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1019175</xdr:colOff>
      <xdr:row>147</xdr:row>
      <xdr:rowOff>114300</xdr:rowOff>
    </xdr:from>
    <xdr:to>
      <xdr:col>3</xdr:col>
      <xdr:colOff>571499</xdr:colOff>
      <xdr:row>160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133351</xdr:colOff>
      <xdr:row>133</xdr:row>
      <xdr:rowOff>142875</xdr:rowOff>
    </xdr:from>
    <xdr:to>
      <xdr:col>9</xdr:col>
      <xdr:colOff>504826</xdr:colOff>
      <xdr:row>146</xdr:row>
      <xdr:rowOff>152401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123825</xdr:colOff>
      <xdr:row>160</xdr:row>
      <xdr:rowOff>171450</xdr:rowOff>
    </xdr:from>
    <xdr:to>
      <xdr:col>9</xdr:col>
      <xdr:colOff>542925</xdr:colOff>
      <xdr:row>174</xdr:row>
      <xdr:rowOff>47626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1057275</xdr:colOff>
      <xdr:row>161</xdr:row>
      <xdr:rowOff>9525</xdr:rowOff>
    </xdr:from>
    <xdr:to>
      <xdr:col>3</xdr:col>
      <xdr:colOff>552450</xdr:colOff>
      <xdr:row>174</xdr:row>
      <xdr:rowOff>57149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114300</xdr:colOff>
      <xdr:row>147</xdr:row>
      <xdr:rowOff>76200</xdr:rowOff>
    </xdr:from>
    <xdr:to>
      <xdr:col>9</xdr:col>
      <xdr:colOff>514350</xdr:colOff>
      <xdr:row>160</xdr:row>
      <xdr:rowOff>28575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131"/>
  <sheetViews>
    <sheetView showGridLines="0" tabSelected="1" topLeftCell="A61" workbookViewId="0">
      <selection activeCell="I99" sqref="I99"/>
    </sheetView>
  </sheetViews>
  <sheetFormatPr defaultRowHeight="15" x14ac:dyDescent="0.25"/>
  <cols>
    <col min="1" max="1" width="5.7109375" customWidth="1"/>
    <col min="2" max="2" width="58.28515625" customWidth="1"/>
    <col min="3" max="15" width="11" customWidth="1"/>
    <col min="16" max="16" width="9.85546875" customWidth="1"/>
    <col min="17" max="18" width="8.7109375" customWidth="1"/>
  </cols>
  <sheetData>
    <row r="3" spans="1:16" x14ac:dyDescent="0.25">
      <c r="A3" s="3" t="s">
        <v>12</v>
      </c>
      <c r="H3" s="3"/>
      <c r="M3" s="1"/>
      <c r="N3" s="1"/>
      <c r="P3" s="1"/>
    </row>
    <row r="4" spans="1:16" x14ac:dyDescent="0.25">
      <c r="P4" s="1"/>
    </row>
    <row r="5" spans="1:16" s="13" customFormat="1" ht="19.5" customHeight="1" x14ac:dyDescent="0.25">
      <c r="B5" s="11" t="s">
        <v>0</v>
      </c>
      <c r="C5" s="12" t="s">
        <v>1</v>
      </c>
      <c r="D5" s="12" t="s">
        <v>2</v>
      </c>
      <c r="E5" s="12" t="s">
        <v>3</v>
      </c>
      <c r="F5" s="12" t="s">
        <v>7</v>
      </c>
    </row>
    <row r="6" spans="1:16" x14ac:dyDescent="0.25">
      <c r="B6" t="s">
        <v>4</v>
      </c>
      <c r="C6">
        <v>1</v>
      </c>
      <c r="D6">
        <v>0</v>
      </c>
      <c r="E6">
        <v>96.32</v>
      </c>
      <c r="F6" s="4">
        <f>100/E6-1</f>
        <v>3.8205980066445155E-2</v>
      </c>
    </row>
    <row r="7" spans="1:16" x14ac:dyDescent="0.25">
      <c r="B7" t="s">
        <v>4</v>
      </c>
      <c r="C7">
        <v>2</v>
      </c>
      <c r="D7">
        <v>0</v>
      </c>
      <c r="E7" s="50" t="s">
        <v>8</v>
      </c>
      <c r="F7" s="1">
        <v>4.5999999999999999E-2</v>
      </c>
    </row>
    <row r="8" spans="1:16" x14ac:dyDescent="0.25">
      <c r="B8" t="s">
        <v>4</v>
      </c>
      <c r="C8">
        <v>3</v>
      </c>
      <c r="D8">
        <v>0</v>
      </c>
      <c r="E8" s="5">
        <v>89.11</v>
      </c>
      <c r="F8" s="15" t="s">
        <v>5</v>
      </c>
    </row>
    <row r="9" spans="1:16" x14ac:dyDescent="0.25">
      <c r="B9" s="6" t="s">
        <v>6</v>
      </c>
      <c r="C9" s="6">
        <v>2</v>
      </c>
      <c r="D9" s="7">
        <v>0.05</v>
      </c>
      <c r="E9" s="49" t="s">
        <v>9</v>
      </c>
      <c r="F9" s="10"/>
      <c r="M9" s="19"/>
      <c r="N9" s="19"/>
    </row>
    <row r="11" spans="1:16" x14ac:dyDescent="0.25">
      <c r="A11" s="3" t="s">
        <v>13</v>
      </c>
    </row>
    <row r="13" spans="1:16" x14ac:dyDescent="0.25">
      <c r="B13" s="11" t="s">
        <v>0</v>
      </c>
      <c r="C13" s="12" t="s">
        <v>1</v>
      </c>
      <c r="D13" s="12" t="s">
        <v>2</v>
      </c>
      <c r="E13" s="12" t="s">
        <v>3</v>
      </c>
      <c r="F13" s="12" t="s">
        <v>7</v>
      </c>
    </row>
    <row r="14" spans="1:16" x14ac:dyDescent="0.25">
      <c r="B14" t="s">
        <v>4</v>
      </c>
      <c r="C14">
        <f>C6</f>
        <v>1</v>
      </c>
      <c r="D14">
        <f>D6</f>
        <v>0</v>
      </c>
      <c r="E14">
        <f>E6</f>
        <v>96.32</v>
      </c>
      <c r="F14" s="4">
        <f>F6</f>
        <v>3.8205980066445155E-2</v>
      </c>
    </row>
    <row r="15" spans="1:16" x14ac:dyDescent="0.25">
      <c r="B15" t="s">
        <v>4</v>
      </c>
      <c r="C15">
        <f t="shared" ref="C15:D17" si="0">C7</f>
        <v>2</v>
      </c>
      <c r="D15">
        <f t="shared" si="0"/>
        <v>0</v>
      </c>
      <c r="E15" s="5">
        <f>100/(1+F15)^C15</f>
        <v>91.397987050733192</v>
      </c>
      <c r="F15" s="1">
        <f>F7</f>
        <v>4.5999999999999999E-2</v>
      </c>
    </row>
    <row r="16" spans="1:16" x14ac:dyDescent="0.25">
      <c r="B16" t="s">
        <v>4</v>
      </c>
      <c r="C16">
        <f t="shared" si="0"/>
        <v>3</v>
      </c>
      <c r="D16">
        <f t="shared" si="0"/>
        <v>0</v>
      </c>
      <c r="E16" s="5">
        <f>E8</f>
        <v>89.11</v>
      </c>
      <c r="F16" s="1">
        <f>(100/E16)^(1/C16)-1</f>
        <v>3.9180970773608381E-2</v>
      </c>
    </row>
    <row r="17" spans="1:11" x14ac:dyDescent="0.25">
      <c r="B17" s="6" t="s">
        <v>6</v>
      </c>
      <c r="C17" s="6">
        <f t="shared" si="0"/>
        <v>2</v>
      </c>
      <c r="D17" s="9">
        <f t="shared" si="0"/>
        <v>0.05</v>
      </c>
      <c r="E17" s="8">
        <f>E15*1.05+0.05*E14</f>
        <v>100.78388640326986</v>
      </c>
      <c r="F17" s="10"/>
    </row>
    <row r="19" spans="1:11" x14ac:dyDescent="0.25">
      <c r="A19" s="3" t="s">
        <v>14</v>
      </c>
    </row>
    <row r="21" spans="1:11" ht="30" x14ac:dyDescent="0.25">
      <c r="B21" s="11" t="s">
        <v>0</v>
      </c>
      <c r="C21" s="12" t="s">
        <v>1</v>
      </c>
      <c r="D21" s="12" t="s">
        <v>2</v>
      </c>
      <c r="E21" s="12" t="s">
        <v>3</v>
      </c>
      <c r="F21" s="12" t="s">
        <v>7</v>
      </c>
      <c r="G21" s="12" t="s">
        <v>16</v>
      </c>
      <c r="H21" s="12" t="s">
        <v>17</v>
      </c>
      <c r="I21" s="12" t="s">
        <v>19</v>
      </c>
      <c r="J21" s="12" t="s">
        <v>18</v>
      </c>
      <c r="K21" s="12" t="s">
        <v>20</v>
      </c>
    </row>
    <row r="22" spans="1:11" x14ac:dyDescent="0.25">
      <c r="B22" t="s">
        <v>4</v>
      </c>
      <c r="C22">
        <f>C14</f>
        <v>1</v>
      </c>
      <c r="D22">
        <f t="shared" ref="D22:F22" si="1">D14</f>
        <v>0</v>
      </c>
      <c r="E22">
        <f t="shared" si="1"/>
        <v>96.32</v>
      </c>
      <c r="F22" s="4">
        <f t="shared" si="1"/>
        <v>3.8205980066445155E-2</v>
      </c>
      <c r="G22">
        <v>0.05</v>
      </c>
      <c r="H22">
        <v>0.05</v>
      </c>
      <c r="I22" s="5">
        <f>-E22</f>
        <v>-96.32</v>
      </c>
      <c r="J22">
        <v>100</v>
      </c>
    </row>
    <row r="23" spans="1:11" x14ac:dyDescent="0.25">
      <c r="B23" t="s">
        <v>4</v>
      </c>
      <c r="C23">
        <f t="shared" ref="C23:F24" si="2">C15</f>
        <v>2</v>
      </c>
      <c r="D23">
        <f t="shared" si="2"/>
        <v>0</v>
      </c>
      <c r="E23" s="5">
        <f t="shared" si="2"/>
        <v>91.397987050733192</v>
      </c>
      <c r="F23" s="1">
        <f t="shared" si="2"/>
        <v>4.5999999999999999E-2</v>
      </c>
      <c r="G23">
        <v>1.05</v>
      </c>
      <c r="H23" s="20">
        <f>1.05+I26/E23</f>
        <v>1.05236453344</v>
      </c>
      <c r="I23" s="5">
        <f t="shared" ref="I23:I25" si="3">-E23</f>
        <v>-91.397987050733192</v>
      </c>
      <c r="K23">
        <v>100</v>
      </c>
    </row>
    <row r="24" spans="1:11" x14ac:dyDescent="0.25">
      <c r="B24" t="s">
        <v>4</v>
      </c>
      <c r="C24">
        <f t="shared" si="2"/>
        <v>3</v>
      </c>
      <c r="D24">
        <f t="shared" si="2"/>
        <v>0</v>
      </c>
      <c r="E24" s="5">
        <f t="shared" si="2"/>
        <v>89.11</v>
      </c>
      <c r="F24" s="1">
        <f t="shared" si="2"/>
        <v>3.9180970773608381E-2</v>
      </c>
      <c r="I24" s="5">
        <f t="shared" si="3"/>
        <v>-89.11</v>
      </c>
    </row>
    <row r="25" spans="1:11" x14ac:dyDescent="0.25">
      <c r="B25" s="6" t="s">
        <v>6</v>
      </c>
      <c r="C25" s="6">
        <f>C17</f>
        <v>2</v>
      </c>
      <c r="D25" s="9">
        <f>D17</f>
        <v>0.05</v>
      </c>
      <c r="E25" s="8">
        <v>101</v>
      </c>
      <c r="F25" s="10"/>
      <c r="G25" s="6">
        <v>-1</v>
      </c>
      <c r="H25" s="6">
        <v>-1</v>
      </c>
      <c r="I25" s="6">
        <f t="shared" si="3"/>
        <v>-101</v>
      </c>
      <c r="J25" s="6">
        <v>5</v>
      </c>
      <c r="K25" s="6">
        <v>105</v>
      </c>
    </row>
    <row r="26" spans="1:11" ht="21" customHeight="1" x14ac:dyDescent="0.25">
      <c r="B26" t="s">
        <v>22</v>
      </c>
      <c r="I26" s="5">
        <f>SUMPRODUCT($G$22:$G$25,I22:I25)</f>
        <v>0.21611359673013908</v>
      </c>
      <c r="J26" s="5">
        <f t="shared" ref="J26:K26" si="4">SUMPRODUCT($G$22:$G$25,J22:J25)</f>
        <v>0</v>
      </c>
      <c r="K26" s="5">
        <f t="shared" si="4"/>
        <v>0</v>
      </c>
    </row>
    <row r="27" spans="1:11" x14ac:dyDescent="0.25">
      <c r="B27" s="6" t="s">
        <v>21</v>
      </c>
      <c r="C27" s="6"/>
      <c r="D27" s="6"/>
      <c r="E27" s="6"/>
      <c r="F27" s="6"/>
      <c r="G27" s="6"/>
      <c r="H27" s="6"/>
      <c r="I27" s="8">
        <f>SUMPRODUCT($H$22:$H$25,I22:I25)</f>
        <v>0</v>
      </c>
      <c r="J27" s="8">
        <f t="shared" ref="J27:K27" si="5">SUMPRODUCT($H$22:$H$25,J22:J25)</f>
        <v>0</v>
      </c>
      <c r="K27" s="8">
        <f t="shared" si="5"/>
        <v>0.2364533439999974</v>
      </c>
    </row>
    <row r="30" spans="1:11" x14ac:dyDescent="0.25">
      <c r="A30" s="3" t="s">
        <v>25</v>
      </c>
    </row>
    <row r="31" spans="1:11" x14ac:dyDescent="0.25">
      <c r="A31" s="3"/>
    </row>
    <row r="32" spans="1:11" x14ac:dyDescent="0.25">
      <c r="A32" s="3"/>
      <c r="B32" s="22" t="s">
        <v>23</v>
      </c>
      <c r="C32" s="22">
        <f>SUMPRODUCT(H22:H23,E22:E23)</f>
        <v>101</v>
      </c>
    </row>
    <row r="33" spans="1:11" x14ac:dyDescent="0.25">
      <c r="A33" s="3"/>
      <c r="B33" s="22" t="s">
        <v>24</v>
      </c>
      <c r="C33" s="22">
        <f>0.1*C32+0.1*E25</f>
        <v>20.200000000000003</v>
      </c>
    </row>
    <row r="34" spans="1:11" x14ac:dyDescent="0.25">
      <c r="A34" s="3"/>
      <c r="B34" s="22"/>
      <c r="C34" s="22"/>
    </row>
    <row r="35" spans="1:11" ht="45" x14ac:dyDescent="0.25">
      <c r="B35" s="27"/>
      <c r="C35" s="27"/>
      <c r="D35" s="51" t="s">
        <v>28</v>
      </c>
      <c r="E35" s="51" t="s">
        <v>69</v>
      </c>
      <c r="F35" s="51" t="s">
        <v>70</v>
      </c>
    </row>
    <row r="36" spans="1:11" x14ac:dyDescent="0.25">
      <c r="B36" s="21" t="s">
        <v>29</v>
      </c>
      <c r="D36" s="25">
        <f>K27</f>
        <v>0.2364533439999974</v>
      </c>
      <c r="E36" s="23">
        <f>D36/$C$32</f>
        <v>2.3411222178217565E-3</v>
      </c>
      <c r="F36" s="30">
        <f>SQRT(1+E36)-1</f>
        <v>1.1698768030437012E-3</v>
      </c>
    </row>
    <row r="37" spans="1:11" x14ac:dyDescent="0.25">
      <c r="B37" s="26" t="s">
        <v>30</v>
      </c>
      <c r="C37" s="6"/>
      <c r="D37" s="8">
        <f>D36</f>
        <v>0.2364533439999974</v>
      </c>
      <c r="E37" s="24">
        <f>D37/$C$33</f>
        <v>1.1705611089108781E-2</v>
      </c>
      <c r="F37" s="31">
        <f>SQRT(1+E37)-1</f>
        <v>5.8357773956485559E-3</v>
      </c>
    </row>
    <row r="38" spans="1:11" x14ac:dyDescent="0.25">
      <c r="B38" s="22"/>
    </row>
    <row r="39" spans="1:11" x14ac:dyDescent="0.25">
      <c r="A39" s="3" t="s">
        <v>26</v>
      </c>
      <c r="J39" s="2">
        <v>0.05</v>
      </c>
    </row>
    <row r="41" spans="1:11" ht="30" x14ac:dyDescent="0.25">
      <c r="B41" s="11" t="s">
        <v>0</v>
      </c>
      <c r="C41" s="12" t="s">
        <v>1</v>
      </c>
      <c r="D41" s="12" t="s">
        <v>2</v>
      </c>
      <c r="E41" s="12" t="s">
        <v>3</v>
      </c>
      <c r="F41" s="12" t="s">
        <v>7</v>
      </c>
      <c r="G41" s="12" t="s">
        <v>16</v>
      </c>
      <c r="H41" s="12" t="s">
        <v>17</v>
      </c>
      <c r="I41" s="12" t="s">
        <v>19</v>
      </c>
      <c r="J41" s="12" t="s">
        <v>27</v>
      </c>
      <c r="K41" s="18"/>
    </row>
    <row r="42" spans="1:11" x14ac:dyDescent="0.25">
      <c r="B42" t="s">
        <v>4</v>
      </c>
      <c r="C42">
        <f t="shared" ref="C42:H43" si="6">C22</f>
        <v>1</v>
      </c>
      <c r="D42">
        <f t="shared" si="6"/>
        <v>0</v>
      </c>
      <c r="E42">
        <f t="shared" si="6"/>
        <v>96.32</v>
      </c>
      <c r="F42" s="4">
        <f t="shared" si="6"/>
        <v>3.8205980066445155E-2</v>
      </c>
      <c r="G42">
        <f t="shared" si="6"/>
        <v>0.05</v>
      </c>
      <c r="H42">
        <f t="shared" si="6"/>
        <v>0.05</v>
      </c>
      <c r="I42" s="5">
        <f>-E42</f>
        <v>-96.32</v>
      </c>
      <c r="J42">
        <v>100</v>
      </c>
      <c r="K42" s="22"/>
    </row>
    <row r="43" spans="1:11" x14ac:dyDescent="0.25">
      <c r="B43" t="s">
        <v>4</v>
      </c>
      <c r="C43">
        <f t="shared" si="6"/>
        <v>2</v>
      </c>
      <c r="D43">
        <f t="shared" si="6"/>
        <v>0</v>
      </c>
      <c r="E43" s="5">
        <f t="shared" si="6"/>
        <v>91.397987050733192</v>
      </c>
      <c r="F43" s="1">
        <f t="shared" si="6"/>
        <v>4.5999999999999999E-2</v>
      </c>
      <c r="G43">
        <f t="shared" si="6"/>
        <v>1.05</v>
      </c>
      <c r="H43">
        <f t="shared" si="6"/>
        <v>1.05236453344</v>
      </c>
      <c r="I43" s="5">
        <f t="shared" ref="I43:I45" si="7">-E43</f>
        <v>-91.397987050733192</v>
      </c>
      <c r="J43" s="5">
        <f>K23/(1+J39)</f>
        <v>95.238095238095241</v>
      </c>
      <c r="K43" s="22"/>
    </row>
    <row r="44" spans="1:11" x14ac:dyDescent="0.25">
      <c r="B44" t="s">
        <v>4</v>
      </c>
      <c r="C44">
        <f>C24</f>
        <v>3</v>
      </c>
      <c r="D44">
        <f>D24</f>
        <v>0</v>
      </c>
      <c r="E44" s="5">
        <f>E24</f>
        <v>89.11</v>
      </c>
      <c r="F44" s="1">
        <f>F24</f>
        <v>3.9180970773608381E-2</v>
      </c>
      <c r="I44" s="5">
        <f t="shared" si="7"/>
        <v>-89.11</v>
      </c>
      <c r="K44" s="22"/>
    </row>
    <row r="45" spans="1:11" x14ac:dyDescent="0.25">
      <c r="B45" s="6" t="s">
        <v>6</v>
      </c>
      <c r="C45" s="6">
        <f>C25</f>
        <v>2</v>
      </c>
      <c r="D45" s="9">
        <f>D25</f>
        <v>0.05</v>
      </c>
      <c r="E45" s="8">
        <f>E25</f>
        <v>101</v>
      </c>
      <c r="F45" s="10"/>
      <c r="G45" s="6">
        <f t="shared" ref="G45" si="8">G25</f>
        <v>-1</v>
      </c>
      <c r="H45" s="6">
        <f>H25</f>
        <v>-1</v>
      </c>
      <c r="I45" s="6">
        <f t="shared" si="7"/>
        <v>-101</v>
      </c>
      <c r="J45" s="8">
        <f>5+K25/(1+J39)</f>
        <v>105</v>
      </c>
      <c r="K45" s="22"/>
    </row>
    <row r="46" spans="1:11" x14ac:dyDescent="0.25">
      <c r="B46" t="s">
        <v>22</v>
      </c>
      <c r="I46" s="5">
        <f>SUMPRODUCT($G$22:$G$25,I42:I45)</f>
        <v>0.21611359673013908</v>
      </c>
      <c r="J46" s="5">
        <f t="shared" ref="J46" si="9">SUMPRODUCT($G$22:$G$25,J42:J45)</f>
        <v>0</v>
      </c>
      <c r="K46" s="25"/>
    </row>
    <row r="47" spans="1:11" x14ac:dyDescent="0.25">
      <c r="B47" s="6" t="s">
        <v>21</v>
      </c>
      <c r="C47" s="6"/>
      <c r="D47" s="6"/>
      <c r="E47" s="6"/>
      <c r="F47" s="6"/>
      <c r="G47" s="6"/>
      <c r="H47" s="6"/>
      <c r="I47" s="8">
        <f>SUMPRODUCT($H$22:$H$25,I42:I45)</f>
        <v>0</v>
      </c>
      <c r="J47" s="8">
        <f t="shared" ref="J47" si="10">SUMPRODUCT($H$22:$H$25,J42:J45)</f>
        <v>0.22519366095238524</v>
      </c>
      <c r="K47" s="25"/>
    </row>
    <row r="50" spans="1:11" ht="30" x14ac:dyDescent="0.25">
      <c r="B50" s="27"/>
      <c r="C50" s="27"/>
      <c r="D50" s="29" t="s">
        <v>28</v>
      </c>
      <c r="E50" s="29" t="s">
        <v>72</v>
      </c>
      <c r="F50" s="29" t="s">
        <v>70</v>
      </c>
    </row>
    <row r="51" spans="1:11" x14ac:dyDescent="0.25">
      <c r="B51" s="21" t="s">
        <v>29</v>
      </c>
      <c r="D51" s="25">
        <f>J47</f>
        <v>0.22519366095238524</v>
      </c>
      <c r="E51" s="23">
        <f>D51/$C$32</f>
        <v>2.2296402074493587E-3</v>
      </c>
      <c r="F51" s="30">
        <f>E51</f>
        <v>2.2296402074493587E-3</v>
      </c>
    </row>
    <row r="52" spans="1:11" x14ac:dyDescent="0.25">
      <c r="B52" s="26" t="s">
        <v>30</v>
      </c>
      <c r="C52" s="6"/>
      <c r="D52" s="8">
        <f>D51</f>
        <v>0.22519366095238524</v>
      </c>
      <c r="E52" s="24">
        <f>D52/$C$33</f>
        <v>1.1148201037246792E-2</v>
      </c>
      <c r="F52" s="31">
        <f>E52</f>
        <v>1.1148201037246792E-2</v>
      </c>
    </row>
    <row r="53" spans="1:11" x14ac:dyDescent="0.25">
      <c r="J53" s="2">
        <v>0.05</v>
      </c>
    </row>
    <row r="54" spans="1:11" x14ac:dyDescent="0.25">
      <c r="A54" s="3" t="s">
        <v>31</v>
      </c>
      <c r="F54" t="s">
        <v>33</v>
      </c>
      <c r="J54" s="5">
        <f>1/(1+J53)^(11/12)</f>
        <v>0.95626107027014118</v>
      </c>
      <c r="K54" s="5">
        <f>1/(1+J53)^(23/12)</f>
        <v>0.91072482882870587</v>
      </c>
    </row>
    <row r="55" spans="1:11" x14ac:dyDescent="0.25">
      <c r="A55" s="3"/>
    </row>
    <row r="56" spans="1:11" ht="30" x14ac:dyDescent="0.25">
      <c r="A56" s="3"/>
      <c r="B56" s="11" t="s">
        <v>0</v>
      </c>
      <c r="C56" s="12" t="s">
        <v>1</v>
      </c>
      <c r="D56" s="12" t="s">
        <v>2</v>
      </c>
      <c r="E56" s="12" t="s">
        <v>3</v>
      </c>
      <c r="F56" s="12" t="s">
        <v>7</v>
      </c>
      <c r="G56" s="12" t="s">
        <v>16</v>
      </c>
      <c r="H56" s="12" t="s">
        <v>17</v>
      </c>
      <c r="I56" s="12" t="s">
        <v>19</v>
      </c>
      <c r="J56" s="12" t="s">
        <v>32</v>
      </c>
      <c r="K56" s="18"/>
    </row>
    <row r="57" spans="1:11" x14ac:dyDescent="0.25">
      <c r="A57" s="3"/>
      <c r="B57" t="s">
        <v>4</v>
      </c>
      <c r="C57">
        <f>C42</f>
        <v>1</v>
      </c>
      <c r="D57">
        <f t="shared" ref="D57:H57" si="11">D42</f>
        <v>0</v>
      </c>
      <c r="E57">
        <f t="shared" si="11"/>
        <v>96.32</v>
      </c>
      <c r="F57" s="4">
        <f t="shared" si="11"/>
        <v>3.8205980066445155E-2</v>
      </c>
      <c r="G57">
        <f t="shared" si="11"/>
        <v>0.05</v>
      </c>
      <c r="H57">
        <f t="shared" si="11"/>
        <v>0.05</v>
      </c>
      <c r="I57" s="5">
        <f>-E57</f>
        <v>-96.32</v>
      </c>
      <c r="J57" s="5">
        <f>SUMPRODUCT($J$54:$K$54,J22:K22)</f>
        <v>95.626107027014115</v>
      </c>
      <c r="K57" s="22"/>
    </row>
    <row r="58" spans="1:11" x14ac:dyDescent="0.25">
      <c r="A58" s="3"/>
      <c r="B58" t="s">
        <v>4</v>
      </c>
      <c r="C58">
        <f t="shared" ref="C58:H60" si="12">C43</f>
        <v>2</v>
      </c>
      <c r="D58">
        <f t="shared" si="12"/>
        <v>0</v>
      </c>
      <c r="E58" s="5">
        <f t="shared" si="12"/>
        <v>91.397987050733192</v>
      </c>
      <c r="F58" s="1">
        <f t="shared" si="12"/>
        <v>4.5999999999999999E-2</v>
      </c>
      <c r="G58">
        <f t="shared" si="12"/>
        <v>1.05</v>
      </c>
      <c r="H58">
        <f t="shared" si="12"/>
        <v>1.05236453344</v>
      </c>
      <c r="I58" s="5">
        <f t="shared" ref="I58:I60" si="13">-E58</f>
        <v>-91.397987050733192</v>
      </c>
      <c r="J58" s="5">
        <f>SUMPRODUCT($J$54:$K$54,J23:K23)</f>
        <v>91.072482882870588</v>
      </c>
      <c r="K58" s="22"/>
    </row>
    <row r="59" spans="1:11" x14ac:dyDescent="0.25">
      <c r="A59" s="3"/>
      <c r="B59" t="s">
        <v>4</v>
      </c>
      <c r="C59">
        <f t="shared" si="12"/>
        <v>3</v>
      </c>
      <c r="D59">
        <f t="shared" si="12"/>
        <v>0</v>
      </c>
      <c r="E59" s="5">
        <f t="shared" si="12"/>
        <v>89.11</v>
      </c>
      <c r="F59" s="1">
        <f t="shared" si="12"/>
        <v>3.9180970773608381E-2</v>
      </c>
      <c r="I59" s="5">
        <f t="shared" si="13"/>
        <v>-89.11</v>
      </c>
      <c r="J59" s="5"/>
      <c r="K59" s="22"/>
    </row>
    <row r="60" spans="1:11" x14ac:dyDescent="0.25">
      <c r="A60" s="3"/>
      <c r="B60" s="6" t="s">
        <v>6</v>
      </c>
      <c r="C60" s="6">
        <f t="shared" si="12"/>
        <v>2</v>
      </c>
      <c r="D60" s="9">
        <f t="shared" si="12"/>
        <v>0.05</v>
      </c>
      <c r="E60" s="8">
        <f t="shared" si="12"/>
        <v>101</v>
      </c>
      <c r="F60" s="10"/>
      <c r="G60" s="6">
        <f t="shared" si="12"/>
        <v>-1</v>
      </c>
      <c r="H60" s="6">
        <f t="shared" si="12"/>
        <v>-1</v>
      </c>
      <c r="I60" s="6">
        <f t="shared" si="13"/>
        <v>-101</v>
      </c>
      <c r="J60" s="8">
        <f>SUMPRODUCT($J$54:$K$54,J25:K25)</f>
        <v>100.40741237836482</v>
      </c>
      <c r="K60" s="22"/>
    </row>
    <row r="61" spans="1:11" x14ac:dyDescent="0.25">
      <c r="A61" s="3"/>
      <c r="B61" t="s">
        <v>22</v>
      </c>
      <c r="I61" s="5">
        <f>SUMPRODUCT($G$22:$G$25,I57:I60)</f>
        <v>0.21611359673013908</v>
      </c>
      <c r="J61" s="5">
        <f>SUMPRODUCT($G$22:$G$25,J57:J60)</f>
        <v>0</v>
      </c>
      <c r="K61" s="25"/>
    </row>
    <row r="62" spans="1:11" x14ac:dyDescent="0.25">
      <c r="A62" s="3"/>
      <c r="B62" s="6" t="s">
        <v>21</v>
      </c>
      <c r="C62" s="6"/>
      <c r="D62" s="6"/>
      <c r="E62" s="6"/>
      <c r="F62" s="6"/>
      <c r="G62" s="6"/>
      <c r="H62" s="6"/>
      <c r="I62" s="8">
        <f>SUMPRODUCT($H$22:$H$25,I57:I60)</f>
        <v>0</v>
      </c>
      <c r="J62" s="8">
        <f>SUMPRODUCT($H$22:$H$25,J57:J60)</f>
        <v>0.21534393124038331</v>
      </c>
      <c r="K62" s="25"/>
    </row>
    <row r="63" spans="1:11" x14ac:dyDescent="0.25">
      <c r="A63" s="3"/>
    </row>
    <row r="64" spans="1:11" x14ac:dyDescent="0.25">
      <c r="A64" s="3"/>
    </row>
    <row r="65" spans="1:15" ht="45" x14ac:dyDescent="0.25">
      <c r="A65" s="3"/>
      <c r="B65" s="27"/>
      <c r="C65" s="27"/>
      <c r="D65" s="51" t="s">
        <v>28</v>
      </c>
      <c r="E65" s="51" t="s">
        <v>71</v>
      </c>
      <c r="F65" s="51" t="s">
        <v>70</v>
      </c>
    </row>
    <row r="66" spans="1:15" x14ac:dyDescent="0.25">
      <c r="A66" s="3"/>
      <c r="B66" s="21" t="s">
        <v>29</v>
      </c>
      <c r="D66" s="25">
        <f>J62</f>
        <v>0.21534393124038331</v>
      </c>
      <c r="E66" s="23">
        <f>D66/$C$32</f>
        <v>2.132118131092904E-3</v>
      </c>
      <c r="F66" s="32">
        <f>(1+E66)^12-1</f>
        <v>2.5887591407430133E-2</v>
      </c>
    </row>
    <row r="67" spans="1:15" x14ac:dyDescent="0.25">
      <c r="A67" s="3"/>
      <c r="B67" s="26" t="s">
        <v>30</v>
      </c>
      <c r="C67" s="6"/>
      <c r="D67" s="8">
        <f>D66</f>
        <v>0.21534393124038331</v>
      </c>
      <c r="E67" s="24">
        <f>D67/$C$33</f>
        <v>1.0660590655464519E-2</v>
      </c>
      <c r="F67" s="31">
        <f>(1+E67)^12-1</f>
        <v>0.13570091491875158</v>
      </c>
    </row>
    <row r="68" spans="1:15" x14ac:dyDescent="0.25">
      <c r="A68" s="3"/>
    </row>
    <row r="69" spans="1:15" x14ac:dyDescent="0.25">
      <c r="A69" s="3" t="s">
        <v>36</v>
      </c>
    </row>
    <row r="71" spans="1:15" s="13" customFormat="1" ht="19.5" customHeight="1" thickBot="1" x14ac:dyDescent="0.3">
      <c r="B71" s="17" t="s">
        <v>10</v>
      </c>
      <c r="C71" s="16">
        <f>(1+F7)^(C7/C6)/((1+F6)^(C6/(C7-C6)))-1</f>
        <v>5.385253120000022E-2</v>
      </c>
      <c r="G71" s="14"/>
    </row>
    <row r="72" spans="1:15" ht="15.75" thickTop="1" x14ac:dyDescent="0.25">
      <c r="D72" s="1"/>
    </row>
    <row r="73" spans="1:15" x14ac:dyDescent="0.25">
      <c r="A73" s="3" t="s">
        <v>34</v>
      </c>
      <c r="G73" s="5"/>
      <c r="J73" s="2">
        <v>0.04</v>
      </c>
      <c r="O73" s="5"/>
    </row>
    <row r="74" spans="1:15" x14ac:dyDescent="0.25">
      <c r="O74" s="5"/>
    </row>
    <row r="75" spans="1:15" ht="30" x14ac:dyDescent="0.25">
      <c r="B75" s="11" t="s">
        <v>0</v>
      </c>
      <c r="C75" s="12" t="s">
        <v>1</v>
      </c>
      <c r="D75" s="12" t="s">
        <v>2</v>
      </c>
      <c r="E75" s="12" t="s">
        <v>3</v>
      </c>
      <c r="F75" s="12" t="s">
        <v>7</v>
      </c>
      <c r="G75" s="12" t="s">
        <v>15</v>
      </c>
      <c r="H75" s="12"/>
      <c r="I75" s="12" t="s">
        <v>19</v>
      </c>
      <c r="J75" s="12" t="s">
        <v>27</v>
      </c>
      <c r="O75" s="5"/>
    </row>
    <row r="76" spans="1:15" x14ac:dyDescent="0.25">
      <c r="B76" t="s">
        <v>4</v>
      </c>
      <c r="C76">
        <f>C57</f>
        <v>1</v>
      </c>
      <c r="D76">
        <f t="shared" ref="D76:F76" si="14">D57</f>
        <v>0</v>
      </c>
      <c r="E76">
        <f t="shared" si="14"/>
        <v>96.32</v>
      </c>
      <c r="F76" s="4">
        <f t="shared" si="14"/>
        <v>3.8205980066445155E-2</v>
      </c>
      <c r="G76" s="5">
        <f>-G77*E77/E76</f>
        <v>-0.94889936722106727</v>
      </c>
      <c r="I76" s="5">
        <f>-E76</f>
        <v>-96.32</v>
      </c>
      <c r="J76">
        <v>100</v>
      </c>
    </row>
    <row r="77" spans="1:15" x14ac:dyDescent="0.25">
      <c r="B77" t="s">
        <v>4</v>
      </c>
      <c r="C77">
        <f t="shared" ref="C77:G78" si="15">C58</f>
        <v>2</v>
      </c>
      <c r="D77">
        <f t="shared" si="15"/>
        <v>0</v>
      </c>
      <c r="E77" s="5">
        <f t="shared" si="15"/>
        <v>91.397987050733192</v>
      </c>
      <c r="F77" s="1">
        <f t="shared" si="15"/>
        <v>4.5999999999999999E-2</v>
      </c>
      <c r="G77">
        <v>1</v>
      </c>
      <c r="I77" s="5">
        <f t="shared" ref="I77:I78" si="16">-E77</f>
        <v>-91.397987050733192</v>
      </c>
      <c r="J77" s="5">
        <f>K23/(1+J73)</f>
        <v>96.153846153846146</v>
      </c>
    </row>
    <row r="78" spans="1:15" x14ac:dyDescent="0.25">
      <c r="B78" t="s">
        <v>4</v>
      </c>
      <c r="C78">
        <f t="shared" si="15"/>
        <v>3</v>
      </c>
      <c r="D78">
        <f t="shared" si="15"/>
        <v>0</v>
      </c>
      <c r="E78" s="5">
        <f t="shared" si="15"/>
        <v>89.11</v>
      </c>
      <c r="F78" s="1">
        <f t="shared" si="15"/>
        <v>3.9180970773608381E-2</v>
      </c>
      <c r="G78">
        <f t="shared" si="15"/>
        <v>0</v>
      </c>
      <c r="I78" s="5">
        <f t="shared" si="16"/>
        <v>-89.11</v>
      </c>
      <c r="L78" s="5"/>
      <c r="M78" s="5"/>
    </row>
    <row r="79" spans="1:15" x14ac:dyDescent="0.25">
      <c r="B79" s="6"/>
      <c r="C79" s="6"/>
      <c r="D79" s="9"/>
      <c r="E79" s="8"/>
      <c r="F79" s="10"/>
      <c r="G79" s="6"/>
      <c r="H79" s="6"/>
      <c r="I79" s="6"/>
      <c r="J79" s="8"/>
    </row>
    <row r="80" spans="1:15" x14ac:dyDescent="0.25">
      <c r="B80" s="27" t="s">
        <v>35</v>
      </c>
      <c r="C80" s="27"/>
      <c r="D80" s="27"/>
      <c r="E80" s="27"/>
      <c r="F80" s="27"/>
      <c r="G80" s="27"/>
      <c r="H80" s="27"/>
      <c r="I80" s="33">
        <f>SUMPRODUCT($G$76:$G$79,I76:I79)</f>
        <v>0</v>
      </c>
      <c r="J80" s="33">
        <f>SUMPRODUCT($G$76:$G$79,J76:J79)</f>
        <v>1.2639094317394211</v>
      </c>
    </row>
    <row r="82" spans="1:3" x14ac:dyDescent="0.25">
      <c r="A82" s="3" t="s">
        <v>37</v>
      </c>
    </row>
    <row r="84" spans="1:3" x14ac:dyDescent="0.25">
      <c r="B84" t="s">
        <v>38</v>
      </c>
      <c r="C84" s="1">
        <v>3.6999999999999998E-2</v>
      </c>
    </row>
    <row r="85" spans="1:3" x14ac:dyDescent="0.25">
      <c r="B85" t="s">
        <v>39</v>
      </c>
      <c r="C85">
        <f>1/365</f>
        <v>2.7397260273972603E-3</v>
      </c>
    </row>
    <row r="100" spans="1:12" x14ac:dyDescent="0.25">
      <c r="A100" s="3" t="s">
        <v>41</v>
      </c>
    </row>
    <row r="101" spans="1:12" x14ac:dyDescent="0.25">
      <c r="H101" t="s">
        <v>50</v>
      </c>
      <c r="I101" s="2">
        <v>0.01</v>
      </c>
    </row>
    <row r="103" spans="1:12" ht="45" x14ac:dyDescent="0.25">
      <c r="B103" s="11" t="s">
        <v>0</v>
      </c>
      <c r="C103" s="12" t="s">
        <v>1</v>
      </c>
      <c r="D103" s="12" t="s">
        <v>2</v>
      </c>
      <c r="E103" s="12" t="s">
        <v>3</v>
      </c>
      <c r="F103" s="12" t="s">
        <v>7</v>
      </c>
      <c r="G103" s="12" t="s">
        <v>11</v>
      </c>
      <c r="H103" s="12" t="s">
        <v>42</v>
      </c>
      <c r="I103" s="12" t="s">
        <v>43</v>
      </c>
      <c r="J103" s="12" t="s">
        <v>44</v>
      </c>
      <c r="K103" s="12" t="s">
        <v>45</v>
      </c>
      <c r="L103" s="12" t="s">
        <v>51</v>
      </c>
    </row>
    <row r="104" spans="1:12" x14ac:dyDescent="0.25">
      <c r="A104" s="18"/>
      <c r="B104" t="s">
        <v>4</v>
      </c>
      <c r="C104">
        <f>C14</f>
        <v>1</v>
      </c>
      <c r="D104">
        <f t="shared" ref="D104:F104" si="17">D14</f>
        <v>0</v>
      </c>
      <c r="E104">
        <f t="shared" si="17"/>
        <v>96.32</v>
      </c>
      <c r="F104" s="4">
        <f t="shared" si="17"/>
        <v>3.8205980066445155E-2</v>
      </c>
      <c r="G104" s="35">
        <f>C104</f>
        <v>1</v>
      </c>
      <c r="H104" s="34">
        <f>G104/(1+F104)</f>
        <v>0.96320000000000006</v>
      </c>
      <c r="I104" s="5">
        <f>100/(1+F104+I101)</f>
        <v>95.401096637190577</v>
      </c>
      <c r="J104" s="4">
        <f>I104/E104-1</f>
        <v>-9.5401096637189875E-3</v>
      </c>
      <c r="K104" s="4">
        <f>-H104*$I$101</f>
        <v>-9.6319999999999999E-3</v>
      </c>
      <c r="L104" s="4">
        <f>J104-K104</f>
        <v>9.1890336281012439E-5</v>
      </c>
    </row>
    <row r="105" spans="1:12" x14ac:dyDescent="0.25">
      <c r="A105" s="4"/>
      <c r="B105" t="s">
        <v>4</v>
      </c>
      <c r="C105">
        <f t="shared" ref="C105:F107" si="18">C15</f>
        <v>2</v>
      </c>
      <c r="D105">
        <f t="shared" si="18"/>
        <v>0</v>
      </c>
      <c r="E105" s="5">
        <f t="shared" si="18"/>
        <v>91.397987050733192</v>
      </c>
      <c r="F105" s="1">
        <f t="shared" si="18"/>
        <v>4.5999999999999999E-2</v>
      </c>
      <c r="G105" s="35">
        <f>C105</f>
        <v>2</v>
      </c>
      <c r="H105" s="34">
        <f t="shared" ref="H105:H107" si="19">G105/(1+F105)</f>
        <v>1.9120458891013383</v>
      </c>
      <c r="I105" s="5">
        <f>100/(1+F105+I101)^2</f>
        <v>89.675160697887961</v>
      </c>
      <c r="J105" s="4">
        <f t="shared" ref="J105:J107" si="20">I105/E105-1</f>
        <v>-1.8849718778696123E-2</v>
      </c>
      <c r="K105" s="19">
        <f t="shared" ref="K105:K107" si="21">-H105*$I$101</f>
        <v>-1.9120458891013385E-2</v>
      </c>
      <c r="L105" s="4">
        <f t="shared" ref="L105:L107" si="22">J105-K105</f>
        <v>2.7074011231726161E-4</v>
      </c>
    </row>
    <row r="106" spans="1:12" x14ac:dyDescent="0.25">
      <c r="A106" s="1"/>
      <c r="B106" t="s">
        <v>4</v>
      </c>
      <c r="C106">
        <f t="shared" si="18"/>
        <v>3</v>
      </c>
      <c r="D106">
        <f t="shared" si="18"/>
        <v>0</v>
      </c>
      <c r="E106" s="5">
        <f t="shared" si="18"/>
        <v>89.11</v>
      </c>
      <c r="F106" s="1">
        <f t="shared" si="18"/>
        <v>3.9180970773608381E-2</v>
      </c>
      <c r="G106" s="35">
        <f>C106</f>
        <v>3</v>
      </c>
      <c r="H106" s="34">
        <f t="shared" si="19"/>
        <v>2.8868888907450629</v>
      </c>
      <c r="I106" s="5">
        <f>100/(1+F106+I101)^3</f>
        <v>86.586220832834471</v>
      </c>
      <c r="J106" s="4">
        <f t="shared" si="20"/>
        <v>-2.8322064495180488E-2</v>
      </c>
      <c r="K106" s="19">
        <f t="shared" si="21"/>
        <v>-2.8868888907450631E-2</v>
      </c>
      <c r="L106" s="4">
        <f t="shared" si="22"/>
        <v>5.4682441227014295E-4</v>
      </c>
    </row>
    <row r="107" spans="1:12" x14ac:dyDescent="0.25">
      <c r="A107" s="1"/>
      <c r="B107" s="6" t="s">
        <v>6</v>
      </c>
      <c r="C107" s="6">
        <f t="shared" si="18"/>
        <v>2</v>
      </c>
      <c r="D107" s="9">
        <f t="shared" si="18"/>
        <v>0.05</v>
      </c>
      <c r="E107" s="8">
        <f t="shared" si="18"/>
        <v>100.78388640326986</v>
      </c>
      <c r="F107" s="10">
        <v>4.5809238540911824E-2</v>
      </c>
      <c r="G107" s="37">
        <f>SUMPRODUCT(F110:G110,F111:G111)</f>
        <v>1.9525619935539924</v>
      </c>
      <c r="H107" s="37">
        <f t="shared" si="19"/>
        <v>1.8670345619418702</v>
      </c>
      <c r="I107" s="8">
        <f>5/(1+F107+I101)+105/(1+F107+I101)^2</f>
        <v>98.928650656822768</v>
      </c>
      <c r="J107" s="10">
        <f t="shared" si="20"/>
        <v>-1.8408059191364012E-2</v>
      </c>
      <c r="K107" s="10">
        <f t="shared" si="21"/>
        <v>-1.8670345619418702E-2</v>
      </c>
      <c r="L107" s="10">
        <f t="shared" si="22"/>
        <v>2.6228642805468938E-4</v>
      </c>
    </row>
    <row r="109" spans="1:12" x14ac:dyDescent="0.25">
      <c r="B109" t="s">
        <v>46</v>
      </c>
      <c r="F109" s="36">
        <f>5/(1+F107)+105/(1+F107)^2-E107</f>
        <v>-5.2081361445743823E-9</v>
      </c>
    </row>
    <row r="110" spans="1:12" x14ac:dyDescent="0.25">
      <c r="B110" t="s">
        <v>47</v>
      </c>
      <c r="E110" t="s">
        <v>48</v>
      </c>
      <c r="F110">
        <v>1</v>
      </c>
      <c r="G110">
        <v>2</v>
      </c>
    </row>
    <row r="111" spans="1:12" x14ac:dyDescent="0.25">
      <c r="E111" t="s">
        <v>49</v>
      </c>
      <c r="F111" s="1">
        <f>5/(1+F107)/E107</f>
        <v>4.743800634265511E-2</v>
      </c>
      <c r="G111" s="1">
        <f>105/(1+F107)^2/E107</f>
        <v>0.95256199360566862</v>
      </c>
    </row>
    <row r="113" spans="1:24" x14ac:dyDescent="0.25">
      <c r="A113" s="3" t="s">
        <v>52</v>
      </c>
    </row>
    <row r="115" spans="1:24" x14ac:dyDescent="0.25">
      <c r="B115" t="s">
        <v>40</v>
      </c>
      <c r="C115" t="s">
        <v>1</v>
      </c>
      <c r="D115" t="s">
        <v>7</v>
      </c>
    </row>
    <row r="116" spans="1:24" x14ac:dyDescent="0.25">
      <c r="C116">
        <v>1</v>
      </c>
      <c r="D116" s="1">
        <v>3.8205980066445155E-2</v>
      </c>
    </row>
    <row r="117" spans="1:24" x14ac:dyDescent="0.25">
      <c r="C117">
        <v>2</v>
      </c>
      <c r="D117" s="1">
        <f>AVERAGE(D116,D118)</f>
        <v>3.8693475420026768E-2</v>
      </c>
    </row>
    <row r="118" spans="1:24" x14ac:dyDescent="0.25">
      <c r="C118">
        <v>3</v>
      </c>
      <c r="D118" s="1">
        <v>3.9180970773608381E-2</v>
      </c>
    </row>
    <row r="120" spans="1:24" ht="60" x14ac:dyDescent="0.25">
      <c r="B120" s="11" t="s">
        <v>0</v>
      </c>
      <c r="C120" s="12" t="s">
        <v>1</v>
      </c>
      <c r="D120" s="12" t="s">
        <v>2</v>
      </c>
      <c r="E120" s="12" t="s">
        <v>3</v>
      </c>
      <c r="F120" s="12" t="s">
        <v>7</v>
      </c>
      <c r="G120" s="12" t="s">
        <v>11</v>
      </c>
      <c r="H120" s="12" t="s">
        <v>42</v>
      </c>
      <c r="I120" s="46" t="s">
        <v>15</v>
      </c>
      <c r="J120" s="40" t="s">
        <v>55</v>
      </c>
      <c r="K120" s="40" t="s">
        <v>56</v>
      </c>
      <c r="L120" s="40" t="s">
        <v>57</v>
      </c>
      <c r="M120" s="40" t="s">
        <v>58</v>
      </c>
      <c r="N120" s="40" t="s">
        <v>59</v>
      </c>
      <c r="O120" s="40" t="s">
        <v>60</v>
      </c>
      <c r="P120" s="40" t="s">
        <v>61</v>
      </c>
      <c r="Q120" s="40" t="s">
        <v>62</v>
      </c>
      <c r="R120" s="40" t="s">
        <v>63</v>
      </c>
      <c r="S120" s="40" t="s">
        <v>65</v>
      </c>
      <c r="T120" s="40" t="s">
        <v>66</v>
      </c>
      <c r="U120" s="40" t="s">
        <v>67</v>
      </c>
      <c r="V120" s="40" t="s">
        <v>77</v>
      </c>
      <c r="W120" s="40" t="s">
        <v>78</v>
      </c>
      <c r="X120" s="40" t="s">
        <v>79</v>
      </c>
    </row>
    <row r="121" spans="1:24" x14ac:dyDescent="0.25">
      <c r="B121" t="s">
        <v>4</v>
      </c>
      <c r="C121">
        <f>C14</f>
        <v>1</v>
      </c>
      <c r="D121">
        <f t="shared" ref="D121:F121" si="23">D14</f>
        <v>0</v>
      </c>
      <c r="E121">
        <f t="shared" si="23"/>
        <v>96.32</v>
      </c>
      <c r="F121" s="4">
        <f t="shared" si="23"/>
        <v>3.8205980066445155E-2</v>
      </c>
      <c r="G121" s="35">
        <f>C121</f>
        <v>1</v>
      </c>
      <c r="H121" s="34">
        <f>G121/(1+F121)</f>
        <v>0.96320000000000006</v>
      </c>
      <c r="I121" s="47">
        <f>-0.5*I122*E122*H122/(E121*H121)</f>
        <v>-0.94182886953171863</v>
      </c>
      <c r="J121" s="41">
        <v>4.82E-2</v>
      </c>
      <c r="K121" s="42">
        <f>100/(1+J121)</f>
        <v>95.401640908223627</v>
      </c>
      <c r="L121" s="43">
        <f>$E121*(1-$H121*(J121-$F121))</f>
        <v>95.392800563199998</v>
      </c>
      <c r="M121" s="41">
        <v>2.8199999999999999E-2</v>
      </c>
      <c r="N121" s="42">
        <f>100/(1+M121)</f>
        <v>97.257342929391172</v>
      </c>
      <c r="O121" s="43">
        <f>$E121*(1-$H121*(M121-$F121))</f>
        <v>97.248309043199981</v>
      </c>
      <c r="P121" s="41">
        <v>0.02</v>
      </c>
      <c r="Q121" s="42">
        <f>100/(1+P121)</f>
        <v>98.039215686274503</v>
      </c>
      <c r="R121" s="43">
        <f>$E121*(1-$H121*(P121-$F121))</f>
        <v>98.009067519999988</v>
      </c>
      <c r="S121" s="41">
        <v>0.04</v>
      </c>
      <c r="T121" s="42">
        <f>100/(1+S121)</f>
        <v>96.153846153846146</v>
      </c>
      <c r="U121" s="43">
        <f>$E121*(1-$H121*(S121-$F121))</f>
        <v>96.15355903999999</v>
      </c>
      <c r="V121" s="41">
        <f>F121</f>
        <v>3.8205980066445155E-2</v>
      </c>
      <c r="W121" s="42">
        <f>100/(1+V121)</f>
        <v>96.320000000000007</v>
      </c>
      <c r="X121" s="43">
        <f>$E121*(1-$H121*(V121-$F121))</f>
        <v>96.32</v>
      </c>
    </row>
    <row r="122" spans="1:24" x14ac:dyDescent="0.25">
      <c r="B122" t="s">
        <v>4</v>
      </c>
      <c r="C122">
        <f t="shared" ref="C122:F123" si="24">C15</f>
        <v>2</v>
      </c>
      <c r="D122">
        <f t="shared" si="24"/>
        <v>0</v>
      </c>
      <c r="E122" s="5">
        <f t="shared" si="24"/>
        <v>91.397987050733192</v>
      </c>
      <c r="F122" s="1">
        <f t="shared" si="24"/>
        <v>4.5999999999999999E-2</v>
      </c>
      <c r="G122" s="35">
        <f>C122</f>
        <v>2</v>
      </c>
      <c r="H122" s="34">
        <f t="shared" ref="H122:H123" si="25">G122/(1+F122)</f>
        <v>1.9120458891013383</v>
      </c>
      <c r="I122" s="47">
        <v>1</v>
      </c>
      <c r="J122" s="41">
        <v>4.87E-2</v>
      </c>
      <c r="K122" s="42">
        <f>100/(1+J122)^2</f>
        <v>90.92796342120792</v>
      </c>
      <c r="L122" s="43">
        <f t="shared" ref="L122:L123" si="26">$E122*(1-$H122*(J122-$F122))</f>
        <v>90.926142758119468</v>
      </c>
      <c r="M122" s="41">
        <v>2.87E-2</v>
      </c>
      <c r="N122" s="42">
        <f>100/(1+M122)^2</f>
        <v>94.497978966998943</v>
      </c>
      <c r="O122" s="43">
        <f t="shared" ref="O122:O123" si="27">$E122*(1-$H122*(M122-$F122))</f>
        <v>94.4212856663693</v>
      </c>
      <c r="P122" s="41">
        <v>0.03</v>
      </c>
      <c r="Q122" s="42">
        <f>100/(1+P122)^2</f>
        <v>94.259590913375433</v>
      </c>
      <c r="R122" s="43">
        <f t="shared" ref="R122:R123" si="28">$E122*(1-$H122*(P122-$F122))</f>
        <v>94.194101377333055</v>
      </c>
      <c r="S122" s="41">
        <v>0.03</v>
      </c>
      <c r="T122" s="42">
        <f>100/(1+S122)^2</f>
        <v>94.259590913375433</v>
      </c>
      <c r="U122" s="43">
        <f t="shared" ref="U122:U123" si="29">$E122*(1-$H122*(S122-$F122))</f>
        <v>94.194101377333055</v>
      </c>
      <c r="V122" s="41">
        <f>5%</f>
        <v>0.05</v>
      </c>
      <c r="W122" s="42">
        <f>100/(1+V122)^2</f>
        <v>90.702947845804985</v>
      </c>
      <c r="X122" s="43">
        <f t="shared" ref="X122:X123" si="30">$E122*(1-$H122*(V122-$F122))</f>
        <v>90.698958469083223</v>
      </c>
    </row>
    <row r="123" spans="1:24" x14ac:dyDescent="0.25">
      <c r="B123" t="s">
        <v>4</v>
      </c>
      <c r="C123">
        <f t="shared" si="24"/>
        <v>3</v>
      </c>
      <c r="D123">
        <f t="shared" si="24"/>
        <v>0</v>
      </c>
      <c r="E123" s="5">
        <f t="shared" si="24"/>
        <v>89.11</v>
      </c>
      <c r="F123" s="1">
        <f t="shared" si="24"/>
        <v>3.9180970773608381E-2</v>
      </c>
      <c r="G123" s="35">
        <f>C123</f>
        <v>3</v>
      </c>
      <c r="H123" s="34">
        <f t="shared" si="25"/>
        <v>2.8868888907450629</v>
      </c>
      <c r="I123" s="47">
        <f>-0.5*I122*E122*H122/(E123*H123)</f>
        <v>-0.33966315044959011</v>
      </c>
      <c r="J123" s="41">
        <v>4.9200000000000001E-2</v>
      </c>
      <c r="K123" s="42">
        <f>100/(1+J123)^3</f>
        <v>86.581509703645011</v>
      </c>
      <c r="L123" s="43">
        <f t="shared" si="26"/>
        <v>86.532598028236251</v>
      </c>
      <c r="M123" s="41">
        <v>2.92E-2</v>
      </c>
      <c r="N123" s="42">
        <f>100/(1+M123)^3</f>
        <v>91.727734497881002</v>
      </c>
      <c r="O123" s="43">
        <f t="shared" si="27"/>
        <v>91.677611409322097</v>
      </c>
      <c r="P123" s="41">
        <v>0.04</v>
      </c>
      <c r="Q123" s="42">
        <f>100/(1+P123)^3</f>
        <v>88.899635867091476</v>
      </c>
      <c r="R123" s="43">
        <f t="shared" si="28"/>
        <v>88.899304183535747</v>
      </c>
      <c r="S123" s="41">
        <v>0.02</v>
      </c>
      <c r="T123" s="42">
        <f>100/(1+S123)^3</f>
        <v>94.232233454704456</v>
      </c>
      <c r="U123" s="43">
        <f t="shared" si="29"/>
        <v>94.044317564621579</v>
      </c>
      <c r="V123" s="41">
        <f>F123</f>
        <v>3.9180970773608381E-2</v>
      </c>
      <c r="W123" s="42">
        <f>100/(1+V123)^3</f>
        <v>89.109999999999985</v>
      </c>
      <c r="X123" s="43">
        <f t="shared" si="30"/>
        <v>89.11</v>
      </c>
    </row>
    <row r="124" spans="1:24" x14ac:dyDescent="0.25">
      <c r="B124" s="6"/>
      <c r="C124" s="6"/>
      <c r="D124" s="9"/>
      <c r="E124" s="8"/>
      <c r="F124" s="10"/>
      <c r="G124" s="37"/>
      <c r="H124" s="37"/>
      <c r="I124" s="48"/>
      <c r="J124" s="44"/>
      <c r="K124" s="44"/>
      <c r="L124" s="45"/>
      <c r="M124" s="44"/>
      <c r="N124" s="44"/>
      <c r="O124" s="45"/>
      <c r="P124" s="44"/>
      <c r="Q124" s="44"/>
      <c r="R124" s="45"/>
      <c r="S124" s="44"/>
      <c r="T124" s="44"/>
      <c r="U124" s="45"/>
      <c r="V124" s="44"/>
      <c r="W124" s="44"/>
      <c r="X124" s="45"/>
    </row>
    <row r="125" spans="1:24" x14ac:dyDescent="0.25">
      <c r="B125" s="22"/>
      <c r="C125" s="22"/>
      <c r="D125" s="38"/>
      <c r="E125" s="25"/>
      <c r="F125" s="19"/>
      <c r="G125" s="39"/>
      <c r="H125" s="39"/>
      <c r="I125" s="25"/>
      <c r="J125" s="25"/>
      <c r="K125" s="25"/>
      <c r="L125" s="19"/>
      <c r="M125" s="19"/>
      <c r="N125" s="19"/>
    </row>
    <row r="127" spans="1:24" x14ac:dyDescent="0.25">
      <c r="B127" t="s">
        <v>73</v>
      </c>
      <c r="C127" s="5">
        <f>SUMPRODUCT($I$121:$I$123,E121:E123)</f>
        <v>-29.586352999124916</v>
      </c>
    </row>
    <row r="129" spans="2:8" ht="30" x14ac:dyDescent="0.25">
      <c r="B129" s="27"/>
      <c r="C129" s="28" t="s">
        <v>53</v>
      </c>
      <c r="D129" s="28" t="s">
        <v>54</v>
      </c>
      <c r="E129" s="28" t="s">
        <v>64</v>
      </c>
      <c r="F129" s="28" t="s">
        <v>68</v>
      </c>
      <c r="G129" s="28" t="s">
        <v>68</v>
      </c>
      <c r="H129" s="28" t="s">
        <v>76</v>
      </c>
    </row>
    <row r="130" spans="2:8" x14ac:dyDescent="0.25">
      <c r="B130" t="s">
        <v>74</v>
      </c>
      <c r="C130" s="5">
        <f>SUMPRODUCT($I$121:$I$123,K121:K123)-$C$127</f>
        <v>1.2537484556477985</v>
      </c>
      <c r="D130" s="5">
        <f>SUMPRODUCT($I$121:$I$123,N121:N123)-$C$127</f>
        <v>1.3280273381228689</v>
      </c>
      <c r="E130" s="5">
        <f>SUMPRODUCT($I$121:$I$123,Q121:Q123)-$C$127</f>
        <v>1.3138498404824261</v>
      </c>
      <c r="F130" s="5">
        <f>SUMPRODUCT($I$121:$I$123,T121:T123)-$C$127</f>
        <v>1.2782583991704648</v>
      </c>
      <c r="G130" s="5">
        <f>SUMPRODUCT($I$121:$I$123,U121:U123)-$C$127</f>
        <v>1.2768673784823257</v>
      </c>
      <c r="H130" s="5">
        <f>SUMPRODUCT($I$121:$I$123,W121:W123)-$C$127</f>
        <v>-0.69503920492821436</v>
      </c>
    </row>
    <row r="131" spans="2:8" x14ac:dyDescent="0.25">
      <c r="B131" s="6" t="s">
        <v>75</v>
      </c>
      <c r="C131" s="8">
        <f>SUMPRODUCT($I$121:$I$123,L121:L123)-$C$127</f>
        <v>1.2768673784823292</v>
      </c>
      <c r="D131" s="8">
        <f>SUMPRODUCT($I$121:$I$123,O121:O123)-$C$127</f>
        <v>1.2768673784823363</v>
      </c>
      <c r="E131" s="8">
        <f>SUMPRODUCT($I$121:$I$123,R121:R123)-$C$127</f>
        <v>1.2768673784823257</v>
      </c>
      <c r="F131" s="8">
        <f>SUMPRODUCT($I$121:$I$123,U121:U123)-$C$127</f>
        <v>1.2768673784823257</v>
      </c>
      <c r="G131" s="8">
        <f>SUMPRODUCT($I$121:$I$123,V121:V123)-$C$127</f>
        <v>29.587061172138949</v>
      </c>
      <c r="H131" s="8">
        <f>SUMPRODUCT($I$121:$I$123,X121:X123)-$C$127</f>
        <v>-0.69902858164996928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 income arb</vt:lpstr>
    </vt:vector>
  </TitlesOfParts>
  <Company>AQR Capital Management, LLC.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pedersenl</dc:creator>
  <cp:lastModifiedBy>SH</cp:lastModifiedBy>
  <dcterms:created xsi:type="dcterms:W3CDTF">2014-10-22T12:23:35Z</dcterms:created>
  <dcterms:modified xsi:type="dcterms:W3CDTF">2014-11-12T15:26:15Z</dcterms:modified>
</cp:coreProperties>
</file>