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420" windowHeight="9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4" i="1" l="1"/>
  <c r="O47" i="1"/>
  <c r="G20" i="1" l="1"/>
  <c r="F29" i="1" l="1"/>
  <c r="F30" i="1"/>
  <c r="F31" i="1"/>
  <c r="F32" i="1"/>
  <c r="F28" i="1"/>
  <c r="E38" i="1" l="1"/>
  <c r="E40" i="1"/>
  <c r="E39" i="1"/>
  <c r="D40" i="1"/>
  <c r="D39" i="1"/>
  <c r="D38" i="1"/>
  <c r="AF6" i="1"/>
  <c r="AE5" i="1"/>
  <c r="AF5" i="1"/>
  <c r="AF4" i="1"/>
  <c r="AE4" i="1"/>
  <c r="AF9" i="1" s="1"/>
  <c r="AB6" i="1"/>
  <c r="AB11" i="1" s="1"/>
  <c r="AB5" i="1"/>
  <c r="AB4" i="1"/>
  <c r="AB9" i="1" s="1"/>
  <c r="AA5" i="1"/>
  <c r="AA4" i="1"/>
  <c r="AF11" i="1"/>
  <c r="AF10" i="1" l="1"/>
  <c r="AE15" i="1" s="1"/>
  <c r="AB10" i="1"/>
  <c r="AA15" i="1" s="1"/>
  <c r="D52" i="1"/>
  <c r="AE20" i="1" l="1"/>
  <c r="AE10" i="1"/>
  <c r="AE14" i="1"/>
  <c r="AA20" i="1"/>
  <c r="AA10" i="1"/>
  <c r="AA14" i="1"/>
  <c r="C29" i="1"/>
  <c r="C30" i="1" s="1"/>
  <c r="C31" i="1" s="1"/>
  <c r="C32" i="1" s="1"/>
  <c r="W5" i="1"/>
  <c r="X6" i="1" s="1"/>
  <c r="X11" i="1" s="1"/>
  <c r="W4" i="1"/>
  <c r="X4" i="1" s="1"/>
  <c r="S5" i="1"/>
  <c r="T6" i="1" s="1"/>
  <c r="S4" i="1"/>
  <c r="T4" i="1" s="1"/>
  <c r="O5" i="1"/>
  <c r="P6" i="1" s="1"/>
  <c r="O4" i="1"/>
  <c r="P4" i="1" s="1"/>
  <c r="K5" i="1"/>
  <c r="L6" i="1" s="1"/>
  <c r="K4" i="1"/>
  <c r="L4" i="1" s="1"/>
  <c r="L9" i="1" s="1"/>
  <c r="D14" i="1"/>
  <c r="G4" i="1"/>
  <c r="H4" i="1" s="1"/>
  <c r="G5" i="1"/>
  <c r="H5" i="1" s="1"/>
  <c r="AE19" i="1" l="1"/>
  <c r="AE9" i="1"/>
  <c r="AD14" i="1" s="1"/>
  <c r="AA19" i="1"/>
  <c r="AA9" i="1" s="1"/>
  <c r="Z14" i="1" s="1"/>
  <c r="P11" i="1"/>
  <c r="T9" i="1"/>
  <c r="T11" i="1"/>
  <c r="X9" i="1"/>
  <c r="L11" i="1"/>
  <c r="P9" i="1"/>
  <c r="X5" i="1"/>
  <c r="X10" i="1" s="1"/>
  <c r="W15" i="1" s="1"/>
  <c r="H10" i="1"/>
  <c r="T5" i="1"/>
  <c r="T10" i="1" s="1"/>
  <c r="P5" i="1"/>
  <c r="P10" i="1" s="1"/>
  <c r="L5" i="1"/>
  <c r="L10" i="1" s="1"/>
  <c r="H9" i="1"/>
  <c r="H6" i="1"/>
  <c r="AD19" i="1" l="1"/>
  <c r="AD9" i="1"/>
  <c r="Z19" i="1"/>
  <c r="Z9" i="1" s="1"/>
  <c r="S15" i="1"/>
  <c r="K15" i="1"/>
  <c r="K20" i="1" s="1"/>
  <c r="K10" i="1" s="1"/>
  <c r="O15" i="1"/>
  <c r="P25" i="1"/>
  <c r="P24" i="1"/>
  <c r="P26" i="1"/>
  <c r="P31" i="1"/>
  <c r="G14" i="1"/>
  <c r="G19" i="1" s="1"/>
  <c r="G9" i="1" s="1"/>
  <c r="W20" i="1"/>
  <c r="W10" i="1" s="1"/>
  <c r="W14" i="1"/>
  <c r="S20" i="1"/>
  <c r="S10" i="1" s="1"/>
  <c r="S14" i="1"/>
  <c r="O14" i="1"/>
  <c r="K14" i="1"/>
  <c r="H11" i="1"/>
  <c r="G15" i="1" s="1"/>
  <c r="O20" i="1" l="1"/>
  <c r="P36" i="1" s="1"/>
  <c r="P37" i="1"/>
  <c r="P29" i="1"/>
  <c r="P30" i="1"/>
  <c r="W19" i="1"/>
  <c r="W9" i="1" s="1"/>
  <c r="V14" i="1" s="1"/>
  <c r="S19" i="1"/>
  <c r="S9" i="1" s="1"/>
  <c r="R14" i="1" s="1"/>
  <c r="O19" i="1"/>
  <c r="P35" i="1" s="1"/>
  <c r="O9" i="1"/>
  <c r="K19" i="1"/>
  <c r="K9" i="1" s="1"/>
  <c r="J14" i="1" s="1"/>
  <c r="G10" i="1"/>
  <c r="F14" i="1" s="1"/>
  <c r="O10" i="1" l="1"/>
  <c r="O30" i="1" s="1"/>
  <c r="P43" i="1" s="1"/>
  <c r="P42" i="1"/>
  <c r="P34" i="1"/>
  <c r="N14" i="1"/>
  <c r="O29" i="1"/>
  <c r="V19" i="1"/>
  <c r="V9" i="1" s="1"/>
  <c r="D32" i="1" s="1"/>
  <c r="R19" i="1"/>
  <c r="R9" i="1"/>
  <c r="D31" i="1" s="1"/>
  <c r="J19" i="1"/>
  <c r="J9" i="1"/>
  <c r="D29" i="1" s="1"/>
  <c r="F19" i="1"/>
  <c r="F9" i="1" s="1"/>
  <c r="D28" i="1" s="1"/>
  <c r="P41" i="1" l="1"/>
  <c r="P40" i="1"/>
  <c r="N19" i="1"/>
  <c r="N9" i="1" s="1"/>
  <c r="E29" i="1" l="1"/>
  <c r="E28" i="1"/>
  <c r="E31" i="1"/>
  <c r="E32" i="1"/>
  <c r="O36" i="1"/>
  <c r="O34" i="1"/>
  <c r="D30" i="1"/>
  <c r="E30" i="1" s="1"/>
  <c r="N29" i="1"/>
  <c r="O42" i="1" l="1"/>
  <c r="O40" i="1"/>
</calcChain>
</file>

<file path=xl/sharedStrings.xml><?xml version="1.0" encoding="utf-8"?>
<sst xmlns="http://schemas.openxmlformats.org/spreadsheetml/2006/main" count="76" uniqueCount="46">
  <si>
    <t>Stock price:</t>
  </si>
  <si>
    <t>up=</t>
  </si>
  <si>
    <t>down=</t>
  </si>
  <si>
    <t>Stock price movements:</t>
  </si>
  <si>
    <t>R_f =</t>
  </si>
  <si>
    <t>Risk-free rate:</t>
  </si>
  <si>
    <t>Conversion price</t>
  </si>
  <si>
    <t>Conversion ratio</t>
  </si>
  <si>
    <t>Convertible bond features</t>
  </si>
  <si>
    <t>Call/put features</t>
  </si>
  <si>
    <t>none</t>
  </si>
  <si>
    <t>Face value</t>
  </si>
  <si>
    <t>Coupon</t>
  </si>
  <si>
    <t>Convert theoretical value:</t>
  </si>
  <si>
    <t>Stock price</t>
  </si>
  <si>
    <t>Stocks in replicating portfolio:</t>
  </si>
  <si>
    <t>Bonds in replicating portfolio:</t>
  </si>
  <si>
    <t>Convert market value:</t>
  </si>
  <si>
    <t>P&amp;L</t>
  </si>
  <si>
    <t>Convert cheapness:</t>
  </si>
  <si>
    <t>Fall in convert cheapness:</t>
  </si>
  <si>
    <t>Number of converts</t>
  </si>
  <si>
    <t>Total margin</t>
  </si>
  <si>
    <t>Margin req. per bond</t>
  </si>
  <si>
    <t>NAV</t>
  </si>
  <si>
    <t>Max position</t>
  </si>
  <si>
    <t xml:space="preserve">Capital </t>
  </si>
  <si>
    <t>Jump in volatility</t>
  </si>
  <si>
    <t>low</t>
  </si>
  <si>
    <t>high</t>
  </si>
  <si>
    <t>Hedged conv. P&amp;L</t>
  </si>
  <si>
    <t>Capital and margins</t>
  </si>
  <si>
    <t>Jump in stock price</t>
  </si>
  <si>
    <t>starting at 100</t>
  </si>
  <si>
    <t>starting at 90</t>
  </si>
  <si>
    <t>Delta = x</t>
  </si>
  <si>
    <t>Bonds = b</t>
  </si>
  <si>
    <t>x * Sd + b(1+rf) = Cd</t>
  </si>
  <si>
    <t>x * Su + b(1+rf) = Cu</t>
  </si>
  <si>
    <t>x = (Cu - Cd)/(Su - Sd)</t>
  </si>
  <si>
    <t>b = (Cd - x*Sd) / (1+rf)</t>
  </si>
  <si>
    <t>Replicating Portfolio</t>
  </si>
  <si>
    <t>Derivation</t>
  </si>
  <si>
    <t>Convertible</t>
  </si>
  <si>
    <t>Volatility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</si>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</sst>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4" fontId="0" fillId="0" borderId="0" xfId="0" applyNumberFormat="1"/>
    <xf numFmtId="0" fontId="0" fillId="2" borderId="0" xfId="0" applyFill="1"/>
    <xf numFmtId="4" fontId="0" fillId="3" borderId="0" xfId="0" applyNumberFormat="1" applyFill="1"/>
    <xf numFmtId="4" fontId="0" fillId="4" borderId="0" xfId="0" applyNumberFormat="1" applyFill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3" fillId="0" borderId="2" xfId="0" applyFont="1" applyBorder="1"/>
    <xf numFmtId="0" fontId="3" fillId="0" borderId="0" xfId="0" applyFont="1"/>
    <xf numFmtId="4" fontId="3" fillId="0" borderId="0" xfId="0" applyNumberFormat="1" applyFont="1"/>
    <xf numFmtId="4" fontId="0" fillId="5" borderId="0" xfId="0" applyNumberFormat="1" applyFill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0" fontId="0" fillId="6" borderId="0" xfId="0" applyFill="1"/>
    <xf numFmtId="0" fontId="1" fillId="0" borderId="3" xfId="0" applyFont="1" applyBorder="1"/>
    <xf numFmtId="0" fontId="0" fillId="0" borderId="4" xfId="0" applyBorder="1"/>
    <xf numFmtId="4" fontId="1" fillId="0" borderId="2" xfId="0" applyNumberFormat="1" applyFont="1" applyBorder="1"/>
    <xf numFmtId="4" fontId="1" fillId="0" borderId="1" xfId="0" applyNumberFormat="1" applyFont="1" applyBorder="1"/>
    <xf numFmtId="4" fontId="0" fillId="0" borderId="1" xfId="0" applyNumberFormat="1" applyBorder="1"/>
    <xf numFmtId="0" fontId="0" fillId="0" borderId="0" xfId="0" applyBorder="1"/>
    <xf numFmtId="3" fontId="0" fillId="0" borderId="1" xfId="0" applyNumberForma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9037859993527"/>
          <c:y val="2.8904775952742098E-2"/>
          <c:w val="0.77258145471542083"/>
          <c:h val="0.8287546241786127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Sheet1!$C$28:$C$32</c:f>
              <c:numCache>
                <c:formatCode>General</c:formatCode>
                <c:ptCount val="5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</c:numCache>
            </c:numRef>
          </c:xVal>
          <c:yVal>
            <c:numRef>
              <c:f>Sheet1!$D$28:$D$32</c:f>
              <c:numCache>
                <c:formatCode>#,##0.00</c:formatCode>
                <c:ptCount val="5"/>
                <c:pt idx="0">
                  <c:v>101.73907471485325</c:v>
                </c:pt>
                <c:pt idx="1">
                  <c:v>103.00546798239994</c:v>
                </c:pt>
                <c:pt idx="2">
                  <c:v>104.2718612499466</c:v>
                </c:pt>
                <c:pt idx="3">
                  <c:v>107.79892349096502</c:v>
                </c:pt>
                <c:pt idx="4">
                  <c:v>111.56520996198043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4688"/>
        <c:axId val="53075264"/>
      </c:scatterChart>
      <c:valAx>
        <c:axId val="53074688"/>
        <c:scaling>
          <c:orientation val="minMax"/>
          <c:min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53075264"/>
        <c:crosses val="autoZero"/>
        <c:crossBetween val="midCat"/>
      </c:valAx>
      <c:valAx>
        <c:axId val="5307526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5307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58</xdr:row>
      <xdr:rowOff>85724</xdr:rowOff>
    </xdr:from>
    <xdr:to>
      <xdr:col>15</xdr:col>
      <xdr:colOff>257175</xdr:colOff>
      <xdr:row>74</xdr:row>
      <xdr:rowOff>157161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74"/>
  <sheetViews>
    <sheetView showGridLines="0" tabSelected="1" topLeftCell="A13" zoomScaleNormal="100" zoomScaleSheetLayoutView="100" workbookViewId="0">
      <selection activeCell="D54" sqref="D54"/>
    </sheetView>
  </sheetViews>
  <sheetFormatPr defaultRowHeight="12.75" x14ac:dyDescent="0.2"/>
  <cols>
    <col min="1" max="1" width="2.85546875" customWidth="1"/>
    <col min="2" max="2" width="3.42578125" customWidth="1"/>
    <col min="3" max="3" width="18.28515625" customWidth="1"/>
    <col min="4" max="4" width="11.7109375" bestFit="1" customWidth="1"/>
    <col min="5" max="6" width="15.85546875" customWidth="1"/>
    <col min="25" max="25" width="14.85546875" customWidth="1"/>
  </cols>
  <sheetData>
    <row r="1" spans="2:32" x14ac:dyDescent="0.2">
      <c r="Z1" s="2" t="s">
        <v>1</v>
      </c>
      <c r="AA1">
        <v>1.2</v>
      </c>
      <c r="AD1" s="2" t="s">
        <v>1</v>
      </c>
      <c r="AE1">
        <v>1.05</v>
      </c>
    </row>
    <row r="2" spans="2:32" x14ac:dyDescent="0.2">
      <c r="Z2" s="2" t="s">
        <v>2</v>
      </c>
      <c r="AA2">
        <v>0.9</v>
      </c>
      <c r="AD2" s="2" t="s">
        <v>2</v>
      </c>
      <c r="AE2">
        <v>0.97</v>
      </c>
    </row>
    <row r="3" spans="2:32" ht="13.5" thickBot="1" x14ac:dyDescent="0.25">
      <c r="B3" s="12" t="s">
        <v>3</v>
      </c>
      <c r="C3" s="8"/>
      <c r="D3" s="8"/>
      <c r="F3" s="13" t="s">
        <v>0</v>
      </c>
      <c r="J3" s="13" t="s">
        <v>0</v>
      </c>
      <c r="N3" s="13" t="s">
        <v>0</v>
      </c>
      <c r="R3" s="13" t="s">
        <v>0</v>
      </c>
      <c r="V3" s="13" t="s">
        <v>0</v>
      </c>
      <c r="Z3" s="13" t="s">
        <v>0</v>
      </c>
      <c r="AD3" s="13" t="s">
        <v>0</v>
      </c>
    </row>
    <row r="4" spans="2:32" ht="13.5" thickTop="1" x14ac:dyDescent="0.2">
      <c r="C4" t="s">
        <v>1</v>
      </c>
      <c r="D4">
        <v>1.1000000000000001</v>
      </c>
      <c r="F4" s="4">
        <v>90</v>
      </c>
      <c r="G4" s="4">
        <f>F4*$D$4</f>
        <v>99.000000000000014</v>
      </c>
      <c r="H4" s="4">
        <f>G4*$D$4</f>
        <v>108.90000000000002</v>
      </c>
      <c r="J4" s="4">
        <v>95</v>
      </c>
      <c r="K4" s="4">
        <f>J4*$D$4</f>
        <v>104.50000000000001</v>
      </c>
      <c r="L4" s="4">
        <f>K4*$D$4</f>
        <v>114.95000000000003</v>
      </c>
      <c r="N4" s="4">
        <v>100</v>
      </c>
      <c r="O4" s="4">
        <f>N4*$D$4</f>
        <v>110.00000000000001</v>
      </c>
      <c r="P4" s="4">
        <f>O4*$D$4</f>
        <v>121.00000000000003</v>
      </c>
      <c r="R4" s="4">
        <v>105</v>
      </c>
      <c r="S4" s="4">
        <f>R4*$D$4</f>
        <v>115.50000000000001</v>
      </c>
      <c r="T4" s="4">
        <f>S4*$D$4</f>
        <v>127.05000000000003</v>
      </c>
      <c r="V4" s="4">
        <v>110</v>
      </c>
      <c r="W4" s="4">
        <f>V4*$D$4</f>
        <v>121.00000000000001</v>
      </c>
      <c r="X4" s="4">
        <f>W4*$D$4</f>
        <v>133.10000000000002</v>
      </c>
      <c r="Z4" s="19">
        <v>100</v>
      </c>
      <c r="AA4" s="19">
        <f>Z4*$AA$1</f>
        <v>120</v>
      </c>
      <c r="AB4" s="19">
        <f>AA4*$AA$1</f>
        <v>144</v>
      </c>
      <c r="AD4" s="19">
        <v>100</v>
      </c>
      <c r="AE4" s="19">
        <f>AD4*$AE$1</f>
        <v>105</v>
      </c>
      <c r="AF4" s="19">
        <f>AE4*$AE$1</f>
        <v>110.25</v>
      </c>
    </row>
    <row r="5" spans="2:32" x14ac:dyDescent="0.2">
      <c r="C5" t="s">
        <v>2</v>
      </c>
      <c r="D5">
        <v>0.95</v>
      </c>
      <c r="F5" s="4"/>
      <c r="G5" s="4">
        <f>F4*$D$5</f>
        <v>85.5</v>
      </c>
      <c r="H5" s="4">
        <f>G5*$D$4</f>
        <v>94.050000000000011</v>
      </c>
      <c r="J5" s="4"/>
      <c r="K5" s="4">
        <f>J4*$D$5</f>
        <v>90.25</v>
      </c>
      <c r="L5" s="4">
        <f>K5*$D$4</f>
        <v>99.275000000000006</v>
      </c>
      <c r="N5" s="4"/>
      <c r="O5" s="4">
        <f>N4*$D$5</f>
        <v>95</v>
      </c>
      <c r="P5" s="4">
        <f>O5*$D$4</f>
        <v>104.50000000000001</v>
      </c>
      <c r="R5" s="4"/>
      <c r="S5" s="4">
        <f>R4*$D$5</f>
        <v>99.75</v>
      </c>
      <c r="T5" s="4">
        <f>S5*$D$4</f>
        <v>109.72500000000001</v>
      </c>
      <c r="V5" s="4"/>
      <c r="W5" s="4">
        <f>V4*$D$5</f>
        <v>104.5</v>
      </c>
      <c r="X5" s="4">
        <f>W5*$D$4</f>
        <v>114.95</v>
      </c>
      <c r="Z5" s="19"/>
      <c r="AA5" s="19">
        <f>Z4*$AA$2</f>
        <v>90</v>
      </c>
      <c r="AB5" s="19">
        <f>AA5*$AA$1</f>
        <v>108</v>
      </c>
      <c r="AD5" s="19"/>
      <c r="AE5" s="19">
        <f>AD4*$AE$2</f>
        <v>97</v>
      </c>
      <c r="AF5" s="19">
        <f>AE5*$AE$1</f>
        <v>101.85000000000001</v>
      </c>
    </row>
    <row r="6" spans="2:32" x14ac:dyDescent="0.2">
      <c r="F6" s="4"/>
      <c r="G6" s="4"/>
      <c r="H6" s="4">
        <f>G5*$D$5</f>
        <v>81.224999999999994</v>
      </c>
      <c r="J6" s="4"/>
      <c r="K6" s="4"/>
      <c r="L6" s="4">
        <f>K5*$D$5</f>
        <v>85.737499999999997</v>
      </c>
      <c r="N6" s="4"/>
      <c r="O6" s="4"/>
      <c r="P6" s="4">
        <f>O5*$D$5</f>
        <v>90.25</v>
      </c>
      <c r="R6" s="4"/>
      <c r="S6" s="4"/>
      <c r="T6" s="4">
        <f>S5*$D$5</f>
        <v>94.762499999999989</v>
      </c>
      <c r="V6" s="4"/>
      <c r="W6" s="4"/>
      <c r="X6" s="4">
        <f>W5*$D$5</f>
        <v>99.274999999999991</v>
      </c>
      <c r="Z6" s="19"/>
      <c r="AA6" s="19"/>
      <c r="AB6" s="19">
        <f>AA5*$AA$2</f>
        <v>81</v>
      </c>
      <c r="AD6" s="19"/>
      <c r="AE6" s="19"/>
      <c r="AF6" s="19">
        <f>AE5*$AE$2</f>
        <v>94.09</v>
      </c>
    </row>
    <row r="7" spans="2:32" ht="13.5" thickBot="1" x14ac:dyDescent="0.25">
      <c r="B7" s="12" t="s">
        <v>5</v>
      </c>
      <c r="C7" s="8"/>
      <c r="D7" s="8"/>
    </row>
    <row r="8" spans="2:32" ht="13.5" thickTop="1" x14ac:dyDescent="0.2">
      <c r="C8" t="s">
        <v>4</v>
      </c>
      <c r="D8">
        <v>0.02</v>
      </c>
      <c r="F8" s="13" t="s">
        <v>13</v>
      </c>
      <c r="J8" s="13" t="s">
        <v>13</v>
      </c>
      <c r="N8" s="13" t="s">
        <v>13</v>
      </c>
      <c r="R8" s="13" t="s">
        <v>13</v>
      </c>
      <c r="V8" s="13" t="s">
        <v>13</v>
      </c>
      <c r="Z8" s="13" t="s">
        <v>13</v>
      </c>
      <c r="AD8" s="13" t="s">
        <v>13</v>
      </c>
    </row>
    <row r="9" spans="2:32" x14ac:dyDescent="0.2">
      <c r="F9" s="5">
        <f>F14*F4+F19</f>
        <v>101.73907471485325</v>
      </c>
      <c r="G9" s="5">
        <f t="shared" ref="G9:G10" si="0">G14*G4+G19</f>
        <v>104.72549019607843</v>
      </c>
      <c r="H9" s="5">
        <f>MAX($D$11+$D$12,$D$14*H4)</f>
        <v>108.90000000000002</v>
      </c>
      <c r="J9" s="5">
        <f>J14*J4+J19</f>
        <v>103.00546798239994</v>
      </c>
      <c r="K9" s="5">
        <f t="shared" ref="K9:K10" si="1">K14*K4+K19</f>
        <v>107.49346405228759</v>
      </c>
      <c r="L9" s="5">
        <f>MAX($D$11+$D$12,$D$14*L4)</f>
        <v>114.95000000000003</v>
      </c>
      <c r="N9" s="5">
        <f>N14*N4+N19</f>
        <v>104.2718612499466</v>
      </c>
      <c r="O9" s="5">
        <f t="shared" ref="O9:O10" si="2">O14*O4+O19</f>
        <v>110.26143790849675</v>
      </c>
      <c r="P9" s="5">
        <f>MAX($D$11+$D$12,$D$14*P4)</f>
        <v>121.00000000000003</v>
      </c>
      <c r="R9" s="5">
        <f>R14*R4+R19</f>
        <v>107.79892349096502</v>
      </c>
      <c r="S9" s="5">
        <f t="shared" ref="S9:S10" si="3">S14*S4+S19</f>
        <v>115.50000000000001</v>
      </c>
      <c r="T9" s="5">
        <f>MAX($D$11+$D$12,$D$14*T4)</f>
        <v>127.05000000000003</v>
      </c>
      <c r="V9" s="5">
        <f>V14*V4+V19</f>
        <v>111.56520996198043</v>
      </c>
      <c r="W9" s="5">
        <f t="shared" ref="W9:W10" si="4">W14*W4+W19</f>
        <v>121.00000000000001</v>
      </c>
      <c r="X9" s="5">
        <f>MAX($D$11+$D$12,$D$14*X4)</f>
        <v>133.10000000000002</v>
      </c>
      <c r="Z9" s="5">
        <f>Z14*Z4+Z19</f>
        <v>108.30449826989619</v>
      </c>
      <c r="AA9" s="5">
        <f t="shared" ref="AA9:AA10" si="5">AA14*AA4+AA19</f>
        <v>120</v>
      </c>
      <c r="AB9" s="5">
        <f>MAX($D$11+$D$12,$D$14*AB4)</f>
        <v>144</v>
      </c>
      <c r="AD9" s="5">
        <f>AD14*AD4+AD19</f>
        <v>102.89386894463668</v>
      </c>
      <c r="AE9" s="5">
        <f t="shared" ref="AE9:AE10" si="6">AE14*AE4+AE19</f>
        <v>106.15808823529412</v>
      </c>
      <c r="AF9" s="5">
        <f>MAX($D$11+$D$12,$D$14*AF4)</f>
        <v>110.25</v>
      </c>
    </row>
    <row r="10" spans="2:32" ht="13.5" thickBot="1" x14ac:dyDescent="0.25">
      <c r="B10" s="12" t="s">
        <v>8</v>
      </c>
      <c r="C10" s="8"/>
      <c r="D10" s="8"/>
      <c r="F10" s="5"/>
      <c r="G10" s="5">
        <f t="shared" si="0"/>
        <v>102.94117647058823</v>
      </c>
      <c r="H10" s="5">
        <f>MAX($D$11+$D$12,$D$14*H5)</f>
        <v>105</v>
      </c>
      <c r="J10" s="5"/>
      <c r="K10" s="5">
        <f t="shared" si="1"/>
        <v>102.94117647058823</v>
      </c>
      <c r="L10" s="5">
        <f>MAX($D$11+$D$12,$D$14*L5)</f>
        <v>105</v>
      </c>
      <c r="N10" s="5"/>
      <c r="O10" s="5">
        <f t="shared" si="2"/>
        <v>102.94117647058823</v>
      </c>
      <c r="P10" s="5">
        <f>MAX($D$11+$D$12,$D$14*P5)</f>
        <v>105</v>
      </c>
      <c r="R10" s="5"/>
      <c r="S10" s="5">
        <f t="shared" si="3"/>
        <v>105.10294117647059</v>
      </c>
      <c r="T10" s="5">
        <f>MAX($D$11+$D$12,$D$14*T5)</f>
        <v>109.72500000000001</v>
      </c>
      <c r="V10" s="5"/>
      <c r="W10" s="5">
        <f t="shared" si="4"/>
        <v>107.49346405228758</v>
      </c>
      <c r="X10" s="5">
        <f>MAX($D$11+$D$12,$D$14*X5)</f>
        <v>114.95</v>
      </c>
      <c r="Z10" s="5"/>
      <c r="AA10" s="5">
        <f t="shared" si="5"/>
        <v>104.11764705882352</v>
      </c>
      <c r="AB10" s="5">
        <f>MAX($D$11+$D$12,$D$14*AB5)</f>
        <v>108</v>
      </c>
      <c r="AD10" s="5"/>
      <c r="AE10" s="5">
        <f t="shared" si="6"/>
        <v>102.94117647058823</v>
      </c>
      <c r="AF10" s="5">
        <f>MAX($D$11+$D$12,$D$14*AF5)</f>
        <v>105</v>
      </c>
    </row>
    <row r="11" spans="2:32" ht="13.5" thickTop="1" x14ac:dyDescent="0.2">
      <c r="C11" s="2" t="s">
        <v>11</v>
      </c>
      <c r="D11">
        <v>100</v>
      </c>
      <c r="F11" s="5"/>
      <c r="G11" s="5"/>
      <c r="H11" s="5">
        <f>MAX($D$11+$D$12,$D$14*H6)</f>
        <v>105</v>
      </c>
      <c r="J11" s="5"/>
      <c r="K11" s="5"/>
      <c r="L11" s="5">
        <f>MAX($D$11+$D$12,$D$14*L6)</f>
        <v>105</v>
      </c>
      <c r="N11" s="5"/>
      <c r="O11" s="5"/>
      <c r="P11" s="5">
        <f>MAX($D$11+$D$12,$D$14*P6)</f>
        <v>105</v>
      </c>
      <c r="R11" s="5"/>
      <c r="S11" s="5"/>
      <c r="T11" s="5">
        <f>MAX($D$11+$D$12,$D$14*T6)</f>
        <v>105</v>
      </c>
      <c r="V11" s="5"/>
      <c r="W11" s="5"/>
      <c r="X11" s="5">
        <f>MAX($D$11+$D$12,$D$14*X6)</f>
        <v>105</v>
      </c>
      <c r="Z11" s="5"/>
      <c r="AA11" s="5"/>
      <c r="AB11" s="5">
        <f>MAX($D$11+$D$12,$D$14*AB6)</f>
        <v>105</v>
      </c>
      <c r="AD11" s="5"/>
      <c r="AE11" s="5"/>
      <c r="AF11" s="5">
        <f>MAX($D$11+$D$12,$D$14*AF6)</f>
        <v>105</v>
      </c>
    </row>
    <row r="12" spans="2:32" x14ac:dyDescent="0.2">
      <c r="C12" s="2" t="s">
        <v>12</v>
      </c>
      <c r="D12">
        <v>5</v>
      </c>
      <c r="F12" s="3"/>
      <c r="G12" s="3"/>
      <c r="H12" s="3"/>
      <c r="J12" s="3"/>
      <c r="K12" s="3"/>
      <c r="L12" s="3"/>
      <c r="N12" s="3"/>
      <c r="O12" s="3"/>
      <c r="P12" s="3"/>
      <c r="R12" s="3"/>
      <c r="S12" s="3"/>
      <c r="T12" s="3"/>
      <c r="V12" s="3"/>
      <c r="W12" s="3"/>
      <c r="X12" s="3"/>
      <c r="Z12" s="3"/>
      <c r="AA12" s="3"/>
      <c r="AB12" s="3"/>
      <c r="AD12" s="3"/>
      <c r="AE12" s="3"/>
      <c r="AF12" s="3"/>
    </row>
    <row r="13" spans="2:32" x14ac:dyDescent="0.2">
      <c r="C13" s="1" t="s">
        <v>6</v>
      </c>
      <c r="D13">
        <v>100</v>
      </c>
      <c r="F13" s="14" t="s">
        <v>15</v>
      </c>
      <c r="G13" s="3"/>
      <c r="H13" s="3"/>
      <c r="J13" s="14" t="s">
        <v>15</v>
      </c>
      <c r="K13" s="3"/>
      <c r="L13" s="3"/>
      <c r="N13" s="14" t="s">
        <v>15</v>
      </c>
      <c r="O13" s="3"/>
      <c r="P13" s="3"/>
      <c r="R13" s="14" t="s">
        <v>15</v>
      </c>
      <c r="S13" s="3"/>
      <c r="T13" s="3"/>
      <c r="V13" s="14" t="s">
        <v>15</v>
      </c>
      <c r="W13" s="3"/>
      <c r="X13" s="3"/>
      <c r="Z13" s="14" t="s">
        <v>15</v>
      </c>
      <c r="AA13" s="3"/>
      <c r="AB13" s="3"/>
      <c r="AD13" s="14" t="s">
        <v>15</v>
      </c>
      <c r="AE13" s="3"/>
      <c r="AF13" s="3"/>
    </row>
    <row r="14" spans="2:32" x14ac:dyDescent="0.2">
      <c r="C14" s="1" t="s">
        <v>7</v>
      </c>
      <c r="D14">
        <f>D11/D13</f>
        <v>1</v>
      </c>
      <c r="F14" s="6">
        <f>(G9-G10)/(G4-G5)</f>
        <v>0.13217138707334752</v>
      </c>
      <c r="G14" s="6">
        <f>(H9-H10)/(H4-H5)</f>
        <v>0.26262626262626382</v>
      </c>
      <c r="H14" s="6"/>
      <c r="J14" s="6">
        <f>(K9-K10)/(K4-K5)</f>
        <v>0.3194587776631127</v>
      </c>
      <c r="K14" s="6">
        <f>(L9-L10)/(L4-L5)</f>
        <v>0.63476874003189887</v>
      </c>
      <c r="L14" s="6"/>
      <c r="N14" s="6">
        <f>(O9-O10)/(O4-O5)</f>
        <v>0.48801742919390045</v>
      </c>
      <c r="O14" s="6">
        <f>(P9-P10)/(P4-P5)</f>
        <v>0.96969696969697061</v>
      </c>
      <c r="P14" s="6"/>
      <c r="R14" s="6">
        <f>(S9-S10)/(S4-S5)</f>
        <v>0.66013071895424835</v>
      </c>
      <c r="S14" s="6">
        <f>(T9-T10)/(T4-T5)</f>
        <v>1</v>
      </c>
      <c r="T14" s="6"/>
      <c r="V14" s="6">
        <f>(W9-W10)/(W4-W5)</f>
        <v>0.81857793622499542</v>
      </c>
      <c r="W14" s="6">
        <f>(X9-X10)/(X4-X5)</f>
        <v>1</v>
      </c>
      <c r="X14" s="6"/>
      <c r="Z14" s="6">
        <f>(AA9-AA10)/(AA4-AA5)</f>
        <v>0.52941176470588258</v>
      </c>
      <c r="AA14" s="6">
        <f>(AB9-AB10)/(AB4-AB5)</f>
        <v>1</v>
      </c>
      <c r="AB14" s="6"/>
      <c r="AD14" s="6">
        <f>(AE9-AE10)/(AE4-AE5)</f>
        <v>0.4021139705882355</v>
      </c>
      <c r="AE14" s="6">
        <f>(AF9-AF10)/(AF4-AF5)</f>
        <v>0.62500000000000067</v>
      </c>
      <c r="AF14" s="6"/>
    </row>
    <row r="15" spans="2:32" x14ac:dyDescent="0.2">
      <c r="B15" s="7"/>
      <c r="C15" s="10" t="s">
        <v>9</v>
      </c>
      <c r="D15" s="11" t="s">
        <v>10</v>
      </c>
      <c r="F15" s="6"/>
      <c r="G15" s="6">
        <f>(H10-H11)/(H5-H6)</f>
        <v>0</v>
      </c>
      <c r="H15" s="6"/>
      <c r="J15" s="6"/>
      <c r="K15" s="6">
        <f>(L10-L11)/(L5-L6)</f>
        <v>0</v>
      </c>
      <c r="L15" s="6"/>
      <c r="N15" s="6"/>
      <c r="O15" s="6">
        <f>(P10-P11)/(P5-P6)</f>
        <v>0</v>
      </c>
      <c r="P15" s="6"/>
      <c r="R15" s="6"/>
      <c r="S15" s="6">
        <f>(T10-T11)/(T5-T6)</f>
        <v>0.31578947368421068</v>
      </c>
      <c r="T15" s="6"/>
      <c r="V15" s="6"/>
      <c r="W15" s="6">
        <f>(X10-X11)/(X5-X6)</f>
        <v>0.63476874003189765</v>
      </c>
      <c r="X15" s="6"/>
      <c r="Z15" s="6"/>
      <c r="AA15" s="6">
        <f>(AB10-AB11)/(AB5-AB6)</f>
        <v>0.1111111111111111</v>
      </c>
      <c r="AB15" s="6"/>
      <c r="AD15" s="6"/>
      <c r="AE15" s="6">
        <f>(AF10-AF11)/(AF5-AF6)</f>
        <v>0</v>
      </c>
      <c r="AF15" s="6"/>
    </row>
    <row r="16" spans="2:32" x14ac:dyDescent="0.2">
      <c r="F16" s="6"/>
      <c r="G16" s="6"/>
      <c r="H16" s="6"/>
      <c r="J16" s="6"/>
      <c r="K16" s="6"/>
      <c r="L16" s="6"/>
      <c r="N16" s="6"/>
      <c r="O16" s="6"/>
      <c r="P16" s="6"/>
      <c r="R16" s="6"/>
      <c r="S16" s="6"/>
      <c r="T16" s="6"/>
      <c r="V16" s="6"/>
      <c r="W16" s="6"/>
      <c r="X16" s="6"/>
      <c r="Z16" s="6"/>
      <c r="AA16" s="6"/>
      <c r="AB16" s="6"/>
      <c r="AD16" s="6"/>
      <c r="AE16" s="6"/>
      <c r="AF16" s="6"/>
    </row>
    <row r="17" spans="2:32" x14ac:dyDescent="0.2">
      <c r="F17" s="3"/>
      <c r="G17" s="3"/>
      <c r="H17" s="3"/>
      <c r="J17" s="3"/>
      <c r="K17" s="3"/>
      <c r="L17" s="3"/>
      <c r="N17" s="3"/>
      <c r="O17" s="3"/>
      <c r="P17" s="3"/>
      <c r="R17" s="3"/>
      <c r="S17" s="3"/>
      <c r="T17" s="3"/>
      <c r="V17" s="3"/>
      <c r="W17" s="3"/>
      <c r="X17" s="3"/>
      <c r="Z17" s="3"/>
      <c r="AA17" s="3"/>
      <c r="AB17" s="3"/>
      <c r="AD17" s="3"/>
      <c r="AE17" s="3"/>
      <c r="AF17" s="3"/>
    </row>
    <row r="18" spans="2:32" x14ac:dyDescent="0.2">
      <c r="F18" s="14" t="s">
        <v>16</v>
      </c>
      <c r="G18" s="3"/>
      <c r="H18" s="3"/>
      <c r="J18" s="14" t="s">
        <v>16</v>
      </c>
      <c r="K18" s="3"/>
      <c r="L18" s="3"/>
      <c r="N18" s="14" t="s">
        <v>16</v>
      </c>
      <c r="O18" s="3"/>
      <c r="P18" s="3"/>
      <c r="R18" s="14" t="s">
        <v>16</v>
      </c>
      <c r="S18" s="3"/>
      <c r="T18" s="3"/>
      <c r="V18" s="14" t="s">
        <v>16</v>
      </c>
      <c r="W18" s="3"/>
      <c r="X18" s="3"/>
      <c r="Z18" s="14" t="s">
        <v>16</v>
      </c>
      <c r="AA18" s="3"/>
      <c r="AB18" s="3"/>
      <c r="AD18" s="14" t="s">
        <v>16</v>
      </c>
      <c r="AE18" s="3"/>
      <c r="AF18" s="3"/>
    </row>
    <row r="19" spans="2:32" x14ac:dyDescent="0.2">
      <c r="F19" s="6">
        <f>-(F14*G5-G10)/(1+$D$8)</f>
        <v>89.843649878251966</v>
      </c>
      <c r="G19" s="6">
        <f>-(G14*H5-H10)/(1+$D$8)</f>
        <v>78.725490196078312</v>
      </c>
      <c r="H19" s="6"/>
      <c r="J19" s="6">
        <f>-(J14*K5-K10)/(1+$D$8)</f>
        <v>72.656884104404227</v>
      </c>
      <c r="K19" s="6">
        <f>-(K14*L5-L10)/(1+$D$8)</f>
        <v>41.16013071895415</v>
      </c>
      <c r="L19" s="6"/>
      <c r="N19" s="6">
        <f>-(N14*O5-O10)/(1+$D$8)</f>
        <v>55.470118330556552</v>
      </c>
      <c r="O19" s="6">
        <f>-(O14*P5-P10)/(1+$D$8)</f>
        <v>3.5947712418299584</v>
      </c>
      <c r="P19" s="6"/>
      <c r="R19" s="6">
        <f>-(R14*S5-S10)/(1+$D$8)</f>
        <v>38.485198000768946</v>
      </c>
      <c r="S19" s="6">
        <f>-(S14*T5-T10)/(1+$D$8)</f>
        <v>0</v>
      </c>
      <c r="T19" s="6"/>
      <c r="V19" s="6">
        <f>-(V14*W5-W10)/(1+$D$8)</f>
        <v>21.521636977230933</v>
      </c>
      <c r="W19" s="6">
        <f>-(W14*X5-X10)/(1+$D$8)</f>
        <v>0</v>
      </c>
      <c r="X19" s="6"/>
      <c r="Z19" s="6">
        <f>-(Z14*AA5-AA10)/(1+$D$8)</f>
        <v>55.363321799307926</v>
      </c>
      <c r="AA19" s="6">
        <f>-(AA14*AB5-AB10)/(1+$D$8)</f>
        <v>0</v>
      </c>
      <c r="AB19" s="6"/>
      <c r="AD19" s="6">
        <f>-(AD14*AE5-AE10)/(1+$D$8)</f>
        <v>62.682471885813129</v>
      </c>
      <c r="AE19" s="6">
        <f>-(AE14*AF5-AF10)/(1+$D$8)</f>
        <v>40.533088235294045</v>
      </c>
      <c r="AF19" s="6"/>
    </row>
    <row r="20" spans="2:32" x14ac:dyDescent="0.2">
      <c r="F20" s="6"/>
      <c r="G20" s="6">
        <f>-(G15*H6-H11)/(1+$D$8)</f>
        <v>102.94117647058823</v>
      </c>
      <c r="H20" s="6"/>
      <c r="J20" s="6"/>
      <c r="K20" s="6">
        <f>-(K15*L6-L11)/(1+$D$8)</f>
        <v>102.94117647058823</v>
      </c>
      <c r="L20" s="6"/>
      <c r="N20" s="6"/>
      <c r="O20" s="6">
        <f>-(O15*P6-P11)/(1+$D$8)</f>
        <v>102.94117647058823</v>
      </c>
      <c r="P20" s="6"/>
      <c r="R20" s="6"/>
      <c r="S20" s="6">
        <f>-(S15*T6-T11)/(1+$D$8)</f>
        <v>73.60294117647058</v>
      </c>
      <c r="T20" s="6"/>
      <c r="V20" s="6"/>
      <c r="W20" s="6">
        <f>-(W15*X6-X11)/(1+$D$8)</f>
        <v>41.160130718954285</v>
      </c>
      <c r="X20" s="6"/>
      <c r="Z20" s="6"/>
      <c r="AA20" s="6">
        <f>-(AA15*AB6-AB11)/(1+$D$8)</f>
        <v>94.117647058823522</v>
      </c>
      <c r="AB20" s="6"/>
      <c r="AD20" s="6"/>
      <c r="AE20" s="6">
        <f>-(AE15*AF6-AF11)/(1+$D$8)</f>
        <v>102.94117647058823</v>
      </c>
      <c r="AF20" s="6"/>
    </row>
    <row r="21" spans="2:32" x14ac:dyDescent="0.2">
      <c r="F21" s="6"/>
      <c r="G21" s="6"/>
      <c r="H21" s="6"/>
      <c r="J21" s="6"/>
      <c r="K21" s="6"/>
      <c r="L21" s="6"/>
      <c r="N21" s="6"/>
      <c r="O21" s="6"/>
      <c r="P21" s="6"/>
      <c r="R21" s="6"/>
      <c r="S21" s="6"/>
      <c r="T21" s="6"/>
      <c r="V21" s="6"/>
      <c r="W21" s="6"/>
      <c r="X21" s="6"/>
      <c r="Z21" s="6"/>
      <c r="AA21" s="6"/>
      <c r="AB21" s="6"/>
      <c r="AD21" s="6"/>
      <c r="AE21" s="6"/>
      <c r="AF21" s="6"/>
    </row>
    <row r="23" spans="2:32" x14ac:dyDescent="0.2">
      <c r="N23" s="13" t="s">
        <v>17</v>
      </c>
    </row>
    <row r="24" spans="2:32" x14ac:dyDescent="0.2">
      <c r="B24" s="18" t="s">
        <v>32</v>
      </c>
      <c r="N24" s="15">
        <v>101</v>
      </c>
      <c r="O24" s="15">
        <v>108</v>
      </c>
      <c r="P24" s="15">
        <f>P9</f>
        <v>121.00000000000003</v>
      </c>
    </row>
    <row r="25" spans="2:32" x14ac:dyDescent="0.2">
      <c r="N25" s="15"/>
      <c r="O25" s="15">
        <v>96</v>
      </c>
      <c r="P25" s="15">
        <f t="shared" ref="P25:P26" si="7">P10</f>
        <v>105</v>
      </c>
    </row>
    <row r="26" spans="2:32" x14ac:dyDescent="0.2">
      <c r="C26" s="20" t="s">
        <v>14</v>
      </c>
      <c r="D26" s="20" t="s">
        <v>43</v>
      </c>
      <c r="E26" s="27" t="s">
        <v>30</v>
      </c>
      <c r="F26" s="27"/>
      <c r="N26" s="15"/>
      <c r="O26" s="15"/>
      <c r="P26" s="15">
        <f t="shared" si="7"/>
        <v>105</v>
      </c>
    </row>
    <row r="27" spans="2:32" ht="13.5" thickBot="1" x14ac:dyDescent="0.25">
      <c r="C27" s="21"/>
      <c r="D27" s="21"/>
      <c r="E27" s="28" t="s">
        <v>33</v>
      </c>
      <c r="F27" s="28" t="s">
        <v>34</v>
      </c>
    </row>
    <row r="28" spans="2:32" ht="13.5" thickTop="1" x14ac:dyDescent="0.2">
      <c r="C28">
        <v>90</v>
      </c>
      <c r="D28" s="3">
        <f>F9</f>
        <v>101.73907471485325</v>
      </c>
      <c r="E28" s="3">
        <f>D28-($N$14*C28+$N$19)</f>
        <v>2.3473877568456487</v>
      </c>
      <c r="F28" s="14">
        <f>D28-($F$14*C28+$F$19)</f>
        <v>0</v>
      </c>
      <c r="N28" s="13" t="s">
        <v>19</v>
      </c>
    </row>
    <row r="29" spans="2:32" x14ac:dyDescent="0.2">
      <c r="C29">
        <f>C28+5</f>
        <v>95</v>
      </c>
      <c r="D29" s="3">
        <f>J9</f>
        <v>103.00546798239994</v>
      </c>
      <c r="E29" s="3">
        <f>D29-($N$14*C29+$N$19)</f>
        <v>1.1736938784228386</v>
      </c>
      <c r="F29" s="3">
        <f t="shared" ref="F29:F32" si="8">D29-($F$14*C29+$F$19)</f>
        <v>0.60553633217995184</v>
      </c>
      <c r="N29" s="15">
        <f>N9-N24</f>
        <v>3.2718612499465962</v>
      </c>
      <c r="O29" s="15">
        <f>O9-O24</f>
        <v>2.2614379084967453</v>
      </c>
      <c r="P29" s="15">
        <f>P9-P24</f>
        <v>0</v>
      </c>
    </row>
    <row r="30" spans="2:32" x14ac:dyDescent="0.2">
      <c r="C30" s="13">
        <f t="shared" ref="C30:C32" si="9">C29+5</f>
        <v>100</v>
      </c>
      <c r="D30" s="14">
        <f>N9</f>
        <v>104.2718612499466</v>
      </c>
      <c r="E30" s="14">
        <f>D30-($N$14*C30+$N$19)</f>
        <v>0</v>
      </c>
      <c r="F30" s="3">
        <f t="shared" si="8"/>
        <v>1.2110726643598753</v>
      </c>
      <c r="N30" s="15"/>
      <c r="O30" s="15">
        <f>O10-O25</f>
        <v>6.941176470588232</v>
      </c>
      <c r="P30" s="15">
        <f>P10-P25</f>
        <v>0</v>
      </c>
    </row>
    <row r="31" spans="2:32" x14ac:dyDescent="0.2">
      <c r="C31">
        <f t="shared" si="9"/>
        <v>105</v>
      </c>
      <c r="D31" s="3">
        <f>R9</f>
        <v>107.79892349096502</v>
      </c>
      <c r="E31" s="3">
        <f>D31-($N$14*C31+$N$19)</f>
        <v>1.0869750950489276</v>
      </c>
      <c r="F31" s="3">
        <f t="shared" si="8"/>
        <v>4.0772779700115649</v>
      </c>
      <c r="N31" s="15"/>
      <c r="O31" s="15"/>
      <c r="P31" s="15">
        <f>P11-P26</f>
        <v>0</v>
      </c>
    </row>
    <row r="32" spans="2:32" x14ac:dyDescent="0.2">
      <c r="C32" s="7">
        <f t="shared" si="9"/>
        <v>110</v>
      </c>
      <c r="D32" s="24">
        <f>V9</f>
        <v>111.56520996198043</v>
      </c>
      <c r="E32" s="24">
        <f>D32-($N$14*C32+$N$19)</f>
        <v>2.4131744200948333</v>
      </c>
      <c r="F32" s="24">
        <f t="shared" si="8"/>
        <v>7.1827075056602325</v>
      </c>
    </row>
    <row r="33" spans="2:16" x14ac:dyDescent="0.2">
      <c r="N33" s="13" t="s">
        <v>18</v>
      </c>
    </row>
    <row r="34" spans="2:16" x14ac:dyDescent="0.2">
      <c r="N34" s="15">
        <v>0</v>
      </c>
      <c r="O34" s="15">
        <f>O24-N24-N14*(O4-N4)-$D$8*N19</f>
        <v>1.0104233414498571</v>
      </c>
      <c r="P34" s="15">
        <f>P24-O24-O14*(P4-O4)-$D$8*O19</f>
        <v>2.2614379084967382</v>
      </c>
    </row>
    <row r="35" spans="2:16" x14ac:dyDescent="0.2">
      <c r="B35" s="18" t="s">
        <v>27</v>
      </c>
      <c r="N35" s="15"/>
      <c r="O35" s="15"/>
      <c r="P35" s="15">
        <f>P25-O24-O14*(P5-O4)-$D$8*O19</f>
        <v>2.2614379084967391</v>
      </c>
    </row>
    <row r="36" spans="2:16" x14ac:dyDescent="0.2">
      <c r="N36" s="15"/>
      <c r="O36" s="15">
        <f>O25-N24-N14*(O5-N4)-$D$8*N19</f>
        <v>-3.6693152206416286</v>
      </c>
      <c r="P36" s="15">
        <f>P25-O25-O15*(P5-O5)-$D$8*O20</f>
        <v>6.9411764705882355</v>
      </c>
    </row>
    <row r="37" spans="2:16" ht="13.5" thickBot="1" x14ac:dyDescent="0.25">
      <c r="C37" s="9" t="s">
        <v>44</v>
      </c>
      <c r="D37" s="9" t="s">
        <v>43</v>
      </c>
      <c r="E37" s="9" t="s">
        <v>30</v>
      </c>
      <c r="N37" s="15"/>
      <c r="O37" s="15"/>
      <c r="P37" s="15">
        <f>P26-O25-O15*(P6-O5)-$D$8*O20</f>
        <v>6.9411764705882355</v>
      </c>
    </row>
    <row r="38" spans="2:16" ht="13.5" thickTop="1" x14ac:dyDescent="0.2">
      <c r="C38" s="2" t="s">
        <v>28</v>
      </c>
      <c r="D38" s="3">
        <f>AD9</f>
        <v>102.89386894463668</v>
      </c>
      <c r="E38" s="3">
        <f>D38-$D$39</f>
        <v>-1.3779923053099168</v>
      </c>
    </row>
    <row r="39" spans="2:16" x14ac:dyDescent="0.2">
      <c r="C39" s="13" t="s">
        <v>45</v>
      </c>
      <c r="D39" s="14">
        <f>N9</f>
        <v>104.2718612499466</v>
      </c>
      <c r="E39" s="14">
        <f>D39-$D$39</f>
        <v>0</v>
      </c>
      <c r="N39" s="13" t="s">
        <v>20</v>
      </c>
    </row>
    <row r="40" spans="2:16" x14ac:dyDescent="0.2">
      <c r="C40" s="10" t="s">
        <v>29</v>
      </c>
      <c r="D40" s="23">
        <f>Z9</f>
        <v>108.30449826989619</v>
      </c>
      <c r="E40" s="24">
        <f>D40-$D$39</f>
        <v>4.0326370199495898</v>
      </c>
      <c r="N40" s="15">
        <v>0</v>
      </c>
      <c r="O40" s="15">
        <f>-(O29-N29)</f>
        <v>1.0104233414498509</v>
      </c>
      <c r="P40" s="15">
        <f>-(P29-O29)</f>
        <v>2.2614379084967453</v>
      </c>
    </row>
    <row r="41" spans="2:16" x14ac:dyDescent="0.2">
      <c r="N41" s="15"/>
      <c r="O41" s="15"/>
      <c r="P41" s="15">
        <f>-(P30-O29)</f>
        <v>2.2614379084967453</v>
      </c>
    </row>
    <row r="42" spans="2:16" x14ac:dyDescent="0.2">
      <c r="N42" s="15"/>
      <c r="O42" s="15">
        <f>-(O30-N29)</f>
        <v>-3.6693152206416357</v>
      </c>
      <c r="P42" s="15">
        <f>-(P30-O30)</f>
        <v>6.941176470588232</v>
      </c>
    </row>
    <row r="43" spans="2:16" x14ac:dyDescent="0.2">
      <c r="N43" s="15"/>
      <c r="O43" s="15"/>
      <c r="P43" s="15">
        <f>-(P31-O30)</f>
        <v>6.941176470588232</v>
      </c>
    </row>
    <row r="45" spans="2:16" x14ac:dyDescent="0.2">
      <c r="H45" s="3"/>
    </row>
    <row r="46" spans="2:16" x14ac:dyDescent="0.2">
      <c r="H46" s="3"/>
    </row>
    <row r="47" spans="2:16" x14ac:dyDescent="0.2">
      <c r="B47" s="18" t="s">
        <v>31</v>
      </c>
      <c r="H47" s="3"/>
      <c r="O47" s="29">
        <f>O36/N24</f>
        <v>-3.6329853669719095E-2</v>
      </c>
    </row>
    <row r="49" spans="2:15" ht="13.5" thickBot="1" x14ac:dyDescent="0.25">
      <c r="C49" s="9" t="s">
        <v>26</v>
      </c>
      <c r="D49" s="8"/>
    </row>
    <row r="50" spans="2:15" ht="13.5" thickTop="1" x14ac:dyDescent="0.2">
      <c r="C50" s="2" t="s">
        <v>21</v>
      </c>
      <c r="D50" s="16">
        <v>4000000</v>
      </c>
      <c r="O50" s="3"/>
    </row>
    <row r="51" spans="2:15" x14ac:dyDescent="0.2">
      <c r="C51" s="2" t="s">
        <v>23</v>
      </c>
      <c r="D51" s="17">
        <v>0.3</v>
      </c>
    </row>
    <row r="52" spans="2:15" x14ac:dyDescent="0.2">
      <c r="C52" s="2" t="s">
        <v>22</v>
      </c>
      <c r="D52" s="16">
        <f>D50*D51*O25</f>
        <v>115200000</v>
      </c>
    </row>
    <row r="53" spans="2:15" x14ac:dyDescent="0.2">
      <c r="C53" s="2" t="s">
        <v>24</v>
      </c>
      <c r="D53" s="16">
        <v>100000000</v>
      </c>
    </row>
    <row r="54" spans="2:15" x14ac:dyDescent="0.2">
      <c r="C54" s="10" t="s">
        <v>25</v>
      </c>
      <c r="D54" s="26">
        <f>D53/(D51*O25)</f>
        <v>3472222.2222222225</v>
      </c>
    </row>
    <row r="55" spans="2:15" x14ac:dyDescent="0.2">
      <c r="C55" s="25"/>
      <c r="D55" s="25"/>
    </row>
    <row r="59" spans="2:15" x14ac:dyDescent="0.2">
      <c r="B59" s="18" t="s">
        <v>41</v>
      </c>
      <c r="C59" s="25"/>
      <c r="D59" s="25"/>
    </row>
    <row r="60" spans="2:15" x14ac:dyDescent="0.2">
      <c r="E60" s="25"/>
    </row>
    <row r="61" spans="2:15" ht="13.5" thickBot="1" x14ac:dyDescent="0.25">
      <c r="C61" s="22" t="s">
        <v>42</v>
      </c>
      <c r="D61" s="8"/>
      <c r="E61" s="25"/>
    </row>
    <row r="62" spans="2:15" ht="13.5" thickTop="1" x14ac:dyDescent="0.2">
      <c r="C62" s="3"/>
      <c r="E62" s="25"/>
    </row>
    <row r="63" spans="2:15" x14ac:dyDescent="0.2">
      <c r="C63" s="2" t="s">
        <v>35</v>
      </c>
      <c r="E63" s="25"/>
    </row>
    <row r="64" spans="2:15" x14ac:dyDescent="0.2">
      <c r="C64" s="2" t="s">
        <v>36</v>
      </c>
      <c r="E64" s="25"/>
    </row>
    <row r="65" spans="3:5" x14ac:dyDescent="0.2">
      <c r="E65" s="25"/>
    </row>
    <row r="66" spans="3:5" x14ac:dyDescent="0.2">
      <c r="C66" s="2" t="s">
        <v>38</v>
      </c>
      <c r="E66" s="25"/>
    </row>
    <row r="67" spans="3:5" x14ac:dyDescent="0.2">
      <c r="C67" s="2" t="s">
        <v>37</v>
      </c>
      <c r="E67" s="25"/>
    </row>
    <row r="68" spans="3:5" x14ac:dyDescent="0.2">
      <c r="E68" s="25"/>
    </row>
    <row r="69" spans="3:5" x14ac:dyDescent="0.2">
      <c r="C69" s="2" t="s">
        <v>39</v>
      </c>
      <c r="E69" s="25"/>
    </row>
    <row r="70" spans="3:5" x14ac:dyDescent="0.2">
      <c r="C70" s="2" t="s">
        <v>40</v>
      </c>
      <c r="E70" s="25"/>
    </row>
    <row r="71" spans="3:5" x14ac:dyDescent="0.2">
      <c r="C71" s="7"/>
      <c r="D71" s="7"/>
      <c r="E71" s="25"/>
    </row>
    <row r="72" spans="3:5" x14ac:dyDescent="0.2">
      <c r="E72" s="25"/>
    </row>
    <row r="73" spans="3:5" x14ac:dyDescent="0.2">
      <c r="E73" s="25"/>
    </row>
    <row r="74" spans="3:5" x14ac:dyDescent="0.2">
      <c r="E74" s="25"/>
    </row>
  </sheetData>
  <mergeCells count="1">
    <mergeCell ref="E26:F26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lpederse</dc:creator>
  <cp:lastModifiedBy>SH</cp:lastModifiedBy>
  <cp:lastPrinted>2014-11-05T08:14:39Z</cp:lastPrinted>
  <dcterms:created xsi:type="dcterms:W3CDTF">2002-04-22T14:13:59Z</dcterms:created>
  <dcterms:modified xsi:type="dcterms:W3CDTF">2014-11-12T15:54:30Z</dcterms:modified>
</cp:coreProperties>
</file>