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g/Desktop/"/>
    </mc:Choice>
  </mc:AlternateContent>
  <xr:revisionPtr revIDLastSave="0" documentId="13_ncr:1_{DB39361A-659D-C34D-A429-29F56F1AD1CC}" xr6:coauthVersionLast="45" xr6:coauthVersionMax="45" xr10:uidLastSave="{00000000-0000-0000-0000-000000000000}"/>
  <bookViews>
    <workbookView xWindow="3180" yWindow="3080" windowWidth="28360" windowHeight="16300" xr2:uid="{CA819EBF-2158-794F-B7B7-455BE00EE51D}"/>
  </bookViews>
  <sheets>
    <sheet name="Sheet1" sheetId="16" r:id="rId1"/>
    <sheet name="Alveolar Ventilation" sheetId="8" r:id="rId2"/>
    <sheet name="Alveolar gas Equation" sheetId="1" r:id="rId3"/>
    <sheet name="Compliance" sheetId="12" r:id="rId4"/>
    <sheet name="Surface Tension" sheetId="14" r:id="rId5"/>
    <sheet name="Dead Space" sheetId="13" r:id="rId6"/>
    <sheet name="O2 saturation" sheetId="9" r:id="rId7"/>
    <sheet name="Fick's law of Diffusion" sheetId="10" r:id="rId8"/>
    <sheet name="PVR" sheetId="2" r:id="rId9"/>
    <sheet name="Starling's law" sheetId="4" r:id="rId10"/>
    <sheet name="Vascular Resistance" sheetId="7" r:id="rId11"/>
    <sheet name="Fick Principle" sheetId="3" r:id="rId12"/>
    <sheet name="Shunt" sheetId="5" r:id="rId13"/>
    <sheet name="Bits" sheetId="15" r:id="rId14"/>
    <sheet name="Notations" sheetId="11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1" l="1"/>
  <c r="J38" i="11"/>
  <c r="J37" i="11"/>
  <c r="G40" i="11"/>
  <c r="G38" i="11"/>
  <c r="C38" i="11"/>
  <c r="C36" i="11"/>
  <c r="C14" i="8"/>
  <c r="E9" i="8"/>
  <c r="E7" i="8"/>
  <c r="G7" i="8"/>
  <c r="F18" i="11" l="1"/>
  <c r="B24" i="11"/>
  <c r="F23" i="11"/>
  <c r="F24" i="11" s="1"/>
  <c r="D29" i="11"/>
  <c r="N22" i="11"/>
  <c r="N23" i="11" s="1"/>
  <c r="N24" i="11" s="1"/>
  <c r="N25" i="11" s="1"/>
  <c r="F17" i="11"/>
  <c r="F16" i="11"/>
  <c r="C19" i="14" l="1"/>
  <c r="C18" i="14"/>
  <c r="C17" i="14"/>
  <c r="E69" i="1" l="1"/>
  <c r="E68" i="1"/>
  <c r="I34" i="1"/>
  <c r="I14" i="1"/>
  <c r="E74" i="1"/>
  <c r="H34" i="1"/>
  <c r="E40" i="1"/>
  <c r="D28" i="9"/>
  <c r="G14" i="12" l="1"/>
  <c r="H11" i="12"/>
  <c r="E10" i="13"/>
  <c r="E12" i="12"/>
  <c r="D12" i="12"/>
  <c r="D22" i="9"/>
  <c r="E62" i="1" l="1"/>
  <c r="E57" i="1"/>
  <c r="E60" i="1" s="1"/>
  <c r="E45" i="1" l="1"/>
  <c r="E52" i="1"/>
  <c r="E50" i="1"/>
  <c r="D13" i="1"/>
  <c r="E29" i="5"/>
  <c r="H14" i="1"/>
  <c r="D26" i="10"/>
  <c r="H7" i="8" l="1"/>
  <c r="D7" i="8"/>
  <c r="C7" i="8"/>
  <c r="F12" i="7"/>
  <c r="C10" i="4"/>
  <c r="G8" i="3"/>
  <c r="D9" i="2"/>
  <c r="E44" i="1"/>
  <c r="E34" i="1"/>
  <c r="D24" i="1"/>
  <c r="D19" i="1"/>
  <c r="D16" i="1"/>
  <c r="E6" i="1"/>
  <c r="C9" i="8" l="1"/>
  <c r="D9" i="8"/>
  <c r="D26" i="1"/>
</calcChain>
</file>

<file path=xl/sharedStrings.xml><?xml version="1.0" encoding="utf-8"?>
<sst xmlns="http://schemas.openxmlformats.org/spreadsheetml/2006/main" count="191" uniqueCount="137">
  <si>
    <t>VT</t>
  </si>
  <si>
    <t>VD</t>
  </si>
  <si>
    <t>VA</t>
  </si>
  <si>
    <t>FiO2</t>
  </si>
  <si>
    <t>Pb</t>
  </si>
  <si>
    <t>PO2</t>
  </si>
  <si>
    <t>PH20</t>
  </si>
  <si>
    <t>PO2Trachea</t>
  </si>
  <si>
    <t>FiN2</t>
  </si>
  <si>
    <t>PN2Trachea</t>
  </si>
  <si>
    <t>R</t>
  </si>
  <si>
    <t>PAO2</t>
  </si>
  <si>
    <t>RQ</t>
  </si>
  <si>
    <t>PPA</t>
  </si>
  <si>
    <t>PLA</t>
  </si>
  <si>
    <t>Pulmonary Artery Pressure</t>
  </si>
  <si>
    <t>Left Atrium Pressure</t>
  </si>
  <si>
    <t>QT</t>
  </si>
  <si>
    <t>PVR</t>
  </si>
  <si>
    <t>PiO2 -PAC02/R</t>
  </si>
  <si>
    <t>[FiO2 x (Pb - PH2O)] - PAC02 /R</t>
  </si>
  <si>
    <t>Partial arterial pressuse of O2</t>
  </si>
  <si>
    <t xml:space="preserve">PaCO2 </t>
  </si>
  <si>
    <t xml:space="preserve">The partial pressure of O2 in the alveolus </t>
  </si>
  <si>
    <t>F</t>
  </si>
  <si>
    <t>Dead Space</t>
  </si>
  <si>
    <t>VTDoT</t>
  </si>
  <si>
    <t>VDDot</t>
  </si>
  <si>
    <t>VaDot</t>
  </si>
  <si>
    <t>mean pulmonary arterial pressure</t>
  </si>
  <si>
    <t>mean pulmonary venous pressure</t>
  </si>
  <si>
    <t>CO</t>
  </si>
  <si>
    <t>Fick Principle</t>
  </si>
  <si>
    <t>VO2 = Q (CaO2 - CVO2)</t>
  </si>
  <si>
    <t>CaCo2</t>
  </si>
  <si>
    <t>CVO2</t>
  </si>
  <si>
    <t>VO2</t>
  </si>
  <si>
    <t xml:space="preserve"> 20 x 100</t>
  </si>
  <si>
    <t>16 x 100</t>
  </si>
  <si>
    <t>Q in L/min</t>
  </si>
  <si>
    <t>Pc (mmHg)</t>
  </si>
  <si>
    <t>Pi (mmHg)</t>
  </si>
  <si>
    <t>net pressure moving fluid into capillaries
Starling's law</t>
  </si>
  <si>
    <t>PIO2</t>
  </si>
  <si>
    <t>PIO2= FiO2 x (760-47)</t>
  </si>
  <si>
    <t>FiO2 = PiO2/713</t>
  </si>
  <si>
    <t>PiO2</t>
  </si>
  <si>
    <t xml:space="preserve">FiO2 </t>
  </si>
  <si>
    <t>Cco2</t>
  </si>
  <si>
    <t>Cao2</t>
  </si>
  <si>
    <t>CVo2</t>
  </si>
  <si>
    <t>QS/QT</t>
  </si>
  <si>
    <t>vascular resistance</t>
  </si>
  <si>
    <t>Hb concentration g/ml</t>
  </si>
  <si>
    <t>Normal Hb concentration g/ml</t>
  </si>
  <si>
    <t>O2 capacity ml O2 100/ml</t>
  </si>
  <si>
    <t>VCO ml/min</t>
  </si>
  <si>
    <t>DLCO ml min-1 mm.Hg-1</t>
  </si>
  <si>
    <t>PACO mm. Hg</t>
  </si>
  <si>
    <t>PI I colloid so. int. fluid (mmHg)</t>
  </si>
  <si>
    <t>PI c  colloid os. p. (mmHg)</t>
  </si>
  <si>
    <t>Pwatervapor</t>
  </si>
  <si>
    <t>FiO2 x (Pb- Pwatervapor)</t>
  </si>
  <si>
    <t>CO2 unchanged PC02 inv. Propor. To PaCO2</t>
  </si>
  <si>
    <t>PIO2 = PalvO2 + PalvCO2/R</t>
  </si>
  <si>
    <t>PalvO2 = PIO2 - PalvCO2/R</t>
  </si>
  <si>
    <t>PalvCO2</t>
  </si>
  <si>
    <t>PalvO2</t>
  </si>
  <si>
    <t>PalvCO2/RQ</t>
  </si>
  <si>
    <t>Arterial con.</t>
  </si>
  <si>
    <t>Mixed venous blood con.</t>
  </si>
  <si>
    <t>PalvCO2 = R x (PiO2 - PalvO2)</t>
  </si>
  <si>
    <t>PiO2 = FiO2 x (Pb- Pwatervapor)</t>
  </si>
  <si>
    <t>Increase 28-21</t>
  </si>
  <si>
    <t>PO2 arterial O2 pressure</t>
  </si>
  <si>
    <t>PalvO2 - PO2</t>
  </si>
  <si>
    <t>Alveolar-Arterial difference</t>
  </si>
  <si>
    <t>Alveolar PO2</t>
  </si>
  <si>
    <t>PaO2</t>
  </si>
  <si>
    <t>Arterial PO2</t>
  </si>
  <si>
    <t>O2 saturation ml O2 100/ml</t>
  </si>
  <si>
    <t>K</t>
  </si>
  <si>
    <t>DP</t>
  </si>
  <si>
    <t>DV1</t>
  </si>
  <si>
    <t>CP</t>
  </si>
  <si>
    <t>Dead space</t>
  </si>
  <si>
    <t>f</t>
  </si>
  <si>
    <t>T</t>
  </si>
  <si>
    <t>surface tension</t>
  </si>
  <si>
    <t>P1</t>
  </si>
  <si>
    <t>P2</t>
  </si>
  <si>
    <t>RBC PCO2</t>
  </si>
  <si>
    <t>Plasma Bicar Conc</t>
  </si>
  <si>
    <t>Plasma PCO2</t>
  </si>
  <si>
    <t>RBC Bicar Conc</t>
  </si>
  <si>
    <t>RBC H+ conc</t>
  </si>
  <si>
    <t>Plasma H+ conc</t>
  </si>
  <si>
    <t>RBC carbamino con.</t>
  </si>
  <si>
    <t>Systemic venous blood</t>
  </si>
  <si>
    <t>Systemic arterial blood</t>
  </si>
  <si>
    <t>&gt;</t>
  </si>
  <si>
    <t>PO2 mm Hg</t>
  </si>
  <si>
    <t>dissolved O2 ml O2 100/ml</t>
  </si>
  <si>
    <t>O2 con. Leaving pulmonary capillaries</t>
  </si>
  <si>
    <t>PalvCO2 = R x (PIO2 - PalvO2)</t>
  </si>
  <si>
    <t>PalvO2 - PaO2</t>
  </si>
  <si>
    <t>PAO2 - PaO2</t>
  </si>
  <si>
    <t>T1</t>
  </si>
  <si>
    <t>T2</t>
  </si>
  <si>
    <t>r1</t>
  </si>
  <si>
    <t>r2</t>
  </si>
  <si>
    <t>P1/P2</t>
  </si>
  <si>
    <t># Total questions</t>
  </si>
  <si>
    <t>Total min</t>
  </si>
  <si>
    <t>Time per Q</t>
  </si>
  <si>
    <t>Arterial Pressure</t>
  </si>
  <si>
    <t>CVP</t>
  </si>
  <si>
    <t>diag</t>
  </si>
  <si>
    <t>sys</t>
  </si>
  <si>
    <t>MAP=CO * SVR</t>
  </si>
  <si>
    <t>R ~ 1/r^4</t>
  </si>
  <si>
    <t>r</t>
  </si>
  <si>
    <t>r^4</t>
  </si>
  <si>
    <t>1/r^4</t>
  </si>
  <si>
    <t>If first 16 questions in hour</t>
  </si>
  <si>
    <t>6 remaining questions</t>
  </si>
  <si>
    <t>O2 saturation</t>
  </si>
  <si>
    <t>O2 concentration ml O2/100 ml blood</t>
  </si>
  <si>
    <t>l</t>
  </si>
  <si>
    <t>d</t>
  </si>
  <si>
    <t>Anatomic dead space</t>
  </si>
  <si>
    <t>cubic inch to ml</t>
  </si>
  <si>
    <t>foot to inch</t>
  </si>
  <si>
    <t>l in feet</t>
  </si>
  <si>
    <t>l in inches</t>
  </si>
  <si>
    <t>r in inch</t>
  </si>
  <si>
    <t>in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</si>
</sst>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STIXMathJax_Mai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2</xdr:row>
      <xdr:rowOff>177800</xdr:rowOff>
    </xdr:from>
    <xdr:to>
      <xdr:col>3</xdr:col>
      <xdr:colOff>114300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AA8089-F4B7-014C-BD55-92994828C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584200"/>
          <a:ext cx="1739900" cy="63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317500</xdr:colOff>
      <xdr:row>1</xdr:row>
      <xdr:rowOff>127000</xdr:rowOff>
    </xdr:from>
    <xdr:to>
      <xdr:col>5</xdr:col>
      <xdr:colOff>203200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0F08D6-69E2-5A41-8D8D-CEF15ADDD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4000" y="330200"/>
          <a:ext cx="1536700" cy="520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444500</xdr:colOff>
      <xdr:row>1</xdr:row>
      <xdr:rowOff>25400</xdr:rowOff>
    </xdr:from>
    <xdr:to>
      <xdr:col>16</xdr:col>
      <xdr:colOff>228600</xdr:colOff>
      <xdr:row>9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4432D1-37B2-E942-BAD8-623C7CDFD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228600"/>
          <a:ext cx="6388100" cy="1612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787400</xdr:colOff>
      <xdr:row>2</xdr:row>
      <xdr:rowOff>190500</xdr:rowOff>
    </xdr:from>
    <xdr:to>
      <xdr:col>3</xdr:col>
      <xdr:colOff>482600</xdr:colOff>
      <xdr:row>7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EA4768-E928-DB46-AECB-5F07856E9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400" y="596900"/>
          <a:ext cx="3378200" cy="83820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13</xdr:row>
      <xdr:rowOff>165100</xdr:rowOff>
    </xdr:from>
    <xdr:to>
      <xdr:col>7</xdr:col>
      <xdr:colOff>736600</xdr:colOff>
      <xdr:row>17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DB677CE-5EE4-AF4C-BD26-8D4329FD4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7100" y="2806700"/>
          <a:ext cx="2984500" cy="762000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</xdr:colOff>
      <xdr:row>11</xdr:row>
      <xdr:rowOff>26746</xdr:rowOff>
    </xdr:from>
    <xdr:to>
      <xdr:col>13</xdr:col>
      <xdr:colOff>368300</xdr:colOff>
      <xdr:row>21</xdr:row>
      <xdr:rowOff>168148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66FEE7-5A50-E54D-9DB5-3A4904A74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61300" y="2261946"/>
          <a:ext cx="4445000" cy="21734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</xdr:colOff>
      <xdr:row>1</xdr:row>
      <xdr:rowOff>152400</xdr:rowOff>
    </xdr:from>
    <xdr:to>
      <xdr:col>6</xdr:col>
      <xdr:colOff>0</xdr:colOff>
      <xdr:row>10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C13238-2CAB-4A4D-9E1F-AE63B0C6D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1900" y="355600"/>
          <a:ext cx="2451100" cy="18034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</xdr:row>
      <xdr:rowOff>127000</xdr:rowOff>
    </xdr:from>
    <xdr:to>
      <xdr:col>7</xdr:col>
      <xdr:colOff>12700</xdr:colOff>
      <xdr:row>18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811FB4-FF81-C842-8BA0-F71F95B73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01900" y="2565400"/>
          <a:ext cx="3289300" cy="1193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355600</xdr:colOff>
      <xdr:row>3</xdr:row>
      <xdr:rowOff>152400</xdr:rowOff>
    </xdr:from>
    <xdr:to>
      <xdr:col>9</xdr:col>
      <xdr:colOff>266700</xdr:colOff>
      <xdr:row>6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2019C6-59D5-CD40-87D9-0C3D24006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3300" y="762000"/>
          <a:ext cx="4038600" cy="520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736600</xdr:colOff>
      <xdr:row>3</xdr:row>
      <xdr:rowOff>25400</xdr:rowOff>
    </xdr:from>
    <xdr:to>
      <xdr:col>8</xdr:col>
      <xdr:colOff>50800</xdr:colOff>
      <xdr:row>20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FC5C0B-0AA3-CD42-95B7-B0367E57A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" y="635000"/>
          <a:ext cx="762000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DEF4-1F93-7341-8E7B-69AA307F978A}">
  <dimension ref="A1"/>
  <sheetViews>
    <sheetView tabSelected="1" workbookViewId="0"/>
  </sheetViews>
  <sheetFormatPr baseColWidth="10" defaultRowHeight="16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7C0AF-4255-3D4F-9C01-C34DC3E16E15}">
  <dimension ref="B6:D11"/>
  <sheetViews>
    <sheetView workbookViewId="0">
      <selection activeCell="C10" sqref="C10"/>
    </sheetView>
  </sheetViews>
  <sheetFormatPr baseColWidth="10" defaultRowHeight="16"/>
  <cols>
    <col min="2" max="2" width="26" bestFit="1" customWidth="1"/>
  </cols>
  <sheetData>
    <row r="6" spans="2:4">
      <c r="B6" s="1" t="s">
        <v>40</v>
      </c>
      <c r="C6" s="1">
        <v>3</v>
      </c>
      <c r="D6" s="1"/>
    </row>
    <row r="7" spans="2:4">
      <c r="B7" s="1" t="s">
        <v>41</v>
      </c>
      <c r="C7" s="1">
        <v>0</v>
      </c>
      <c r="D7" s="1"/>
    </row>
    <row r="8" spans="2:4">
      <c r="B8" s="1" t="s">
        <v>60</v>
      </c>
      <c r="C8" s="1">
        <v>25</v>
      </c>
      <c r="D8" s="1"/>
    </row>
    <row r="9" spans="2:4">
      <c r="B9" s="1" t="s">
        <v>59</v>
      </c>
      <c r="C9" s="1">
        <v>5</v>
      </c>
      <c r="D9" s="1"/>
    </row>
    <row r="10" spans="2:4" ht="51">
      <c r="B10" s="2" t="s">
        <v>42</v>
      </c>
      <c r="C10" s="1">
        <f>(C8-C9) - (C6-C7)</f>
        <v>17</v>
      </c>
      <c r="D10" s="1"/>
    </row>
    <row r="11" spans="2:4">
      <c r="B11" s="1"/>
      <c r="C11" s="1"/>
      <c r="D11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9EB0-5317-7C4D-B9FC-625A76393019}">
  <dimension ref="B9:G13"/>
  <sheetViews>
    <sheetView workbookViewId="0">
      <selection activeCell="H24" sqref="H24"/>
    </sheetView>
  </sheetViews>
  <sheetFormatPr baseColWidth="10" defaultRowHeight="16"/>
  <sheetData>
    <row r="9" spans="2:7">
      <c r="B9" s="1"/>
      <c r="C9" s="1" t="s">
        <v>29</v>
      </c>
      <c r="D9" s="1"/>
      <c r="E9" s="1"/>
      <c r="F9" s="1">
        <v>55</v>
      </c>
      <c r="G9" s="1"/>
    </row>
    <row r="10" spans="2:7">
      <c r="B10" s="1"/>
      <c r="C10" s="1" t="s">
        <v>30</v>
      </c>
      <c r="D10" s="1"/>
      <c r="E10" s="1"/>
      <c r="F10" s="1">
        <v>5</v>
      </c>
      <c r="G10" s="1"/>
    </row>
    <row r="11" spans="2:7">
      <c r="B11" s="1"/>
      <c r="C11" s="1" t="s">
        <v>31</v>
      </c>
      <c r="D11" s="1"/>
      <c r="E11" s="1"/>
      <c r="F11" s="1">
        <v>3</v>
      </c>
      <c r="G11" s="1"/>
    </row>
    <row r="12" spans="2:7">
      <c r="B12" s="1"/>
      <c r="C12" s="1" t="s">
        <v>52</v>
      </c>
      <c r="D12" s="1"/>
      <c r="E12" s="1"/>
      <c r="F12" s="1">
        <f>(F9-F10)/F11</f>
        <v>16.666666666666668</v>
      </c>
      <c r="G12" s="1"/>
    </row>
    <row r="13" spans="2:7">
      <c r="B13" s="1"/>
      <c r="C13" s="1"/>
      <c r="D13" s="1"/>
      <c r="E13" s="1"/>
      <c r="F13" s="1"/>
      <c r="G1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5D5C-148E-4243-B29B-5D07D2064715}">
  <dimension ref="B4:G9"/>
  <sheetViews>
    <sheetView topLeftCell="A2" workbookViewId="0">
      <selection activeCell="F20" sqref="F20"/>
    </sheetView>
  </sheetViews>
  <sheetFormatPr baseColWidth="10" defaultRowHeight="16"/>
  <sheetData>
    <row r="4" spans="2:7">
      <c r="B4" s="1" t="s">
        <v>32</v>
      </c>
      <c r="C4" s="1"/>
      <c r="D4" s="1"/>
      <c r="E4" s="1"/>
      <c r="F4" s="1"/>
      <c r="G4" s="1"/>
    </row>
    <row r="5" spans="2:7">
      <c r="B5" s="1" t="s">
        <v>33</v>
      </c>
      <c r="C5" s="1"/>
      <c r="D5" s="1"/>
      <c r="E5" s="1" t="s">
        <v>34</v>
      </c>
      <c r="F5" s="1" t="s">
        <v>37</v>
      </c>
      <c r="G5" s="1">
        <v>200</v>
      </c>
    </row>
    <row r="6" spans="2:7">
      <c r="B6" s="1"/>
      <c r="C6" s="1"/>
      <c r="D6" s="1"/>
      <c r="E6" s="1" t="s">
        <v>35</v>
      </c>
      <c r="F6" s="1" t="s">
        <v>38</v>
      </c>
      <c r="G6" s="1">
        <v>160</v>
      </c>
    </row>
    <row r="7" spans="2:7">
      <c r="B7" s="1"/>
      <c r="C7" s="1"/>
      <c r="D7" s="1"/>
      <c r="E7" s="1" t="s">
        <v>36</v>
      </c>
      <c r="F7" s="1">
        <v>300</v>
      </c>
      <c r="G7" s="1"/>
    </row>
    <row r="8" spans="2:7">
      <c r="B8" s="1"/>
      <c r="C8" s="1"/>
      <c r="D8" s="1"/>
      <c r="E8" s="1" t="s">
        <v>39</v>
      </c>
      <c r="F8" s="1"/>
      <c r="G8" s="1">
        <f>F7/(G5-G6)</f>
        <v>7.5</v>
      </c>
    </row>
    <row r="9" spans="2:7">
      <c r="B9" s="1"/>
      <c r="C9" s="1"/>
      <c r="D9" s="1"/>
      <c r="E9" s="1"/>
      <c r="F9" s="1"/>
      <c r="G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5310E-8581-A047-A378-8190A3261148}">
  <dimension ref="B25:E29"/>
  <sheetViews>
    <sheetView workbookViewId="0">
      <selection activeCell="G25" sqref="G25:G27"/>
    </sheetView>
  </sheetViews>
  <sheetFormatPr baseColWidth="10" defaultRowHeight="16"/>
  <cols>
    <col min="2" max="2" width="33.1640625" bestFit="1" customWidth="1"/>
  </cols>
  <sheetData>
    <row r="25" spans="2:5">
      <c r="B25" t="s">
        <v>70</v>
      </c>
      <c r="D25" t="s">
        <v>48</v>
      </c>
      <c r="E25">
        <v>20</v>
      </c>
    </row>
    <row r="26" spans="2:5">
      <c r="B26" t="s">
        <v>69</v>
      </c>
      <c r="D26" t="s">
        <v>49</v>
      </c>
      <c r="E26">
        <v>18</v>
      </c>
    </row>
    <row r="27" spans="2:5">
      <c r="B27" t="s">
        <v>103</v>
      </c>
      <c r="D27" t="s">
        <v>50</v>
      </c>
      <c r="E27">
        <v>14</v>
      </c>
    </row>
    <row r="29" spans="2:5">
      <c r="D29" t="s">
        <v>51</v>
      </c>
      <c r="E29">
        <f>(E25-E26)/(E25-E27)</f>
        <v>0.33333333333333331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38F9-A37F-E64F-93FE-1AA970A66DE5}">
  <dimension ref="D5:G13"/>
  <sheetViews>
    <sheetView workbookViewId="0">
      <selection activeCell="F19" sqref="F19"/>
    </sheetView>
  </sheetViews>
  <sheetFormatPr baseColWidth="10" defaultRowHeight="16"/>
  <cols>
    <col min="6" max="6" width="21" customWidth="1"/>
  </cols>
  <sheetData>
    <row r="5" spans="4:7">
      <c r="D5" s="3" t="s">
        <v>98</v>
      </c>
      <c r="G5" s="3" t="s">
        <v>99</v>
      </c>
    </row>
    <row r="7" spans="4:7">
      <c r="D7" t="s">
        <v>93</v>
      </c>
      <c r="F7" t="s">
        <v>100</v>
      </c>
      <c r="G7" t="s">
        <v>93</v>
      </c>
    </row>
    <row r="8" spans="4:7">
      <c r="D8" t="s">
        <v>91</v>
      </c>
      <c r="F8" t="s">
        <v>100</v>
      </c>
      <c r="G8" t="s">
        <v>91</v>
      </c>
    </row>
    <row r="9" spans="4:7">
      <c r="D9" t="s">
        <v>92</v>
      </c>
      <c r="F9" t="s">
        <v>100</v>
      </c>
      <c r="G9" t="s">
        <v>92</v>
      </c>
    </row>
    <row r="10" spans="4:7">
      <c r="D10" t="s">
        <v>94</v>
      </c>
      <c r="F10" t="s">
        <v>100</v>
      </c>
      <c r="G10" t="s">
        <v>94</v>
      </c>
    </row>
    <row r="11" spans="4:7">
      <c r="D11" t="s">
        <v>96</v>
      </c>
      <c r="F11" t="s">
        <v>100</v>
      </c>
      <c r="G11" t="s">
        <v>96</v>
      </c>
    </row>
    <row r="12" spans="4:7">
      <c r="D12" t="s">
        <v>95</v>
      </c>
      <c r="F12" t="s">
        <v>100</v>
      </c>
      <c r="G12" t="s">
        <v>95</v>
      </c>
    </row>
    <row r="13" spans="4:7">
      <c r="D13" t="s">
        <v>97</v>
      </c>
      <c r="F13" t="s">
        <v>100</v>
      </c>
      <c r="G13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5A6F-9EB6-EB4F-BB4D-6B5CD95C25E0}">
  <dimension ref="B7:N42"/>
  <sheetViews>
    <sheetView topLeftCell="A14" workbookViewId="0">
      <selection activeCell="K43" sqref="K43"/>
    </sheetView>
  </sheetViews>
  <sheetFormatPr baseColWidth="10" defaultRowHeight="16"/>
  <cols>
    <col min="2" max="2" width="21.5" bestFit="1" customWidth="1"/>
  </cols>
  <sheetData>
    <row r="7" spans="3:6">
      <c r="C7" t="s">
        <v>11</v>
      </c>
      <c r="D7" t="s">
        <v>77</v>
      </c>
    </row>
    <row r="8" spans="3:6">
      <c r="C8" t="s">
        <v>78</v>
      </c>
      <c r="D8" t="s">
        <v>79</v>
      </c>
    </row>
    <row r="10" spans="3:6">
      <c r="D10" s="4" t="s">
        <v>112</v>
      </c>
      <c r="F10">
        <v>22</v>
      </c>
    </row>
    <row r="11" spans="3:6">
      <c r="D11" s="4" t="s">
        <v>113</v>
      </c>
      <c r="F11">
        <v>120</v>
      </c>
    </row>
    <row r="12" spans="3:6">
      <c r="D12" s="4"/>
      <c r="F12">
        <v>60</v>
      </c>
    </row>
    <row r="13" spans="3:6">
      <c r="D13" s="4"/>
    </row>
    <row r="14" spans="3:6">
      <c r="D14" s="4"/>
    </row>
    <row r="15" spans="3:6">
      <c r="D15" s="4"/>
    </row>
    <row r="16" spans="3:6">
      <c r="D16" s="4" t="s">
        <v>114</v>
      </c>
      <c r="F16">
        <f>F11/F10</f>
        <v>5.4545454545454541</v>
      </c>
    </row>
    <row r="17" spans="2:14">
      <c r="D17" s="4" t="s">
        <v>124</v>
      </c>
      <c r="F17">
        <f>F12/21</f>
        <v>2.8571428571428572</v>
      </c>
      <c r="I17" s="4" t="s">
        <v>31</v>
      </c>
    </row>
    <row r="18" spans="2:14">
      <c r="D18" s="4" t="s">
        <v>125</v>
      </c>
      <c r="F18">
        <f>F12/6</f>
        <v>10</v>
      </c>
      <c r="I18" s="4" t="s">
        <v>115</v>
      </c>
    </row>
    <row r="19" spans="2:14">
      <c r="I19" s="4" t="s">
        <v>116</v>
      </c>
      <c r="M19" t="s">
        <v>117</v>
      </c>
      <c r="N19">
        <v>81</v>
      </c>
    </row>
    <row r="20" spans="2:14">
      <c r="I20" s="4"/>
      <c r="M20" t="s">
        <v>118</v>
      </c>
      <c r="N20">
        <v>120</v>
      </c>
    </row>
    <row r="21" spans="2:14">
      <c r="I21" s="4"/>
    </row>
    <row r="22" spans="2:14">
      <c r="B22">
        <v>150</v>
      </c>
      <c r="E22" t="s">
        <v>121</v>
      </c>
      <c r="F22">
        <v>2</v>
      </c>
      <c r="I22" s="4" t="s">
        <v>119</v>
      </c>
      <c r="N22">
        <f>1/3</f>
        <v>0.33333333333333331</v>
      </c>
    </row>
    <row r="23" spans="2:14">
      <c r="B23">
        <v>70</v>
      </c>
      <c r="E23" t="s">
        <v>122</v>
      </c>
      <c r="F23">
        <f>F22^4</f>
        <v>16</v>
      </c>
      <c r="N23">
        <f>N22 * (N20-N19)</f>
        <v>13</v>
      </c>
    </row>
    <row r="24" spans="2:14">
      <c r="B24">
        <f>(B22-B23)/B22</f>
        <v>0.53333333333333333</v>
      </c>
      <c r="E24" t="s">
        <v>123</v>
      </c>
      <c r="F24">
        <f>1/F23</f>
        <v>6.25E-2</v>
      </c>
      <c r="N24">
        <f>N19+N23</f>
        <v>94</v>
      </c>
    </row>
    <row r="25" spans="2:14">
      <c r="N25">
        <f>N24/6</f>
        <v>15.666666666666666</v>
      </c>
    </row>
    <row r="29" spans="2:14">
      <c r="D29">
        <f>75/150</f>
        <v>0.5</v>
      </c>
      <c r="I29" s="4" t="s">
        <v>120</v>
      </c>
    </row>
    <row r="34" spans="2:10">
      <c r="B34" t="s">
        <v>128</v>
      </c>
      <c r="C34">
        <v>20</v>
      </c>
      <c r="E34" t="s">
        <v>131</v>
      </c>
      <c r="G34">
        <v>16.399999999999999</v>
      </c>
    </row>
    <row r="35" spans="2:10">
      <c r="B35" t="s">
        <v>129</v>
      </c>
      <c r="C35">
        <v>4</v>
      </c>
      <c r="E35" t="s">
        <v>132</v>
      </c>
      <c r="G35">
        <v>12</v>
      </c>
      <c r="I35" s="5"/>
      <c r="J35">
        <v>36</v>
      </c>
    </row>
    <row r="36" spans="2:10">
      <c r="B36" t="s">
        <v>121</v>
      </c>
      <c r="C36">
        <f>C35/2</f>
        <v>2</v>
      </c>
      <c r="J36">
        <v>1</v>
      </c>
    </row>
    <row r="37" spans="2:10">
      <c r="E37" t="s">
        <v>133</v>
      </c>
      <c r="G37">
        <v>3</v>
      </c>
      <c r="J37">
        <f>PI() * J35</f>
        <v>113.09733552923255</v>
      </c>
    </row>
    <row r="38" spans="2:10">
      <c r="B38" t="s">
        <v>130</v>
      </c>
      <c r="C38">
        <f>PI() * (C36^2) * C34</f>
        <v>251.32741228718345</v>
      </c>
      <c r="E38" t="s">
        <v>134</v>
      </c>
      <c r="G38">
        <f>G37*G35</f>
        <v>36</v>
      </c>
      <c r="J38">
        <f>J37*G34</f>
        <v>1854.7963026794137</v>
      </c>
    </row>
    <row r="39" spans="2:10">
      <c r="B39" t="s">
        <v>136</v>
      </c>
      <c r="E39" t="s">
        <v>135</v>
      </c>
      <c r="G39">
        <v>1</v>
      </c>
    </row>
    <row r="40" spans="2:10">
      <c r="E40" t="s">
        <v>130</v>
      </c>
      <c r="G40">
        <f>PI() * (G39^2) * G38*G34</f>
        <v>1854.7963026794137</v>
      </c>
    </row>
    <row r="41" spans="2:10">
      <c r="E41" t="s">
        <v>136</v>
      </c>
      <c r="I41">
        <v>150</v>
      </c>
    </row>
    <row r="42" spans="2:10">
      <c r="I42">
        <f>(J38 - I41)/I41</f>
        <v>11.365308684529424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8FA8-46E7-C347-9951-2B8EC3289259}">
  <dimension ref="B5:H14"/>
  <sheetViews>
    <sheetView workbookViewId="0">
      <selection activeCell="C15" sqref="C15"/>
    </sheetView>
  </sheetViews>
  <sheetFormatPr baseColWidth="10" defaultRowHeight="16"/>
  <sheetData>
    <row r="5" spans="2:8">
      <c r="B5" s="1" t="s">
        <v>0</v>
      </c>
      <c r="C5" s="1">
        <v>500</v>
      </c>
      <c r="D5" s="1">
        <v>500</v>
      </c>
      <c r="E5" s="1">
        <v>500</v>
      </c>
      <c r="F5" s="1" t="s">
        <v>25</v>
      </c>
      <c r="G5" s="1">
        <v>150</v>
      </c>
      <c r="H5" s="1"/>
    </row>
    <row r="6" spans="2:8">
      <c r="B6" s="1" t="s">
        <v>24</v>
      </c>
      <c r="C6" s="1">
        <v>12</v>
      </c>
      <c r="D6" s="1">
        <v>16</v>
      </c>
      <c r="E6" s="1">
        <v>16</v>
      </c>
      <c r="F6" s="1"/>
      <c r="G6" s="1"/>
      <c r="H6" s="1"/>
    </row>
    <row r="7" spans="2:8">
      <c r="B7" s="1" t="s">
        <v>26</v>
      </c>
      <c r="C7" s="1">
        <f>C5*C6</f>
        <v>6000</v>
      </c>
      <c r="D7" s="1">
        <f>D5*D6</f>
        <v>8000</v>
      </c>
      <c r="E7" s="1">
        <f>E5*E6</f>
        <v>8000</v>
      </c>
      <c r="F7" s="1" t="s">
        <v>27</v>
      </c>
      <c r="G7" s="1">
        <f>G5*C6</f>
        <v>1800</v>
      </c>
      <c r="H7" s="1">
        <f>G5*D6</f>
        <v>2400</v>
      </c>
    </row>
    <row r="8" spans="2:8">
      <c r="B8" s="1"/>
      <c r="C8" s="1"/>
      <c r="D8" s="1"/>
      <c r="E8" s="1"/>
      <c r="F8" s="1"/>
      <c r="G8" s="1"/>
      <c r="H8" s="1"/>
    </row>
    <row r="9" spans="2:8">
      <c r="B9" s="1" t="s">
        <v>28</v>
      </c>
      <c r="C9" s="1">
        <f>C7-G7</f>
        <v>4200</v>
      </c>
      <c r="D9" s="1">
        <f>D7-H7</f>
        <v>5600</v>
      </c>
      <c r="E9" s="1">
        <f>E7-I7</f>
        <v>8000</v>
      </c>
      <c r="F9" s="1"/>
      <c r="G9" s="1"/>
      <c r="H9" s="1"/>
    </row>
    <row r="10" spans="2:8">
      <c r="B10" s="1"/>
      <c r="C10" s="1"/>
      <c r="D10" s="1"/>
      <c r="E10" s="1"/>
      <c r="F10" s="1"/>
      <c r="G10" s="1"/>
      <c r="H10" s="1"/>
    </row>
    <row r="14" spans="2:8">
      <c r="C14">
        <f>350*16</f>
        <v>5600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06C7-FF86-9340-8F75-B5BC71912AAE}">
  <dimension ref="C6:I74"/>
  <sheetViews>
    <sheetView zoomScale="83" workbookViewId="0">
      <selection activeCell="H14" sqref="H14"/>
    </sheetView>
  </sheetViews>
  <sheetFormatPr baseColWidth="10" defaultRowHeight="16"/>
  <cols>
    <col min="1" max="2" width="10.83203125" style="1"/>
    <col min="3" max="3" width="50" style="1" customWidth="1"/>
    <col min="4" max="4" width="32.5" style="1" bestFit="1" customWidth="1"/>
    <col min="5" max="6" width="10.83203125" style="1"/>
    <col min="7" max="7" width="25" style="1" bestFit="1" customWidth="1"/>
    <col min="8" max="8" width="10.83203125" style="1"/>
    <col min="9" max="9" width="18" style="1" customWidth="1"/>
    <col min="10" max="10" width="9.6640625" style="1" bestFit="1" customWidth="1"/>
    <col min="11" max="11" width="5" style="1" bestFit="1" customWidth="1"/>
    <col min="12" max="12" width="10.83203125" style="1"/>
    <col min="13" max="13" width="13.33203125" style="1" bestFit="1" customWidth="1"/>
    <col min="14" max="14" width="27.5" style="1" bestFit="1" customWidth="1"/>
    <col min="15" max="16384" width="10.83203125" style="1"/>
  </cols>
  <sheetData>
    <row r="6" spans="3:9">
      <c r="D6" s="1" t="s">
        <v>0</v>
      </c>
      <c r="E6" s="1">
        <f>E7+E8</f>
        <v>500</v>
      </c>
    </row>
    <row r="7" spans="3:9">
      <c r="D7" s="1" t="s">
        <v>1</v>
      </c>
      <c r="E7" s="1">
        <v>125</v>
      </c>
    </row>
    <row r="8" spans="3:9">
      <c r="D8" s="1" t="s">
        <v>2</v>
      </c>
      <c r="E8" s="1">
        <v>375</v>
      </c>
    </row>
    <row r="11" spans="3:9">
      <c r="C11" s="1" t="s">
        <v>4</v>
      </c>
      <c r="D11" s="1">
        <v>585</v>
      </c>
      <c r="G11" s="1" t="s">
        <v>4</v>
      </c>
      <c r="H11" s="1">
        <v>585</v>
      </c>
      <c r="I11" s="1">
        <v>247</v>
      </c>
    </row>
    <row r="12" spans="3:9">
      <c r="C12" s="1" t="s">
        <v>3</v>
      </c>
      <c r="D12" s="1">
        <v>0.21</v>
      </c>
      <c r="G12" s="1" t="s">
        <v>3</v>
      </c>
      <c r="H12" s="1">
        <v>0.21</v>
      </c>
      <c r="I12" s="1">
        <v>0.21</v>
      </c>
    </row>
    <row r="13" spans="3:9">
      <c r="C13" s="1" t="s">
        <v>5</v>
      </c>
      <c r="D13" s="1">
        <f>D12 * D11</f>
        <v>122.85</v>
      </c>
      <c r="G13" s="1" t="s">
        <v>61</v>
      </c>
      <c r="H13" s="1">
        <v>47</v>
      </c>
      <c r="I13" s="1">
        <v>47</v>
      </c>
    </row>
    <row r="14" spans="3:9">
      <c r="G14" s="1" t="s">
        <v>62</v>
      </c>
      <c r="H14" s="1">
        <f>H12*(H11-H13)</f>
        <v>112.97999999999999</v>
      </c>
      <c r="I14" s="1">
        <f>I12*(I11-I13)</f>
        <v>42</v>
      </c>
    </row>
    <row r="15" spans="3:9">
      <c r="C15" s="1" t="s">
        <v>6</v>
      </c>
      <c r="D15" s="1">
        <v>47</v>
      </c>
    </row>
    <row r="16" spans="3:9">
      <c r="C16" s="1" t="s">
        <v>7</v>
      </c>
      <c r="D16" s="1">
        <f>(D11-D15) * D12</f>
        <v>112.97999999999999</v>
      </c>
    </row>
    <row r="18" spans="3:9">
      <c r="C18" s="1" t="s">
        <v>8</v>
      </c>
      <c r="D18" s="1">
        <v>0.79</v>
      </c>
    </row>
    <row r="19" spans="3:9">
      <c r="C19" s="1" t="s">
        <v>9</v>
      </c>
      <c r="D19" s="1">
        <f>(D11-D15) * D18</f>
        <v>425.02000000000004</v>
      </c>
    </row>
    <row r="21" spans="3:9">
      <c r="C21" s="1" t="s">
        <v>12</v>
      </c>
      <c r="D21" s="1">
        <v>0.8</v>
      </c>
    </row>
    <row r="23" spans="3:9">
      <c r="C23" s="1" t="s">
        <v>66</v>
      </c>
      <c r="D23" s="1">
        <v>40</v>
      </c>
    </row>
    <row r="24" spans="3:9">
      <c r="C24" s="1" t="s">
        <v>68</v>
      </c>
      <c r="D24" s="1">
        <f>D23/D21</f>
        <v>50</v>
      </c>
    </row>
    <row r="26" spans="3:9">
      <c r="C26" s="1" t="s">
        <v>5</v>
      </c>
      <c r="D26" s="1">
        <f>D16-D24</f>
        <v>62.97999999999999</v>
      </c>
    </row>
    <row r="31" spans="3:9">
      <c r="C31" s="1" t="s">
        <v>65</v>
      </c>
      <c r="D31" s="1" t="s">
        <v>10</v>
      </c>
      <c r="E31" s="1">
        <v>0.8</v>
      </c>
      <c r="G31" s="1" t="s">
        <v>10</v>
      </c>
      <c r="H31" s="1">
        <v>0.8</v>
      </c>
      <c r="I31" s="1">
        <v>0.8</v>
      </c>
    </row>
    <row r="32" spans="3:9">
      <c r="C32" s="1" t="s">
        <v>63</v>
      </c>
      <c r="D32" s="1" t="s">
        <v>66</v>
      </c>
      <c r="E32" s="1">
        <v>40</v>
      </c>
      <c r="G32" s="1" t="s">
        <v>66</v>
      </c>
      <c r="H32" s="1">
        <v>80</v>
      </c>
      <c r="I32" s="1">
        <v>48</v>
      </c>
    </row>
    <row r="33" spans="3:9">
      <c r="D33" s="1" t="s">
        <v>43</v>
      </c>
      <c r="E33" s="1">
        <v>149</v>
      </c>
      <c r="G33" s="1" t="s">
        <v>43</v>
      </c>
      <c r="H33" s="1">
        <v>149</v>
      </c>
      <c r="I33" s="1">
        <v>149</v>
      </c>
    </row>
    <row r="34" spans="3:9">
      <c r="D34" s="1" t="s">
        <v>67</v>
      </c>
      <c r="E34" s="1">
        <f xml:space="preserve"> E33 - E32/E31</f>
        <v>99</v>
      </c>
      <c r="G34" s="1" t="s">
        <v>67</v>
      </c>
      <c r="H34" s="1">
        <f xml:space="preserve"> H33 - H32/H31</f>
        <v>49</v>
      </c>
      <c r="I34" s="1">
        <f xml:space="preserve"> I33 - I32/I31</f>
        <v>89</v>
      </c>
    </row>
    <row r="40" spans="3:9">
      <c r="C40" s="1" t="s">
        <v>64</v>
      </c>
      <c r="D40" s="1" t="s">
        <v>64</v>
      </c>
      <c r="E40" s="1">
        <f>E34+H32/H31</f>
        <v>199</v>
      </c>
    </row>
    <row r="41" spans="3:9">
      <c r="D41" s="1" t="s">
        <v>44</v>
      </c>
    </row>
    <row r="42" spans="3:9">
      <c r="D42" s="1" t="s">
        <v>45</v>
      </c>
    </row>
    <row r="43" spans="3:9">
      <c r="D43" s="1" t="s">
        <v>46</v>
      </c>
      <c r="E43" s="1">
        <v>200</v>
      </c>
    </row>
    <row r="44" spans="3:9">
      <c r="D44" s="1" t="s">
        <v>47</v>
      </c>
      <c r="E44" s="1">
        <f>E43/713</f>
        <v>0.28050490883590462</v>
      </c>
    </row>
    <row r="45" spans="3:9">
      <c r="D45" s="1" t="s">
        <v>73</v>
      </c>
      <c r="E45" s="1">
        <f>28-21</f>
        <v>7</v>
      </c>
    </row>
    <row r="47" spans="3:9">
      <c r="C47" s="1" t="s">
        <v>71</v>
      </c>
      <c r="D47" s="1" t="s">
        <v>4</v>
      </c>
      <c r="E47" s="1">
        <v>247</v>
      </c>
    </row>
    <row r="48" spans="3:9">
      <c r="D48" s="1" t="s">
        <v>3</v>
      </c>
      <c r="E48" s="1">
        <v>0.21</v>
      </c>
    </row>
    <row r="49" spans="3:5">
      <c r="D49" s="1" t="s">
        <v>61</v>
      </c>
      <c r="E49" s="1">
        <v>47</v>
      </c>
    </row>
    <row r="50" spans="3:5">
      <c r="D50" s="1" t="s">
        <v>72</v>
      </c>
      <c r="E50" s="1">
        <f>E48*(E47-E49)</f>
        <v>42</v>
      </c>
    </row>
    <row r="51" spans="3:5">
      <c r="D51" s="1" t="s">
        <v>67</v>
      </c>
      <c r="E51" s="1">
        <v>34</v>
      </c>
    </row>
    <row r="52" spans="3:5">
      <c r="D52" s="1" t="s">
        <v>66</v>
      </c>
      <c r="E52" s="1">
        <f>E50-E51</f>
        <v>8</v>
      </c>
    </row>
    <row r="54" spans="3:5">
      <c r="C54" s="1" t="s">
        <v>65</v>
      </c>
      <c r="D54" s="1" t="s">
        <v>4</v>
      </c>
      <c r="E54" s="1">
        <v>760</v>
      </c>
    </row>
    <row r="55" spans="3:5">
      <c r="D55" s="1" t="s">
        <v>3</v>
      </c>
      <c r="E55" s="1">
        <v>0.21</v>
      </c>
    </row>
    <row r="56" spans="3:5">
      <c r="D56" s="1" t="s">
        <v>61</v>
      </c>
      <c r="E56" s="1">
        <v>47</v>
      </c>
    </row>
    <row r="57" spans="3:5">
      <c r="D57" s="1" t="s">
        <v>72</v>
      </c>
      <c r="E57" s="1">
        <f>E55*(E54-E56)</f>
        <v>149.72999999999999</v>
      </c>
    </row>
    <row r="58" spans="3:5">
      <c r="D58" s="1" t="s">
        <v>10</v>
      </c>
      <c r="E58" s="1">
        <v>0.8</v>
      </c>
    </row>
    <row r="59" spans="3:5">
      <c r="D59" s="1" t="s">
        <v>66</v>
      </c>
      <c r="E59" s="1">
        <v>48</v>
      </c>
    </row>
    <row r="60" spans="3:5">
      <c r="D60" s="1" t="s">
        <v>67</v>
      </c>
      <c r="E60" s="1">
        <f>E57-(E59/E58)</f>
        <v>89.72999999999999</v>
      </c>
    </row>
    <row r="61" spans="3:5">
      <c r="D61" s="1" t="s">
        <v>74</v>
      </c>
      <c r="E61" s="1">
        <v>49</v>
      </c>
    </row>
    <row r="62" spans="3:5">
      <c r="D62" s="1" t="s">
        <v>75</v>
      </c>
      <c r="E62" s="1">
        <f>E60-E61</f>
        <v>40.72999999999999</v>
      </c>
    </row>
    <row r="66" spans="3:5">
      <c r="D66" s="1" t="s">
        <v>67</v>
      </c>
      <c r="E66" s="1">
        <v>89</v>
      </c>
    </row>
    <row r="67" spans="3:5">
      <c r="D67" s="1" t="s">
        <v>78</v>
      </c>
      <c r="E67" s="1">
        <v>49</v>
      </c>
    </row>
    <row r="68" spans="3:5">
      <c r="C68" s="1" t="s">
        <v>76</v>
      </c>
      <c r="D68" s="1" t="s">
        <v>105</v>
      </c>
      <c r="E68" s="1">
        <f>E66-E67</f>
        <v>40</v>
      </c>
    </row>
    <row r="69" spans="3:5">
      <c r="D69" s="1" t="s">
        <v>106</v>
      </c>
      <c r="E69" s="1">
        <f>E66-E67</f>
        <v>40</v>
      </c>
    </row>
    <row r="71" spans="3:5">
      <c r="C71" s="1" t="s">
        <v>104</v>
      </c>
      <c r="D71" s="1" t="s">
        <v>43</v>
      </c>
      <c r="E71" s="1">
        <v>42</v>
      </c>
    </row>
    <row r="72" spans="3:5">
      <c r="D72" s="1" t="s">
        <v>67</v>
      </c>
      <c r="E72" s="1">
        <v>34</v>
      </c>
    </row>
    <row r="73" spans="3:5">
      <c r="D73" s="1" t="s">
        <v>10</v>
      </c>
      <c r="E73" s="1">
        <v>1</v>
      </c>
    </row>
    <row r="74" spans="3:5">
      <c r="E74" s="1">
        <f>E73*(E71-E72)</f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483B7-DBCC-BF42-BAF7-E0254CBA033F}">
  <dimension ref="C9:H14"/>
  <sheetViews>
    <sheetView topLeftCell="C3" workbookViewId="0">
      <selection activeCell="C23" sqref="C23"/>
    </sheetView>
  </sheetViews>
  <sheetFormatPr baseColWidth="10" defaultRowHeight="16"/>
  <sheetData>
    <row r="9" spans="3:8">
      <c r="C9" t="s">
        <v>82</v>
      </c>
      <c r="D9">
        <v>3</v>
      </c>
      <c r="E9">
        <v>3</v>
      </c>
      <c r="G9" t="s">
        <v>89</v>
      </c>
      <c r="H9">
        <v>4</v>
      </c>
    </row>
    <row r="10" spans="3:8">
      <c r="C10" t="s">
        <v>83</v>
      </c>
      <c r="D10">
        <v>500</v>
      </c>
      <c r="E10">
        <v>200</v>
      </c>
      <c r="G10" t="s">
        <v>90</v>
      </c>
      <c r="H10">
        <v>8</v>
      </c>
    </row>
    <row r="11" spans="3:8">
      <c r="G11" t="s">
        <v>82</v>
      </c>
      <c r="H11">
        <f>H10-H9</f>
        <v>4</v>
      </c>
    </row>
    <row r="12" spans="3:8">
      <c r="C12" t="s">
        <v>84</v>
      </c>
      <c r="D12">
        <f>D10/D9</f>
        <v>166.66666666666666</v>
      </c>
      <c r="E12">
        <f>E10/E9</f>
        <v>66.666666666666671</v>
      </c>
      <c r="H12">
        <v>0.8</v>
      </c>
    </row>
    <row r="14" spans="3:8">
      <c r="F14" t="s">
        <v>84</v>
      </c>
      <c r="G14">
        <f>H12/H11</f>
        <v>0.2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55FC-D097-3B42-BCC3-E580BEBE6290}">
  <dimension ref="B6:D19"/>
  <sheetViews>
    <sheetView workbookViewId="0">
      <selection activeCell="C20" sqref="C20"/>
    </sheetView>
  </sheetViews>
  <sheetFormatPr baseColWidth="10" defaultRowHeight="16"/>
  <sheetData>
    <row r="6" spans="2:4">
      <c r="C6" t="s">
        <v>87</v>
      </c>
      <c r="D6" t="s">
        <v>88</v>
      </c>
    </row>
    <row r="11" spans="2:4">
      <c r="B11" t="s">
        <v>107</v>
      </c>
      <c r="C11">
        <v>2</v>
      </c>
    </row>
    <row r="12" spans="2:4">
      <c r="B12" t="s">
        <v>108</v>
      </c>
      <c r="C12">
        <v>2</v>
      </c>
    </row>
    <row r="14" spans="2:4">
      <c r="B14" t="s">
        <v>109</v>
      </c>
      <c r="C14">
        <v>3</v>
      </c>
    </row>
    <row r="15" spans="2:4">
      <c r="B15" t="s">
        <v>110</v>
      </c>
      <c r="C15">
        <v>1</v>
      </c>
    </row>
    <row r="17" spans="2:3">
      <c r="B17" t="s">
        <v>89</v>
      </c>
      <c r="C17">
        <f>2*C11/C14</f>
        <v>1.3333333333333333</v>
      </c>
    </row>
    <row r="18" spans="2:3">
      <c r="B18" t="s">
        <v>90</v>
      </c>
      <c r="C18">
        <f>2*C12/C15</f>
        <v>4</v>
      </c>
    </row>
    <row r="19" spans="2:3">
      <c r="B19" t="s">
        <v>111</v>
      </c>
      <c r="C19">
        <f>C17/C18</f>
        <v>0.33333333333333331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D5EB-3E39-4C44-88EE-5C2F35643D46}">
  <dimension ref="D4:E10"/>
  <sheetViews>
    <sheetView workbookViewId="0">
      <selection activeCell="E11" sqref="E11"/>
    </sheetView>
  </sheetViews>
  <sheetFormatPr baseColWidth="10" defaultRowHeight="16"/>
  <sheetData>
    <row r="4" spans="4:5">
      <c r="D4" t="s">
        <v>86</v>
      </c>
      <c r="E4">
        <v>12</v>
      </c>
    </row>
    <row r="5" spans="4:5">
      <c r="D5" t="s">
        <v>0</v>
      </c>
      <c r="E5">
        <v>500</v>
      </c>
    </row>
    <row r="6" spans="4:5">
      <c r="D6" t="s">
        <v>2</v>
      </c>
      <c r="E6">
        <v>4200</v>
      </c>
    </row>
    <row r="10" spans="4:5">
      <c r="D10" t="s">
        <v>85</v>
      </c>
      <c r="E10">
        <f>(E5*E4) - E6</f>
        <v>1800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833F-2087-034A-9DA3-693D9AB3A625}">
  <dimension ref="B2:D28"/>
  <sheetViews>
    <sheetView topLeftCell="A4" workbookViewId="0">
      <selection activeCell="K28" sqref="K28"/>
    </sheetView>
  </sheetViews>
  <sheetFormatPr baseColWidth="10" defaultRowHeight="16"/>
  <cols>
    <col min="3" max="3" width="26.6640625" bestFit="1" customWidth="1"/>
  </cols>
  <sheetData>
    <row r="2" spans="2:4">
      <c r="B2" t="s">
        <v>126</v>
      </c>
    </row>
    <row r="10" spans="2:4">
      <c r="C10" t="s">
        <v>55</v>
      </c>
      <c r="D10">
        <v>20.8</v>
      </c>
    </row>
    <row r="11" spans="2:4">
      <c r="C11" t="s">
        <v>53</v>
      </c>
      <c r="D11">
        <v>10</v>
      </c>
    </row>
    <row r="12" spans="2:4">
      <c r="C12" t="s">
        <v>54</v>
      </c>
      <c r="D12">
        <v>15</v>
      </c>
    </row>
    <row r="13" spans="2:4">
      <c r="C13" t="s">
        <v>80</v>
      </c>
      <c r="D13">
        <v>97.5</v>
      </c>
    </row>
    <row r="16" spans="2:4">
      <c r="C16" t="s">
        <v>127</v>
      </c>
    </row>
    <row r="19" spans="3:4">
      <c r="C19" t="s">
        <v>5</v>
      </c>
      <c r="D19">
        <v>100</v>
      </c>
    </row>
    <row r="20" spans="3:4">
      <c r="D20">
        <v>3.0000000000000001E-3</v>
      </c>
    </row>
    <row r="21" spans="3:4">
      <c r="C21" t="s">
        <v>81</v>
      </c>
      <c r="D21">
        <v>1.36</v>
      </c>
    </row>
    <row r="22" spans="3:4">
      <c r="C22" t="s">
        <v>127</v>
      </c>
      <c r="D22">
        <f>D21  * D11 * D13/100 + D20 * D19</f>
        <v>13.560000000000002</v>
      </c>
    </row>
    <row r="26" spans="3:4">
      <c r="C26" t="s">
        <v>101</v>
      </c>
      <c r="D26">
        <v>2000</v>
      </c>
    </row>
    <row r="27" spans="3:4">
      <c r="D27">
        <v>3.0000000000000001E-3</v>
      </c>
    </row>
    <row r="28" spans="3:4">
      <c r="C28" t="s">
        <v>102</v>
      </c>
      <c r="D28">
        <f>D27*D26</f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2B46-EF54-FB49-B867-3986DFA70D02}">
  <dimension ref="C24:D26"/>
  <sheetViews>
    <sheetView workbookViewId="0">
      <selection activeCell="C12" sqref="C12"/>
    </sheetView>
  </sheetViews>
  <sheetFormatPr baseColWidth="10" defaultRowHeight="16"/>
  <cols>
    <col min="3" max="3" width="22" bestFit="1" customWidth="1"/>
  </cols>
  <sheetData>
    <row r="24" spans="3:4">
      <c r="C24" t="s">
        <v>56</v>
      </c>
      <c r="D24">
        <v>30</v>
      </c>
    </row>
    <row r="25" spans="3:4">
      <c r="C25" t="s">
        <v>58</v>
      </c>
      <c r="D25">
        <v>0.5</v>
      </c>
    </row>
    <row r="26" spans="3:4">
      <c r="C26" t="s">
        <v>57</v>
      </c>
      <c r="D26">
        <f>D24/D25</f>
        <v>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D9C3-21B7-B947-88EC-408506B8DFB6}">
  <dimension ref="B4:G16"/>
  <sheetViews>
    <sheetView workbookViewId="0">
      <selection activeCell="K22" sqref="K22"/>
    </sheetView>
  </sheetViews>
  <sheetFormatPr baseColWidth="10" defaultRowHeight="16"/>
  <sheetData>
    <row r="4" spans="2:7">
      <c r="B4" s="1" t="s">
        <v>15</v>
      </c>
      <c r="C4" s="1" t="s">
        <v>13</v>
      </c>
      <c r="D4" s="1">
        <v>14</v>
      </c>
      <c r="E4" s="1"/>
      <c r="F4" s="1"/>
      <c r="G4" s="1"/>
    </row>
    <row r="5" spans="2:7">
      <c r="B5" s="1" t="s">
        <v>16</v>
      </c>
      <c r="C5" s="1" t="s">
        <v>14</v>
      </c>
      <c r="D5" s="1">
        <v>8</v>
      </c>
      <c r="E5" s="1"/>
      <c r="F5" s="1"/>
      <c r="G5" s="1"/>
    </row>
    <row r="6" spans="2:7">
      <c r="B6" s="1"/>
      <c r="C6" s="1"/>
      <c r="D6" s="1"/>
      <c r="E6" s="1"/>
      <c r="F6" s="1"/>
      <c r="G6" s="1"/>
    </row>
    <row r="7" spans="2:7">
      <c r="B7" s="1"/>
      <c r="C7" s="1" t="s">
        <v>17</v>
      </c>
      <c r="D7" s="1">
        <v>6</v>
      </c>
      <c r="E7" s="1"/>
      <c r="F7" s="1"/>
      <c r="G7" s="1"/>
    </row>
    <row r="8" spans="2:7">
      <c r="B8" s="1"/>
      <c r="C8" s="1"/>
      <c r="D8" s="1"/>
      <c r="E8" s="1"/>
      <c r="F8" s="1"/>
      <c r="G8" s="1"/>
    </row>
    <row r="9" spans="2:7">
      <c r="B9" s="1"/>
      <c r="C9" s="1" t="s">
        <v>18</v>
      </c>
      <c r="D9" s="1">
        <f>(D4-D5)/D7</f>
        <v>1</v>
      </c>
      <c r="E9" s="1"/>
      <c r="F9" s="1"/>
      <c r="G9" s="1"/>
    </row>
    <row r="10" spans="2:7">
      <c r="B10" s="1"/>
      <c r="C10" s="1"/>
      <c r="D10" s="1"/>
      <c r="E10" s="1"/>
      <c r="F10" s="1"/>
      <c r="G10" s="1"/>
    </row>
    <row r="11" spans="2:7">
      <c r="B11" s="1"/>
      <c r="C11" s="1"/>
      <c r="D11" s="1"/>
      <c r="E11" s="1"/>
      <c r="F11" s="1"/>
      <c r="G11" s="1"/>
    </row>
    <row r="12" spans="2:7">
      <c r="B12" s="1"/>
      <c r="C12" s="1" t="s">
        <v>23</v>
      </c>
      <c r="D12" s="1" t="s">
        <v>11</v>
      </c>
      <c r="E12" s="1" t="s">
        <v>19</v>
      </c>
      <c r="F12" s="1" t="s">
        <v>20</v>
      </c>
      <c r="G12" s="1"/>
    </row>
    <row r="13" spans="2:7">
      <c r="B13" s="1"/>
      <c r="C13" s="1" t="s">
        <v>21</v>
      </c>
      <c r="D13" s="1" t="s">
        <v>22</v>
      </c>
      <c r="E13" s="1"/>
      <c r="F13" s="1"/>
      <c r="G13" s="1"/>
    </row>
    <row r="14" spans="2:7">
      <c r="B14" s="1"/>
      <c r="C14" s="1"/>
      <c r="D14" s="1"/>
      <c r="E14" s="1"/>
      <c r="F14" s="1"/>
      <c r="G14" s="1"/>
    </row>
    <row r="15" spans="2:7">
      <c r="B15" s="1"/>
      <c r="C15" s="1"/>
      <c r="D15" s="1"/>
      <c r="E15" s="1"/>
      <c r="F15" s="1"/>
      <c r="G15" s="1"/>
    </row>
    <row r="16" spans="2:7">
      <c r="B16" s="1"/>
      <c r="C16" s="1"/>
      <c r="D16" s="1"/>
      <c r="E16" s="1"/>
      <c r="F16" s="1"/>
      <c r="G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Alveolar Ventilation</vt:lpstr>
      <vt:lpstr>Alveolar gas Equation</vt:lpstr>
      <vt:lpstr>Compliance</vt:lpstr>
      <vt:lpstr>Surface Tension</vt:lpstr>
      <vt:lpstr>Dead Space</vt:lpstr>
      <vt:lpstr>O2 saturation</vt:lpstr>
      <vt:lpstr>Fick's law of Diffusion</vt:lpstr>
      <vt:lpstr>PVR</vt:lpstr>
      <vt:lpstr>Starling's law</vt:lpstr>
      <vt:lpstr>Vascular Resistance</vt:lpstr>
      <vt:lpstr>Fick Principle</vt:lpstr>
      <vt:lpstr>Shunt</vt:lpstr>
      <vt:lpstr>Bits</vt:lpstr>
      <vt:lpstr>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2020-11-21T16:25:20Z</dcterms:created>
  <dcterms:modified xsi:type="dcterms:W3CDTF">2020-12-13T03:57:14Z</dcterms:modified>
</cp:coreProperties>
</file>