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an/OneDrive/Part4/"/>
    </mc:Choice>
  </mc:AlternateContent>
  <xr:revisionPtr revIDLastSave="241" documentId="6_{78C42B84-79C8-BC43-82D6-CE88FFED992C}" xr6:coauthVersionLast="43" xr6:coauthVersionMax="43" xr10:uidLastSave="{F3F14E23-4103-0B4F-A260-1B04B3CFD492}"/>
  <bookViews>
    <workbookView xWindow="12920" yWindow="0" windowWidth="12680" windowHeight="16000" xr2:uid="{1EB6588F-939F-4B47-8A74-3E8945EA1653}"/>
  </bookViews>
  <sheets>
    <sheet name="Calculations" sheetId="1" r:id="rId1"/>
    <sheet name="Sheet4" sheetId="4" r:id="rId2"/>
  </sheets>
  <definedNames>
    <definedName name="Br_core">Sheet4!$B$6</definedName>
    <definedName name="connector_l">#REF!</definedName>
    <definedName name="core_B">#REF!</definedName>
    <definedName name="core_D">#REF!</definedName>
    <definedName name="core_l">#REF!</definedName>
    <definedName name="D_core">Sheet4!#REF!</definedName>
    <definedName name="D_tube_In">#REF!</definedName>
    <definedName name="D_tube_Out">#REF!</definedName>
    <definedName name="distance_rg2">Sheet4!$B$15</definedName>
    <definedName name="I_max">Sheet4!$B$10</definedName>
    <definedName name="l_connector">Sheet4!$B$12</definedName>
    <definedName name="l_core">Sheet4!$B$5</definedName>
    <definedName name="l_max_tube">Sheet4!$B$11</definedName>
    <definedName name="l_plunger">Sheet4!$B$13</definedName>
    <definedName name="max_I">#REF!</definedName>
    <definedName name="max_tube_l">#REF!</definedName>
    <definedName name="max_V">#REF!</definedName>
    <definedName name="r_core">Sheet4!$B$7</definedName>
    <definedName name="r_plunger">Sheet4!#REF!</definedName>
    <definedName name="r_shell_In">Sheet4!#REF!</definedName>
    <definedName name="r_shell_out">Sheet4!#REF!</definedName>
    <definedName name="r_tube_In">Sheet4!$B$3</definedName>
    <definedName name="r_tube_Out">Sheet4!$B$4</definedName>
    <definedName name="rho_wire">Sheet4!$B$8</definedName>
    <definedName name="thickness_shell">Sheet4!$B$14</definedName>
    <definedName name="tube_InD">#REF!</definedName>
    <definedName name="tube_OutD">#REF!</definedName>
    <definedName name="V_max">Sheet4!$B$9</definedName>
    <definedName name="wire_Resistivity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" l="1"/>
  <c r="B6" i="1"/>
  <c r="B3" i="1"/>
  <c r="B8" i="1" l="1"/>
  <c r="B73" i="1"/>
  <c r="B74" i="1" s="1"/>
  <c r="B56" i="1"/>
  <c r="B57" i="1" s="1"/>
  <c r="B39" i="1"/>
  <c r="B40" i="1"/>
  <c r="E40" i="1" s="1"/>
  <c r="B41" i="1"/>
  <c r="E41" i="1" s="1"/>
  <c r="B22" i="1"/>
  <c r="E22" i="1"/>
  <c r="E39" i="1" s="1"/>
  <c r="E56" i="1" s="1"/>
  <c r="E73" i="1" s="1"/>
  <c r="B72" i="1"/>
  <c r="B64" i="1"/>
  <c r="B66" i="1"/>
  <c r="B55" i="1"/>
  <c r="E55" i="1"/>
  <c r="B47" i="1"/>
  <c r="B49" i="1"/>
  <c r="B9" i="1"/>
  <c r="B36" i="1" s="1"/>
  <c r="B43" i="1" s="1"/>
  <c r="B44" i="1" s="1"/>
  <c r="B35" i="1"/>
  <c r="B38" i="1"/>
  <c r="B21" i="1"/>
  <c r="E21" i="1"/>
  <c r="E38" i="1"/>
  <c r="B30" i="1"/>
  <c r="B32" i="1"/>
  <c r="B67" i="1"/>
  <c r="E72" i="1"/>
  <c r="B50" i="1"/>
  <c r="B68" i="1"/>
  <c r="B69" i="1"/>
  <c r="B65" i="1"/>
  <c r="B71" i="1"/>
  <c r="B76" i="1"/>
  <c r="B51" i="1"/>
  <c r="B52" i="1"/>
  <c r="B53" i="1"/>
  <c r="B48" i="1"/>
  <c r="B54" i="1"/>
  <c r="B33" i="1"/>
  <c r="B31" i="1"/>
  <c r="B37" i="1"/>
  <c r="B42" i="1"/>
  <c r="B34" i="1"/>
  <c r="B28" i="4"/>
  <c r="B12" i="4"/>
  <c r="B2" i="1"/>
  <c r="B15" i="4"/>
  <c r="B14" i="4"/>
  <c r="B13" i="4"/>
  <c r="B7" i="4"/>
  <c r="B6" i="4"/>
  <c r="B3" i="4"/>
  <c r="B11" i="4"/>
  <c r="B10" i="4"/>
  <c r="B9" i="4"/>
  <c r="B5" i="4"/>
  <c r="B23" i="1"/>
  <c r="B24" i="1" s="1"/>
  <c r="E24" i="1" s="1"/>
  <c r="B4" i="4"/>
  <c r="E23" i="1"/>
  <c r="B59" i="1"/>
  <c r="B60" i="1"/>
  <c r="B61" i="1" s="1"/>
  <c r="B13" i="1"/>
  <c r="B15" i="1"/>
  <c r="B17" i="1"/>
  <c r="B7" i="1"/>
  <c r="B16" i="1"/>
  <c r="B14" i="1"/>
  <c r="B20" i="1"/>
  <c r="B25" i="1"/>
  <c r="B19" i="1"/>
  <c r="B26" i="1" s="1"/>
  <c r="B27" i="1" s="1"/>
  <c r="E57" i="1" l="1"/>
  <c r="B58" i="1"/>
  <c r="E58" i="1" s="1"/>
  <c r="E74" i="1"/>
  <c r="B75" i="1"/>
  <c r="E75" i="1" s="1"/>
  <c r="B70" i="1"/>
  <c r="B77" i="1" s="1"/>
  <c r="B78" i="1" s="1"/>
</calcChain>
</file>

<file path=xl/sharedStrings.xml><?xml version="1.0" encoding="utf-8"?>
<sst xmlns="http://schemas.openxmlformats.org/spreadsheetml/2006/main" count="266" uniqueCount="81">
  <si>
    <t>Item</t>
  </si>
  <si>
    <t>Value</t>
  </si>
  <si>
    <t>Unit</t>
  </si>
  <si>
    <t>Turns of wire in field</t>
  </si>
  <si>
    <t>~</t>
  </si>
  <si>
    <t>Turns of wire total</t>
  </si>
  <si>
    <t>Electromagneticmotive force ℱ</t>
  </si>
  <si>
    <t>X-sectional Magnet Am</t>
  </si>
  <si>
    <t>m^2</t>
  </si>
  <si>
    <t>Flux φ(Rg=0)</t>
  </si>
  <si>
    <t>Wb</t>
  </si>
  <si>
    <t>Rm</t>
  </si>
  <si>
    <t>H^-1</t>
  </si>
  <si>
    <t>Longer the magnet, larger the Rm?</t>
  </si>
  <si>
    <t>Electromagneticmotive force</t>
  </si>
  <si>
    <t>Motor Setup</t>
  </si>
  <si>
    <t>Layer</t>
  </si>
  <si>
    <t>Radius - Inner Shell</t>
  </si>
  <si>
    <t>m</t>
  </si>
  <si>
    <t>Radius - Outer Shell</t>
  </si>
  <si>
    <t>Radius - Plunger</t>
  </si>
  <si>
    <t>Rg1</t>
  </si>
  <si>
    <t>Rg1 increases as gap increases - more flux in Rg1 as gap increases?</t>
  </si>
  <si>
    <t>Rg2</t>
  </si>
  <si>
    <t>R_ttl</t>
  </si>
  <si>
    <t>Flux φ w/ gap</t>
  </si>
  <si>
    <t>Radius - Wire</t>
  </si>
  <si>
    <t>Length of wire in field this layer</t>
  </si>
  <si>
    <t>Total length of wire in field</t>
  </si>
  <si>
    <t>Length of wire this layer</t>
  </si>
  <si>
    <t>Total length of wire</t>
  </si>
  <si>
    <t>Resistance this layer</t>
  </si>
  <si>
    <t>Ohm</t>
  </si>
  <si>
    <t>Total resistance</t>
  </si>
  <si>
    <t>Voltage required this layer</t>
  </si>
  <si>
    <t>V</t>
  </si>
  <si>
    <t>Voltage Total</t>
  </si>
  <si>
    <t>Area of action for magnetic field</t>
  </si>
  <si>
    <t>Magnetic field over gap</t>
  </si>
  <si>
    <t>T</t>
  </si>
  <si>
    <t>Force</t>
  </si>
  <si>
    <t>N</t>
  </si>
  <si>
    <t>CHECK WITH BRYAN</t>
  </si>
  <si>
    <t>Linked Set</t>
  </si>
  <si>
    <t>Name</t>
  </si>
  <si>
    <t>Units</t>
  </si>
  <si>
    <t>Description</t>
  </si>
  <si>
    <t>r_tube_In</t>
  </si>
  <si>
    <t>Inner radius of sillicone tube</t>
  </si>
  <si>
    <t>r_tube_Out</t>
  </si>
  <si>
    <t>Outer radius of sillicone tube</t>
  </si>
  <si>
    <t>l_core</t>
  </si>
  <si>
    <t>Length of motor core</t>
  </si>
  <si>
    <t>Br_core</t>
  </si>
  <si>
    <t>Residual magnetic field stength of core</t>
  </si>
  <si>
    <t>r_core</t>
  </si>
  <si>
    <t>Radius of motor core</t>
  </si>
  <si>
    <t>rho_wire</t>
  </si>
  <si>
    <t>S/m</t>
  </si>
  <si>
    <t>Resistivity of wire</t>
  </si>
  <si>
    <t>V_max</t>
  </si>
  <si>
    <t>Max voltage output of power supply</t>
  </si>
  <si>
    <t>I_max</t>
  </si>
  <si>
    <t>A</t>
  </si>
  <si>
    <t>Max current output of power supply</t>
  </si>
  <si>
    <t>l_max_tube</t>
  </si>
  <si>
    <t>How much tube I have</t>
  </si>
  <si>
    <t>l_connector</t>
  </si>
  <si>
    <t>How much magnetic connector at the end of the magnet</t>
  </si>
  <si>
    <t>l_plunger</t>
  </si>
  <si>
    <t>Length of plunger connector</t>
  </si>
  <si>
    <t>thickness_shell</t>
  </si>
  <si>
    <t>Thickness of iron shell</t>
  </si>
  <si>
    <t>distance_rg2</t>
  </si>
  <si>
    <t>Distance between plunger and shell</t>
  </si>
  <si>
    <t>Design 1</t>
  </si>
  <si>
    <t>Inner diameter of sillicone tube</t>
  </si>
  <si>
    <t>Outer diameter of sillicone tube</t>
  </si>
  <si>
    <t>Magnetic field stength of core - N35 is the most common for neodynium magnets</t>
  </si>
  <si>
    <t>Diameter of motor core</t>
  </si>
  <si>
    <t>ohm/m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</si>
</sst>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1" fontId="0" fillId="0" borderId="0" xfId="0" applyNumberForma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E557E-79A9-BB4D-8EC6-4F2D7BD086FE}">
  <dimension ref="A1:F78"/>
  <sheetViews>
    <sheetView tabSelected="1" topLeftCell="A11" workbookViewId="0">
      <selection activeCell="B19" sqref="B19"/>
    </sheetView>
  </sheetViews>
  <sheetFormatPr baseColWidth="10" defaultColWidth="11" defaultRowHeight="16"/>
  <cols>
    <col min="1" max="1" width="25.33203125" customWidth="1"/>
    <col min="2" max="2" width="11.1640625" customWidth="1"/>
    <col min="3" max="3" width="16.1640625" customWidth="1"/>
    <col min="4" max="4" width="26" customWidth="1"/>
  </cols>
  <sheetData>
    <row r="1" spans="1:4">
      <c r="A1" s="1" t="s">
        <v>0</v>
      </c>
      <c r="B1" s="1" t="s">
        <v>1</v>
      </c>
      <c r="C1" s="1" t="s">
        <v>2</v>
      </c>
    </row>
    <row r="2" spans="1:4">
      <c r="A2" t="s">
        <v>3</v>
      </c>
      <c r="B2">
        <f>l_connector/(r_tube_Out*2)</f>
        <v>2</v>
      </c>
      <c r="C2" t="s">
        <v>4</v>
      </c>
    </row>
    <row r="3" spans="1:4">
      <c r="A3" t="s">
        <v>5</v>
      </c>
      <c r="B3">
        <f>INT((l_core+l_connector)/(2*r_tube_Out))</f>
        <v>40</v>
      </c>
      <c r="C3" t="s">
        <v>4</v>
      </c>
    </row>
    <row r="4" spans="1:4">
      <c r="A4" s="1"/>
      <c r="B4" s="1"/>
      <c r="C4" s="1"/>
    </row>
    <row r="5" spans="1:4">
      <c r="A5" s="4" t="s">
        <v>6</v>
      </c>
      <c r="B5" s="4"/>
      <c r="C5" s="4"/>
    </row>
    <row r="6" spans="1:4">
      <c r="A6" t="s">
        <v>7</v>
      </c>
      <c r="B6">
        <f>PI()*r_core^2</f>
        <v>1.4861696746888213E-5</v>
      </c>
      <c r="C6" t="s">
        <v>8</v>
      </c>
    </row>
    <row r="7" spans="1:4">
      <c r="A7" t="s">
        <v>9</v>
      </c>
      <c r="B7">
        <f>B6*Br_core</f>
        <v>1.7834036096265854E-5</v>
      </c>
      <c r="C7" t="s">
        <v>10</v>
      </c>
    </row>
    <row r="8" spans="1:4">
      <c r="A8" t="s">
        <v>11</v>
      </c>
      <c r="B8">
        <f>l_core/B6</f>
        <v>5382.9654421357136</v>
      </c>
      <c r="C8" t="s">
        <v>12</v>
      </c>
      <c r="D8" t="s">
        <v>13</v>
      </c>
    </row>
    <row r="9" spans="1:4">
      <c r="A9" t="s">
        <v>14</v>
      </c>
      <c r="B9">
        <f>B7*B8</f>
        <v>9.6000000000000002E-2</v>
      </c>
      <c r="C9" t="s">
        <v>4</v>
      </c>
    </row>
    <row r="11" spans="1:4">
      <c r="A11" s="4" t="s">
        <v>15</v>
      </c>
      <c r="B11" s="4"/>
      <c r="C11" s="4"/>
    </row>
    <row r="12" spans="1:4">
      <c r="A12" s="3" t="s">
        <v>16</v>
      </c>
      <c r="B12" s="3">
        <v>1</v>
      </c>
    </row>
    <row r="13" spans="1:4">
      <c r="A13" t="s">
        <v>17</v>
      </c>
      <c r="B13">
        <f>r_core+r_tube_Out*B12*2</f>
        <v>4.2749999999999993E-3</v>
      </c>
      <c r="C13" t="s">
        <v>18</v>
      </c>
    </row>
    <row r="14" spans="1:4">
      <c r="A14" t="s">
        <v>19</v>
      </c>
      <c r="B14">
        <f>B13+thickness_shell</f>
        <v>6.2749999999999993E-3</v>
      </c>
      <c r="C14" t="s">
        <v>18</v>
      </c>
    </row>
    <row r="15" spans="1:4">
      <c r="A15" t="s">
        <v>20</v>
      </c>
      <c r="B15">
        <f>B13-distance_rg2</f>
        <v>3.2749999999999993E-3</v>
      </c>
      <c r="C15" t="s">
        <v>18</v>
      </c>
    </row>
    <row r="16" spans="1:4">
      <c r="A16" t="s">
        <v>21</v>
      </c>
      <c r="B16">
        <f>LN(B13/r_core)/(2*PI()*l_connector)</f>
        <v>25.607099584464134</v>
      </c>
      <c r="C16" t="s">
        <v>12</v>
      </c>
      <c r="D16" t="s">
        <v>22</v>
      </c>
    </row>
    <row r="17" spans="1:6">
      <c r="A17" t="s">
        <v>23</v>
      </c>
      <c r="B17">
        <f>LN(B13/B15)/(2*PI()*l_plunger)</f>
        <v>8.4818836394026533</v>
      </c>
      <c r="C17" t="s">
        <v>12</v>
      </c>
    </row>
    <row r="18" spans="1:6">
      <c r="A18" t="s">
        <v>24</v>
      </c>
      <c r="B18">
        <f>$B$8+B16+B17</f>
        <v>5417.0544253595799</v>
      </c>
      <c r="C18" t="s">
        <v>12</v>
      </c>
    </row>
    <row r="19" spans="1:6">
      <c r="A19" t="s">
        <v>25</v>
      </c>
      <c r="B19">
        <f>$B$9/B18</f>
        <v>1.77218082858061E-5</v>
      </c>
      <c r="C19" t="s">
        <v>10</v>
      </c>
    </row>
    <row r="20" spans="1:6">
      <c r="A20" t="s">
        <v>26</v>
      </c>
      <c r="B20">
        <f>B14-r_tube_Out/2</f>
        <v>5.749999999999999E-3</v>
      </c>
      <c r="C20" t="s">
        <v>18</v>
      </c>
    </row>
    <row r="21" spans="1:6">
      <c r="A21" t="s">
        <v>27</v>
      </c>
      <c r="B21">
        <f>PI()*(r_core+B12*r_tube_Out*2)*2*$B$2</f>
        <v>5.372123437638545E-2</v>
      </c>
      <c r="C21" t="s">
        <v>18</v>
      </c>
      <c r="D21" t="s">
        <v>28</v>
      </c>
      <c r="E21">
        <f>B21</f>
        <v>5.372123437638545E-2</v>
      </c>
      <c r="F21" t="s">
        <v>18</v>
      </c>
    </row>
    <row r="22" spans="1:6">
      <c r="A22" t="s">
        <v>29</v>
      </c>
      <c r="B22">
        <f>$B$3*2*PI()*(r_core+B12*r_tube_Out*2)</f>
        <v>1.074424687527709</v>
      </c>
      <c r="C22" t="s">
        <v>18</v>
      </c>
      <c r="D22" t="s">
        <v>30</v>
      </c>
      <c r="E22">
        <f>B22</f>
        <v>1.074424687527709</v>
      </c>
      <c r="F22" t="s">
        <v>18</v>
      </c>
    </row>
    <row r="23" spans="1:6">
      <c r="A23" t="s">
        <v>31</v>
      </c>
      <c r="B23">
        <f>B22/(PI()*r_tube_In^2)/rho_wire</f>
        <v>2.3791304347826081</v>
      </c>
      <c r="C23" t="s">
        <v>32</v>
      </c>
      <c r="D23" t="s">
        <v>33</v>
      </c>
      <c r="E23">
        <f>B23</f>
        <v>2.3791304347826081</v>
      </c>
      <c r="F23" t="s">
        <v>32</v>
      </c>
    </row>
    <row r="24" spans="1:6">
      <c r="A24" t="s">
        <v>34</v>
      </c>
      <c r="B24">
        <f>B23*2</f>
        <v>4.7582608695652162</v>
      </c>
      <c r="C24" t="s">
        <v>35</v>
      </c>
      <c r="D24" t="s">
        <v>36</v>
      </c>
      <c r="E24">
        <f>B24</f>
        <v>4.7582608695652162</v>
      </c>
      <c r="F24" t="s">
        <v>35</v>
      </c>
    </row>
    <row r="25" spans="1:6">
      <c r="A25" t="s">
        <v>37</v>
      </c>
      <c r="B25">
        <f>2*PI()*B20*l_connector</f>
        <v>1.5173892516838697E-4</v>
      </c>
      <c r="C25" t="s">
        <v>8</v>
      </c>
    </row>
    <row r="26" spans="1:6">
      <c r="A26" t="s">
        <v>38</v>
      </c>
      <c r="B26">
        <f>B19/B25</f>
        <v>0.11679144468790682</v>
      </c>
      <c r="C26" t="s">
        <v>39</v>
      </c>
    </row>
    <row r="27" spans="1:6">
      <c r="A27" t="s">
        <v>40</v>
      </c>
      <c r="B27">
        <f>B26*I_max*B21</f>
        <v>1.25483611464714E-2</v>
      </c>
      <c r="C27" t="s">
        <v>41</v>
      </c>
    </row>
    <row r="29" spans="1:6">
      <c r="A29" s="3" t="s">
        <v>16</v>
      </c>
      <c r="B29" s="3">
        <v>2</v>
      </c>
    </row>
    <row r="30" spans="1:6">
      <c r="A30" t="s">
        <v>17</v>
      </c>
      <c r="B30">
        <f>r_core+r_tube_Out*B29*2</f>
        <v>6.3749999999999996E-3</v>
      </c>
      <c r="C30" t="s">
        <v>18</v>
      </c>
    </row>
    <row r="31" spans="1:6">
      <c r="A31" t="s">
        <v>19</v>
      </c>
      <c r="B31">
        <f>B30+thickness_shell</f>
        <v>8.3750000000000005E-3</v>
      </c>
      <c r="C31" t="s">
        <v>18</v>
      </c>
    </row>
    <row r="32" spans="1:6">
      <c r="A32" t="s">
        <v>20</v>
      </c>
      <c r="B32">
        <f>B30-distance_rg2</f>
        <v>5.3749999999999996E-3</v>
      </c>
      <c r="C32" t="s">
        <v>18</v>
      </c>
    </row>
    <row r="33" spans="1:6">
      <c r="A33" t="s">
        <v>21</v>
      </c>
      <c r="B33">
        <f>LN(B30/r_core)/(2*PI()*l_connector)</f>
        <v>40.749555168757112</v>
      </c>
      <c r="C33" t="s">
        <v>12</v>
      </c>
    </row>
    <row r="34" spans="1:6">
      <c r="A34" t="s">
        <v>23</v>
      </c>
      <c r="B34">
        <f>LN(B30/B32)/(2*PI()*l_plunger)</f>
        <v>5.4311788906112746</v>
      </c>
      <c r="C34" t="s">
        <v>12</v>
      </c>
    </row>
    <row r="35" spans="1:6">
      <c r="A35" t="s">
        <v>24</v>
      </c>
      <c r="B35">
        <f>$B$8+B33+B34</f>
        <v>5429.1461761950823</v>
      </c>
      <c r="C35" t="s">
        <v>12</v>
      </c>
    </row>
    <row r="36" spans="1:6">
      <c r="A36" t="s">
        <v>25</v>
      </c>
      <c r="B36">
        <f>$B$9/B35</f>
        <v>1.7682338416476355E-5</v>
      </c>
      <c r="C36" t="s">
        <v>10</v>
      </c>
    </row>
    <row r="37" spans="1:6">
      <c r="A37" t="s">
        <v>26</v>
      </c>
      <c r="B37">
        <f>B31-r_tube_Out/2</f>
        <v>7.8500000000000011E-3</v>
      </c>
      <c r="C37" t="s">
        <v>18</v>
      </c>
    </row>
    <row r="38" spans="1:6">
      <c r="A38" t="s">
        <v>27</v>
      </c>
      <c r="B38">
        <f>PI()*(r_core+B29*r_tube_Out*2)*2*$B$2</f>
        <v>8.0110612666539724E-2</v>
      </c>
      <c r="C38" t="s">
        <v>18</v>
      </c>
      <c r="D38" t="s">
        <v>28</v>
      </c>
      <c r="E38">
        <f>B38+E21</f>
        <v>0.13383184704292517</v>
      </c>
      <c r="F38" t="s">
        <v>18</v>
      </c>
    </row>
    <row r="39" spans="1:6">
      <c r="A39" t="s">
        <v>29</v>
      </c>
      <c r="B39">
        <f>$B$3*2*PI()*(r_core+B29*r_tube_Out*2)</f>
        <v>1.6022122533307943</v>
      </c>
      <c r="C39" t="s">
        <v>18</v>
      </c>
      <c r="D39" t="s">
        <v>30</v>
      </c>
      <c r="E39">
        <f>B39+E22</f>
        <v>2.6766369408585033</v>
      </c>
      <c r="F39" t="s">
        <v>18</v>
      </c>
    </row>
    <row r="40" spans="1:6">
      <c r="A40" t="s">
        <v>31</v>
      </c>
      <c r="B40">
        <f>B39/(PI()*r_tube_In^2)/rho_wire</f>
        <v>3.5478260869565217</v>
      </c>
      <c r="C40" t="s">
        <v>32</v>
      </c>
      <c r="D40" t="s">
        <v>33</v>
      </c>
      <c r="E40">
        <f>B40+E23</f>
        <v>5.9269565217391298</v>
      </c>
      <c r="F40" t="s">
        <v>32</v>
      </c>
    </row>
    <row r="41" spans="1:6">
      <c r="A41" t="s">
        <v>34</v>
      </c>
      <c r="B41">
        <f>B40*2</f>
        <v>7.0956521739130434</v>
      </c>
      <c r="C41" t="s">
        <v>35</v>
      </c>
      <c r="D41" t="s">
        <v>36</v>
      </c>
      <c r="E41">
        <f>B41</f>
        <v>7.0956521739130434</v>
      </c>
      <c r="F41" t="s">
        <v>35</v>
      </c>
    </row>
    <row r="42" spans="1:6">
      <c r="A42" t="s">
        <v>37</v>
      </c>
      <c r="B42">
        <f>2*PI()*B37*l_connector</f>
        <v>2.0715661957771095E-4</v>
      </c>
      <c r="C42" t="s">
        <v>8</v>
      </c>
      <c r="D42" t="s">
        <v>42</v>
      </c>
    </row>
    <row r="43" spans="1:6">
      <c r="A43" t="s">
        <v>38</v>
      </c>
      <c r="B43">
        <f>B36/B42</f>
        <v>8.5357341959536828E-2</v>
      </c>
      <c r="C43" t="s">
        <v>39</v>
      </c>
    </row>
    <row r="44" spans="1:6">
      <c r="A44" t="s">
        <v>40</v>
      </c>
      <c r="B44">
        <f>B43*I_max*E38</f>
        <v>2.2847061466238782E-2</v>
      </c>
      <c r="C44" t="s">
        <v>41</v>
      </c>
    </row>
    <row r="46" spans="1:6">
      <c r="A46" s="3" t="s">
        <v>16</v>
      </c>
      <c r="B46" s="3">
        <v>3</v>
      </c>
    </row>
    <row r="47" spans="1:6">
      <c r="A47" t="s">
        <v>17</v>
      </c>
      <c r="B47">
        <f>r_core+r_tube_Out*B46*2</f>
        <v>8.4749999999999999E-3</v>
      </c>
      <c r="C47" t="s">
        <v>18</v>
      </c>
    </row>
    <row r="48" spans="1:6">
      <c r="A48" t="s">
        <v>19</v>
      </c>
      <c r="B48">
        <f>B47+thickness_shell</f>
        <v>1.0475E-2</v>
      </c>
      <c r="C48" t="s">
        <v>18</v>
      </c>
    </row>
    <row r="49" spans="1:6">
      <c r="A49" t="s">
        <v>20</v>
      </c>
      <c r="B49">
        <f>B47-distance_rg2</f>
        <v>7.4749999999999999E-3</v>
      </c>
      <c r="C49" t="s">
        <v>18</v>
      </c>
    </row>
    <row r="50" spans="1:6">
      <c r="A50" t="s">
        <v>21</v>
      </c>
      <c r="B50">
        <f>LN(B47/r_core)/(2*PI()*l_connector)</f>
        <v>51.539372158430488</v>
      </c>
      <c r="C50" t="s">
        <v>12</v>
      </c>
    </row>
    <row r="51" spans="1:6">
      <c r="A51" t="s">
        <v>23</v>
      </c>
      <c r="B51">
        <f>LN(B47/B49)/(2*PI()*l_plunger)</f>
        <v>3.9965886043912939</v>
      </c>
      <c r="C51" t="s">
        <v>12</v>
      </c>
    </row>
    <row r="52" spans="1:6">
      <c r="A52" t="s">
        <v>24</v>
      </c>
      <c r="B52">
        <f>$B$8+B50+B51</f>
        <v>5438.5014028985352</v>
      </c>
      <c r="C52" t="s">
        <v>12</v>
      </c>
    </row>
    <row r="53" spans="1:6">
      <c r="A53" t="s">
        <v>25</v>
      </c>
      <c r="B53">
        <f>$B$9/B52</f>
        <v>1.7651921529124786E-5</v>
      </c>
      <c r="C53" t="s">
        <v>10</v>
      </c>
    </row>
    <row r="54" spans="1:6">
      <c r="A54" t="s">
        <v>26</v>
      </c>
      <c r="B54">
        <f>B48-r_tube_Out/2</f>
        <v>9.9500000000000005E-3</v>
      </c>
      <c r="C54" t="s">
        <v>18</v>
      </c>
    </row>
    <row r="55" spans="1:6">
      <c r="A55" t="s">
        <v>27</v>
      </c>
      <c r="B55">
        <f>PI()*(r_core+B46*r_tube_Out*2)*2*$B$2</f>
        <v>0.10649999095669399</v>
      </c>
      <c r="C55" t="s">
        <v>18</v>
      </c>
      <c r="D55" t="s">
        <v>28</v>
      </c>
      <c r="E55">
        <f>B55+E38</f>
        <v>0.24033183799961916</v>
      </c>
      <c r="F55" t="s">
        <v>18</v>
      </c>
    </row>
    <row r="56" spans="1:6">
      <c r="A56" t="s">
        <v>29</v>
      </c>
      <c r="B56">
        <f>$B$3*2*PI()*(r_core+B46*r_tube_Out*2)</f>
        <v>2.1299998191338796</v>
      </c>
      <c r="C56" t="s">
        <v>18</v>
      </c>
      <c r="D56" t="s">
        <v>30</v>
      </c>
      <c r="E56">
        <f>B56+E39</f>
        <v>4.8066367599923829</v>
      </c>
      <c r="F56" t="s">
        <v>18</v>
      </c>
    </row>
    <row r="57" spans="1:6">
      <c r="A57" t="s">
        <v>31</v>
      </c>
      <c r="B57">
        <f>B56/(PI()*r_tube_In^2)/rho_wire</f>
        <v>4.7165217391304344</v>
      </c>
      <c r="C57" t="s">
        <v>32</v>
      </c>
      <c r="D57" t="s">
        <v>33</v>
      </c>
      <c r="E57">
        <f>B57+E40</f>
        <v>10.643478260869564</v>
      </c>
      <c r="F57" t="s">
        <v>32</v>
      </c>
    </row>
    <row r="58" spans="1:6">
      <c r="A58" t="s">
        <v>34</v>
      </c>
      <c r="B58">
        <f>B57*2</f>
        <v>9.4330434782608688</v>
      </c>
      <c r="C58" t="s">
        <v>35</v>
      </c>
      <c r="D58" t="s">
        <v>36</v>
      </c>
      <c r="E58">
        <f>B58</f>
        <v>9.4330434782608688</v>
      </c>
      <c r="F58" t="s">
        <v>35</v>
      </c>
    </row>
    <row r="59" spans="1:6">
      <c r="A59" t="s">
        <v>37</v>
      </c>
      <c r="B59">
        <f>2*PI()*B54*l_connector</f>
        <v>2.625743139870349E-4</v>
      </c>
      <c r="C59" t="s">
        <v>8</v>
      </c>
      <c r="D59" t="s">
        <v>42</v>
      </c>
    </row>
    <row r="60" spans="1:6">
      <c r="A60" t="s">
        <v>38</v>
      </c>
      <c r="B60">
        <f>B53/B59</f>
        <v>6.7226383499173425E-2</v>
      </c>
      <c r="C60" t="s">
        <v>39</v>
      </c>
    </row>
    <row r="61" spans="1:6">
      <c r="A61" t="s">
        <v>40</v>
      </c>
      <c r="B61">
        <f>B60*I_max*E55</f>
        <v>3.231328061684724E-2</v>
      </c>
      <c r="C61" t="s">
        <v>41</v>
      </c>
    </row>
    <row r="63" spans="1:6">
      <c r="A63" s="3" t="s">
        <v>16</v>
      </c>
      <c r="B63" s="3">
        <v>4</v>
      </c>
    </row>
    <row r="64" spans="1:6">
      <c r="A64" t="s">
        <v>17</v>
      </c>
      <c r="B64">
        <f>r_core+r_tube_Out*B63*2</f>
        <v>1.0574999999999999E-2</v>
      </c>
      <c r="C64" t="s">
        <v>18</v>
      </c>
    </row>
    <row r="65" spans="1:6">
      <c r="A65" t="s">
        <v>19</v>
      </c>
      <c r="B65">
        <f>B64+thickness_shell</f>
        <v>1.2574999999999999E-2</v>
      </c>
      <c r="C65" t="s">
        <v>18</v>
      </c>
    </row>
    <row r="66" spans="1:6">
      <c r="A66" t="s">
        <v>20</v>
      </c>
      <c r="B66">
        <f>B64-distance_rg2</f>
        <v>9.5750000000000002E-3</v>
      </c>
      <c r="C66" t="s">
        <v>18</v>
      </c>
    </row>
    <row r="67" spans="1:6">
      <c r="A67" t="s">
        <v>21</v>
      </c>
      <c r="B67">
        <f>LN(B64/r_core)/(2*PI()*l_connector)</f>
        <v>59.928052984170918</v>
      </c>
      <c r="C67" t="s">
        <v>12</v>
      </c>
    </row>
    <row r="68" spans="1:6">
      <c r="A68" t="s">
        <v>23</v>
      </c>
      <c r="B68">
        <f>LN(B64/B66)/(2*PI()*l_plunger)</f>
        <v>3.1620009599946877</v>
      </c>
      <c r="C68" t="s">
        <v>12</v>
      </c>
    </row>
    <row r="69" spans="1:6">
      <c r="A69" t="s">
        <v>24</v>
      </c>
      <c r="B69">
        <f>$B$8+B67+B68</f>
        <v>5446.055496079879</v>
      </c>
      <c r="C69" t="s">
        <v>12</v>
      </c>
    </row>
    <row r="70" spans="1:6">
      <c r="A70" t="s">
        <v>25</v>
      </c>
      <c r="B70">
        <f>$B$9/B69</f>
        <v>1.7627436971419348E-5</v>
      </c>
      <c r="C70" t="s">
        <v>10</v>
      </c>
    </row>
    <row r="71" spans="1:6">
      <c r="A71" t="s">
        <v>26</v>
      </c>
      <c r="B71">
        <f>B65-r_tube_Out/2</f>
        <v>1.205E-2</v>
      </c>
      <c r="C71" t="s">
        <v>18</v>
      </c>
    </row>
    <row r="72" spans="1:6">
      <c r="A72" t="s">
        <v>27</v>
      </c>
      <c r="B72">
        <f>PI()*(r_core+B63*r_tube_Out*2)*2*$B$2</f>
        <v>0.13288936924684824</v>
      </c>
      <c r="C72" t="s">
        <v>18</v>
      </c>
      <c r="D72" t="s">
        <v>28</v>
      </c>
      <c r="E72">
        <f>B72+E55</f>
        <v>0.3732212072464674</v>
      </c>
      <c r="F72" t="s">
        <v>18</v>
      </c>
    </row>
    <row r="73" spans="1:6">
      <c r="A73" t="s">
        <v>29</v>
      </c>
      <c r="B73">
        <f>$B$3*2*PI()*(r_core+B63*r_tube_Out*2)</f>
        <v>2.6577873849369649</v>
      </c>
      <c r="C73" t="s">
        <v>18</v>
      </c>
      <c r="D73" t="s">
        <v>30</v>
      </c>
      <c r="E73">
        <f>B73+E56</f>
        <v>7.4644241449293478</v>
      </c>
      <c r="F73" t="s">
        <v>18</v>
      </c>
    </row>
    <row r="74" spans="1:6">
      <c r="A74" t="s">
        <v>31</v>
      </c>
      <c r="B74">
        <f>B73/(PI()*r_tube_In^2)/rho_wire</f>
        <v>5.885217391304348</v>
      </c>
      <c r="C74" t="s">
        <v>32</v>
      </c>
      <c r="D74" t="s">
        <v>33</v>
      </c>
      <c r="E74">
        <f>B74+E57</f>
        <v>16.528695652173912</v>
      </c>
      <c r="F74" t="s">
        <v>32</v>
      </c>
    </row>
    <row r="75" spans="1:6">
      <c r="A75" t="s">
        <v>34</v>
      </c>
      <c r="B75">
        <f>B74*2</f>
        <v>11.770434782608696</v>
      </c>
      <c r="C75" t="s">
        <v>35</v>
      </c>
      <c r="D75" t="s">
        <v>36</v>
      </c>
      <c r="E75">
        <f>B75</f>
        <v>11.770434782608696</v>
      </c>
      <c r="F75" t="s">
        <v>35</v>
      </c>
    </row>
    <row r="76" spans="1:6">
      <c r="A76" t="s">
        <v>37</v>
      </c>
      <c r="B76">
        <f>2*PI()*B71*l_connector</f>
        <v>3.1799200839635882E-4</v>
      </c>
      <c r="C76" t="s">
        <v>8</v>
      </c>
      <c r="D76" t="s">
        <v>42</v>
      </c>
    </row>
    <row r="77" spans="1:6">
      <c r="A77" t="s">
        <v>38</v>
      </c>
      <c r="B77">
        <f>B70/B76</f>
        <v>5.5433584825967566E-2</v>
      </c>
      <c r="C77" t="s">
        <v>39</v>
      </c>
    </row>
    <row r="78" spans="1:6">
      <c r="A78" t="s">
        <v>40</v>
      </c>
      <c r="B78">
        <f>B77*I_max*E72</f>
        <v>4.1377978901494146E-2</v>
      </c>
      <c r="C78" t="s">
        <v>41</v>
      </c>
    </row>
  </sheetData>
  <mergeCells count="2">
    <mergeCell ref="A5:C5"/>
    <mergeCell ref="A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3283F-BEBD-AC4A-BFC6-1D1BB95110DA}">
  <dimension ref="A1:D31"/>
  <sheetViews>
    <sheetView workbookViewId="0">
      <selection activeCell="A5" sqref="A5:A15"/>
    </sheetView>
  </sheetViews>
  <sheetFormatPr baseColWidth="10" defaultColWidth="11" defaultRowHeight="16"/>
  <sheetData>
    <row r="1" spans="1:4">
      <c r="A1" s="5" t="s">
        <v>43</v>
      </c>
      <c r="B1" s="5"/>
      <c r="C1" s="5"/>
      <c r="D1" s="5"/>
    </row>
    <row r="2" spans="1:4">
      <c r="A2" s="1" t="s">
        <v>44</v>
      </c>
      <c r="B2" s="1" t="s">
        <v>1</v>
      </c>
      <c r="C2" s="1" t="s">
        <v>45</v>
      </c>
      <c r="D2" s="1" t="s">
        <v>46</v>
      </c>
    </row>
    <row r="3" spans="1:4">
      <c r="A3" t="s">
        <v>47</v>
      </c>
      <c r="B3">
        <f>B19</f>
        <v>2.5000000000000001E-4</v>
      </c>
      <c r="C3" t="s">
        <v>18</v>
      </c>
      <c r="D3" t="s">
        <v>48</v>
      </c>
    </row>
    <row r="4" spans="1:4">
      <c r="A4" t="s">
        <v>49</v>
      </c>
      <c r="B4">
        <f>B20</f>
        <v>1.0499999999999999E-3</v>
      </c>
      <c r="C4" t="s">
        <v>18</v>
      </c>
      <c r="D4" t="s">
        <v>50</v>
      </c>
    </row>
    <row r="5" spans="1:4">
      <c r="A5" t="s">
        <v>51</v>
      </c>
      <c r="B5">
        <f>B21</f>
        <v>0.08</v>
      </c>
      <c r="C5" t="s">
        <v>18</v>
      </c>
      <c r="D5" t="s">
        <v>52</v>
      </c>
    </row>
    <row r="6" spans="1:4">
      <c r="A6" t="s">
        <v>53</v>
      </c>
      <c r="B6">
        <f>B22</f>
        <v>1.2</v>
      </c>
      <c r="C6" t="s">
        <v>39</v>
      </c>
      <c r="D6" t="s">
        <v>54</v>
      </c>
    </row>
    <row r="7" spans="1:4">
      <c r="A7" t="s">
        <v>55</v>
      </c>
      <c r="B7">
        <f>B23</f>
        <v>2.1749999999999999E-3</v>
      </c>
      <c r="C7" t="s">
        <v>18</v>
      </c>
      <c r="D7" t="s">
        <v>56</v>
      </c>
    </row>
    <row r="8" spans="1:4">
      <c r="A8" t="s">
        <v>57</v>
      </c>
      <c r="B8" s="2">
        <v>2300000</v>
      </c>
      <c r="C8" t="s">
        <v>58</v>
      </c>
      <c r="D8" t="s">
        <v>59</v>
      </c>
    </row>
    <row r="9" spans="1:4">
      <c r="A9" t="s">
        <v>60</v>
      </c>
      <c r="B9">
        <f t="shared" ref="B9:B15" si="0">B25</f>
        <v>12</v>
      </c>
      <c r="C9" t="s">
        <v>35</v>
      </c>
      <c r="D9" t="s">
        <v>61</v>
      </c>
    </row>
    <row r="10" spans="1:4">
      <c r="A10" t="s">
        <v>62</v>
      </c>
      <c r="B10">
        <f t="shared" si="0"/>
        <v>2</v>
      </c>
      <c r="C10" t="s">
        <v>63</v>
      </c>
      <c r="D10" t="s">
        <v>64</v>
      </c>
    </row>
    <row r="11" spans="1:4">
      <c r="A11" t="s">
        <v>65</v>
      </c>
      <c r="B11">
        <f t="shared" si="0"/>
        <v>4.5</v>
      </c>
      <c r="C11" t="s">
        <v>18</v>
      </c>
      <c r="D11" t="s">
        <v>66</v>
      </c>
    </row>
    <row r="12" spans="1:4">
      <c r="A12" t="s">
        <v>67</v>
      </c>
      <c r="B12">
        <f t="shared" si="0"/>
        <v>4.1999999999999997E-3</v>
      </c>
      <c r="C12" t="s">
        <v>18</v>
      </c>
      <c r="D12" t="s">
        <v>68</v>
      </c>
    </row>
    <row r="13" spans="1:4">
      <c r="A13" t="s">
        <v>69</v>
      </c>
      <c r="B13">
        <f t="shared" si="0"/>
        <v>5.0000000000000001E-3</v>
      </c>
      <c r="C13" t="s">
        <v>18</v>
      </c>
      <c r="D13" t="s">
        <v>70</v>
      </c>
    </row>
    <row r="14" spans="1:4">
      <c r="A14" t="s">
        <v>71</v>
      </c>
      <c r="B14">
        <f t="shared" si="0"/>
        <v>2E-3</v>
      </c>
      <c r="C14" t="s">
        <v>18</v>
      </c>
      <c r="D14" t="s">
        <v>72</v>
      </c>
    </row>
    <row r="15" spans="1:4">
      <c r="A15" t="s">
        <v>73</v>
      </c>
      <c r="B15">
        <f t="shared" si="0"/>
        <v>1E-3</v>
      </c>
      <c r="C15" t="s">
        <v>18</v>
      </c>
      <c r="D15" t="s">
        <v>74</v>
      </c>
    </row>
    <row r="17" spans="1:4">
      <c r="A17" s="6" t="s">
        <v>75</v>
      </c>
      <c r="B17" s="6"/>
      <c r="C17" s="6"/>
      <c r="D17" s="6"/>
    </row>
    <row r="18" spans="1:4">
      <c r="A18" s="1" t="s">
        <v>44</v>
      </c>
      <c r="B18" s="1" t="s">
        <v>1</v>
      </c>
      <c r="C18" s="1" t="s">
        <v>45</v>
      </c>
      <c r="D18" s="1" t="s">
        <v>46</v>
      </c>
    </row>
    <row r="19" spans="1:4">
      <c r="A19" t="s">
        <v>47</v>
      </c>
      <c r="B19">
        <v>2.5000000000000001E-4</v>
      </c>
      <c r="C19" t="s">
        <v>18</v>
      </c>
      <c r="D19" t="s">
        <v>76</v>
      </c>
    </row>
    <row r="20" spans="1:4">
      <c r="A20" t="s">
        <v>49</v>
      </c>
      <c r="B20">
        <v>1.0499999999999999E-3</v>
      </c>
      <c r="C20" t="s">
        <v>18</v>
      </c>
      <c r="D20" t="s">
        <v>77</v>
      </c>
    </row>
    <row r="21" spans="1:4">
      <c r="A21" t="s">
        <v>51</v>
      </c>
      <c r="B21">
        <v>0.08</v>
      </c>
      <c r="C21" t="s">
        <v>18</v>
      </c>
      <c r="D21" t="s">
        <v>52</v>
      </c>
    </row>
    <row r="22" spans="1:4">
      <c r="A22" t="s">
        <v>53</v>
      </c>
      <c r="B22">
        <v>1.2</v>
      </c>
      <c r="C22" t="s">
        <v>39</v>
      </c>
      <c r="D22" t="s">
        <v>78</v>
      </c>
    </row>
    <row r="23" spans="1:4">
      <c r="A23" t="s">
        <v>55</v>
      </c>
      <c r="B23">
        <v>2.1749999999999999E-3</v>
      </c>
      <c r="C23" t="s">
        <v>18</v>
      </c>
      <c r="D23" t="s">
        <v>79</v>
      </c>
    </row>
    <row r="24" spans="1:4">
      <c r="A24" t="s">
        <v>57</v>
      </c>
      <c r="B24" s="2">
        <v>2300000</v>
      </c>
      <c r="C24" t="s">
        <v>80</v>
      </c>
      <c r="D24" t="s">
        <v>59</v>
      </c>
    </row>
    <row r="25" spans="1:4">
      <c r="A25" t="s">
        <v>60</v>
      </c>
      <c r="B25">
        <v>12</v>
      </c>
      <c r="C25" t="s">
        <v>35</v>
      </c>
      <c r="D25" t="s">
        <v>61</v>
      </c>
    </row>
    <row r="26" spans="1:4">
      <c r="A26" t="s">
        <v>62</v>
      </c>
      <c r="B26">
        <v>2</v>
      </c>
      <c r="C26" t="s">
        <v>63</v>
      </c>
      <c r="D26" t="s">
        <v>64</v>
      </c>
    </row>
    <row r="27" spans="1:4">
      <c r="A27" t="s">
        <v>65</v>
      </c>
      <c r="B27">
        <v>4.5</v>
      </c>
      <c r="C27" t="s">
        <v>18</v>
      </c>
      <c r="D27" t="s">
        <v>66</v>
      </c>
    </row>
    <row r="28" spans="1:4">
      <c r="A28" t="s">
        <v>67</v>
      </c>
      <c r="B28">
        <f>B20*4</f>
        <v>4.1999999999999997E-3</v>
      </c>
      <c r="C28" t="s">
        <v>18</v>
      </c>
      <c r="D28" t="s">
        <v>68</v>
      </c>
    </row>
    <row r="29" spans="1:4">
      <c r="A29" t="s">
        <v>69</v>
      </c>
      <c r="B29">
        <v>5.0000000000000001E-3</v>
      </c>
      <c r="C29" t="s">
        <v>18</v>
      </c>
      <c r="D29" t="s">
        <v>70</v>
      </c>
    </row>
    <row r="30" spans="1:4">
      <c r="A30" t="s">
        <v>71</v>
      </c>
      <c r="B30">
        <v>2E-3</v>
      </c>
      <c r="C30" t="s">
        <v>18</v>
      </c>
      <c r="D30" t="s">
        <v>72</v>
      </c>
    </row>
    <row r="31" spans="1:4">
      <c r="A31" t="s">
        <v>73</v>
      </c>
      <c r="B31">
        <v>1E-3</v>
      </c>
      <c r="C31" t="s">
        <v>18</v>
      </c>
      <c r="D31" t="s">
        <v>74</v>
      </c>
    </row>
  </sheetData>
  <mergeCells count="2">
    <mergeCell ref="A1:D1"/>
    <mergeCell ref="A17:D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Calculations</vt:lpstr>
      <vt:lpstr>Sheet4</vt:lpstr>
      <vt:lpstr>Br_core</vt:lpstr>
      <vt:lpstr>distance_rg2</vt:lpstr>
      <vt:lpstr>I_max</vt:lpstr>
      <vt:lpstr>l_connector</vt:lpstr>
      <vt:lpstr>l_core</vt:lpstr>
      <vt:lpstr>l_max_tube</vt:lpstr>
      <vt:lpstr>l_plunger</vt:lpstr>
      <vt:lpstr>r_core</vt:lpstr>
      <vt:lpstr>r_tube_In</vt:lpstr>
      <vt:lpstr>r_tube_Out</vt:lpstr>
      <vt:lpstr>rho_wire</vt:lpstr>
      <vt:lpstr>thickness_shell</vt:lpstr>
      <vt:lpstr>V_max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Jason Yunhe Guan</dc:creator>
  <cp:keywords/>
  <dc:description/>
  <cp:lastModifiedBy>Jason Yunhe Guan</cp:lastModifiedBy>
  <cp:revision/>
  <dcterms:created xsi:type="dcterms:W3CDTF">2019-05-23T06:44:46Z</dcterms:created>
  <dcterms:modified xsi:type="dcterms:W3CDTF">2019-06-09T22:27:39Z</dcterms:modified>
  <cp:category/>
  <cp:contentStatus/>
</cp:coreProperties>
</file>