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an/Desktop/"/>
    </mc:Choice>
  </mc:AlternateContent>
  <xr:revisionPtr revIDLastSave="0" documentId="13_ncr:1_{11AC1E4A-106D-D54A-ACAD-3F8FD5DB7141}" xr6:coauthVersionLast="43" xr6:coauthVersionMax="43" xr10:uidLastSave="{00000000-0000-0000-0000-000000000000}"/>
  <bookViews>
    <workbookView xWindow="0" yWindow="0" windowWidth="25600" windowHeight="16000" xr2:uid="{C013C02E-C770-3C43-A9B8-5CAFF4E40BFF}"/>
  </bookViews>
  <sheets>
    <sheet name="Main" sheetId="2" r:id="rId1"/>
    <sheet name="Values" sheetId="1" r:id="rId2"/>
  </sheets>
  <definedNames>
    <definedName name="core_B">Values!$B$9</definedName>
    <definedName name="core_D">Values!$B$10</definedName>
    <definedName name="core_l">Values!$B$8</definedName>
    <definedName name="core_l_S">Values!$B$8</definedName>
    <definedName name="max_I">Values!$B$13</definedName>
    <definedName name="max_tube_l">Values!$B$14</definedName>
    <definedName name="max_V">Values!$B$12</definedName>
    <definedName name="Number_coils">Main!$B$4</definedName>
    <definedName name="Number_of_coils">Main!$B$4</definedName>
    <definedName name="Perm_free_space">Main!$B$5</definedName>
    <definedName name="shell_InD">Values!$B$3</definedName>
    <definedName name="shell_InD_S">Values!$B$3</definedName>
    <definedName name="shell_l">Values!$B$7</definedName>
    <definedName name="shell_l_S">Values!$B$7</definedName>
    <definedName name="shell_OutD">Values!$B$4</definedName>
    <definedName name="shell_OutD_S">Values!$B$4</definedName>
    <definedName name="shellInnerDiameter">Values!$B$3</definedName>
    <definedName name="shellOuterDiameter">Values!$B$4</definedName>
    <definedName name="tube_InD">Values!$B$5</definedName>
    <definedName name="tube_InD_S">Values!$B$5</definedName>
    <definedName name="tube_OutD">Values!$B$6</definedName>
    <definedName name="tube_OutD_">Values!$B$6</definedName>
    <definedName name="tube_OutD_S">Values!$B$6</definedName>
    <definedName name="wire_Resistivity">Values!$B$11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4" i="1"/>
  <c r="B5" i="1"/>
  <c r="B6" i="1"/>
  <c r="B7" i="1"/>
  <c r="B8" i="1"/>
  <c r="B9" i="1"/>
  <c r="B3" i="1"/>
  <c r="B4" i="2" l="1"/>
  <c r="B5" i="2"/>
  <c r="B41" i="2" l="1"/>
  <c r="B30" i="2"/>
  <c r="B34" i="2" s="1"/>
  <c r="B19" i="2"/>
  <c r="B23" i="2" s="1"/>
  <c r="B25" i="2" s="1"/>
  <c r="B52" i="2"/>
  <c r="B56" i="2" s="1"/>
  <c r="B8" i="2"/>
  <c r="B9" i="2" s="1"/>
  <c r="E9" i="2" s="1"/>
  <c r="B24" i="2" l="1"/>
  <c r="B20" i="2"/>
  <c r="B26" i="2" s="1"/>
  <c r="B36" i="2"/>
  <c r="B35" i="2"/>
  <c r="B45" i="2"/>
  <c r="B42" i="2"/>
  <c r="B58" i="2"/>
  <c r="B59" i="2" s="1"/>
  <c r="B57" i="2"/>
  <c r="B12" i="2"/>
  <c r="B31" i="2"/>
  <c r="B53" i="2"/>
  <c r="E10" i="2"/>
  <c r="E20" i="2"/>
  <c r="B10" i="2"/>
  <c r="B11" i="2" s="1"/>
  <c r="E11" i="2" s="1"/>
  <c r="B37" i="2" l="1"/>
  <c r="B14" i="2"/>
  <c r="B15" i="2" s="1"/>
  <c r="B16" i="2" s="1"/>
  <c r="B27" i="2" s="1"/>
  <c r="B13" i="2"/>
  <c r="B46" i="2"/>
  <c r="B47" i="2"/>
  <c r="B48" i="2" s="1"/>
  <c r="E31" i="2"/>
  <c r="E42" i="2" s="1"/>
  <c r="E53" i="2" s="1"/>
  <c r="E21" i="2"/>
  <c r="B21" i="2"/>
  <c r="B22" i="2" s="1"/>
  <c r="E22" i="2" s="1"/>
  <c r="B38" i="2" l="1"/>
  <c r="B49" i="2" s="1"/>
  <c r="B60" i="2" s="1"/>
  <c r="E54" i="2"/>
  <c r="B54" i="2"/>
  <c r="B55" i="2" s="1"/>
  <c r="E55" i="2" s="1"/>
  <c r="B43" i="2"/>
  <c r="B44" i="2" s="1"/>
  <c r="E44" i="2" s="1"/>
  <c r="E43" i="2"/>
  <c r="E32" i="2"/>
  <c r="B32" i="2"/>
  <c r="B33" i="2" s="1"/>
  <c r="E33" i="2" s="1"/>
</calcChain>
</file>

<file path=xl/sharedStrings.xml><?xml version="1.0" encoding="utf-8"?>
<sst xmlns="http://schemas.openxmlformats.org/spreadsheetml/2006/main" count="224" uniqueCount="68">
  <si>
    <t>Name</t>
  </si>
  <si>
    <t>Value</t>
  </si>
  <si>
    <t>Units</t>
  </si>
  <si>
    <t>T</t>
  </si>
  <si>
    <t>shell_l</t>
  </si>
  <si>
    <t>core_B</t>
  </si>
  <si>
    <t>Description</t>
  </si>
  <si>
    <t>Inner diameter of shell (Syringe)</t>
  </si>
  <si>
    <t>Outer diameter of shell (Syringe)</t>
  </si>
  <si>
    <t>Inner diameter of sillicone tube</t>
  </si>
  <si>
    <t>Outer diameter of sillicone tube</t>
  </si>
  <si>
    <t>Length of shell (Syringe)</t>
  </si>
  <si>
    <t>Length of motor core</t>
  </si>
  <si>
    <t>core_D</t>
  </si>
  <si>
    <t>Diameter of motor core</t>
  </si>
  <si>
    <t>Coil diameter</t>
  </si>
  <si>
    <t>Unitless</t>
  </si>
  <si>
    <t>Constants</t>
  </si>
  <si>
    <t>Wire length</t>
  </si>
  <si>
    <t>Cumulative wire length</t>
  </si>
  <si>
    <t>Cumulative resistance</t>
  </si>
  <si>
    <t>wire_Resistivity</t>
  </si>
  <si>
    <t>ohm/m</t>
  </si>
  <si>
    <t>Resistivity of wire</t>
  </si>
  <si>
    <t>Enough wire?</t>
  </si>
  <si>
    <t>Name (Cumulative)</t>
  </si>
  <si>
    <t>Boolean</t>
  </si>
  <si>
    <t>Ohm</t>
  </si>
  <si>
    <t>A</t>
  </si>
  <si>
    <t>max_V</t>
  </si>
  <si>
    <t>V</t>
  </si>
  <si>
    <t>Max voltage output of power supply</t>
  </si>
  <si>
    <t>max_I</t>
  </si>
  <si>
    <t>Max current output of power supply</t>
  </si>
  <si>
    <t>core_l</t>
  </si>
  <si>
    <t>tube_OutD</t>
  </si>
  <si>
    <t>tube_InD</t>
  </si>
  <si>
    <t>shell_OutD</t>
  </si>
  <si>
    <t>shell_InD</t>
  </si>
  <si>
    <t>max_tube_l</t>
  </si>
  <si>
    <t>How much tube I have</t>
  </si>
  <si>
    <t>Linked Set</t>
  </si>
  <si>
    <t>Syringe Set</t>
  </si>
  <si>
    <t>Inner diameter of shell</t>
  </si>
  <si>
    <t>Outer diameter of shell</t>
  </si>
  <si>
    <t>Length of shell</t>
  </si>
  <si>
    <t>Magnetic field stength of core</t>
  </si>
  <si>
    <t>Max current voltage</t>
  </si>
  <si>
    <t>Enough voltage?</t>
  </si>
  <si>
    <t>Perm_free_space</t>
  </si>
  <si>
    <t>Number_coils</t>
  </si>
  <si>
    <t>H/m</t>
  </si>
  <si>
    <t>m</t>
  </si>
  <si>
    <t>Coil radius</t>
  </si>
  <si>
    <t>Coil area</t>
  </si>
  <si>
    <t>m^2</t>
  </si>
  <si>
    <t>Magnetic field stength of core - N35 is the most common for neodynium magnets</t>
  </si>
  <si>
    <t>Magnetic field strength at coil Bc</t>
  </si>
  <si>
    <t>F = BIL</t>
  </si>
  <si>
    <t>N</t>
  </si>
  <si>
    <t>Cumulative force</t>
  </si>
  <si>
    <t>Use max current power supply can do</t>
  </si>
  <si>
    <t>Assume:</t>
  </si>
  <si>
    <t>Layer</t>
  </si>
  <si>
    <t>B(x)=Bo*L*L/(2x+L)^2</t>
  </si>
  <si>
    <t>L = cylinder height</t>
  </si>
  <si>
    <t>x = distance from magnet centre</t>
  </si>
  <si>
    <t>Is this formula right?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</si>
</sst>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0" xfId="0" applyFont="1" applyFill="1"/>
    <xf numFmtId="11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8602-7C75-7447-B7FF-CB47A3AE9513}">
  <dimension ref="A1:H60"/>
  <sheetViews>
    <sheetView tabSelected="1" workbookViewId="0">
      <selection activeCell="E15" sqref="E15"/>
    </sheetView>
  </sheetViews>
  <sheetFormatPr baseColWidth="10" defaultRowHeight="16"/>
  <cols>
    <col min="1" max="1" width="34.6640625" style="1" customWidth="1"/>
    <col min="2" max="2" width="12.1640625" bestFit="1" customWidth="1"/>
    <col min="4" max="4" width="22.6640625" style="1" customWidth="1"/>
    <col min="5" max="5" width="27.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25</v>
      </c>
      <c r="E1" s="2" t="s">
        <v>1</v>
      </c>
      <c r="F1" s="2" t="s">
        <v>2</v>
      </c>
      <c r="H1" t="s">
        <v>62</v>
      </c>
    </row>
    <row r="2" spans="1:8">
      <c r="B2" s="1"/>
      <c r="C2" s="1"/>
      <c r="H2" t="s">
        <v>61</v>
      </c>
    </row>
    <row r="3" spans="1:8">
      <c r="A3" s="5" t="s">
        <v>17</v>
      </c>
      <c r="B3" s="5"/>
      <c r="C3" s="5"/>
    </row>
    <row r="4" spans="1:8">
      <c r="A4" s="1" t="s">
        <v>50</v>
      </c>
      <c r="B4">
        <f>shell_l/tube_OutD</f>
        <v>33.333333333333329</v>
      </c>
      <c r="C4" t="s">
        <v>16</v>
      </c>
    </row>
    <row r="5" spans="1:8">
      <c r="A5" s="1" t="s">
        <v>49</v>
      </c>
      <c r="B5">
        <f>4*PI()*0.0000001</f>
        <v>1.2566370614359173E-6</v>
      </c>
      <c r="C5" t="s">
        <v>51</v>
      </c>
    </row>
    <row r="7" spans="1:8">
      <c r="A7" s="4" t="s">
        <v>63</v>
      </c>
      <c r="B7" s="5">
        <v>1</v>
      </c>
      <c r="C7" s="5"/>
      <c r="D7" s="5"/>
      <c r="E7" s="5"/>
      <c r="F7" s="5"/>
    </row>
    <row r="8" spans="1:8">
      <c r="A8" s="1" t="s">
        <v>15</v>
      </c>
      <c r="B8">
        <f>shell_OutD+tube_OutD*B7</f>
        <v>8.9499999999999996E-3</v>
      </c>
      <c r="C8" t="s">
        <v>52</v>
      </c>
    </row>
    <row r="9" spans="1:8">
      <c r="A9" s="1" t="s">
        <v>18</v>
      </c>
      <c r="B9">
        <f>Number_coils*PI()*B8</f>
        <v>0.93724180832095472</v>
      </c>
      <c r="C9" t="s">
        <v>52</v>
      </c>
      <c r="D9" s="1" t="s">
        <v>19</v>
      </c>
      <c r="E9">
        <f>B9</f>
        <v>0.93724180832095472</v>
      </c>
      <c r="F9" t="s">
        <v>52</v>
      </c>
    </row>
    <row r="10" spans="1:8">
      <c r="A10" s="1" t="s">
        <v>20</v>
      </c>
      <c r="B10" s="3">
        <f>E9*wire_Resistivity</f>
        <v>0.40770018661961532</v>
      </c>
      <c r="C10" t="s">
        <v>27</v>
      </c>
      <c r="D10" s="1" t="s">
        <v>24</v>
      </c>
      <c r="E10" t="b">
        <f>E9&lt;max_tube_l</f>
        <v>1</v>
      </c>
      <c r="F10" t="s">
        <v>26</v>
      </c>
    </row>
    <row r="11" spans="1:8">
      <c r="A11" s="1" t="s">
        <v>47</v>
      </c>
      <c r="B11" s="3">
        <f>max_I*Main!B10</f>
        <v>0.81540037323923065</v>
      </c>
      <c r="C11" t="s">
        <v>30</v>
      </c>
      <c r="D11" s="1" t="s">
        <v>48</v>
      </c>
      <c r="E11" t="b">
        <f>B11&lt;max_V</f>
        <v>1</v>
      </c>
      <c r="F11" t="s">
        <v>26</v>
      </c>
    </row>
    <row r="12" spans="1:8">
      <c r="A12" s="1" t="s">
        <v>53</v>
      </c>
      <c r="B12">
        <f>B8/2</f>
        <v>4.4749999999999998E-3</v>
      </c>
      <c r="C12" t="s">
        <v>52</v>
      </c>
    </row>
    <row r="13" spans="1:8">
      <c r="A13" s="1" t="s">
        <v>54</v>
      </c>
      <c r="B13">
        <f>PI()*B12^2</f>
        <v>6.2912356383544092E-5</v>
      </c>
      <c r="C13" t="s">
        <v>55</v>
      </c>
    </row>
    <row r="14" spans="1:8">
      <c r="A14" s="1" t="s">
        <v>57</v>
      </c>
      <c r="B14">
        <f>core_B*core_l*core_l/((2*Main!B12+core_l)^2)</f>
        <v>0.97066487700329962</v>
      </c>
      <c r="C14" t="s">
        <v>3</v>
      </c>
      <c r="D14" s="1" t="s">
        <v>67</v>
      </c>
      <c r="E14" t="s">
        <v>64</v>
      </c>
    </row>
    <row r="15" spans="1:8">
      <c r="A15" s="1" t="s">
        <v>58</v>
      </c>
      <c r="B15">
        <f>B14*max_I*Main!B9</f>
        <v>1.8194954091924194</v>
      </c>
      <c r="C15" t="s">
        <v>59</v>
      </c>
      <c r="E15" t="s">
        <v>65</v>
      </c>
    </row>
    <row r="16" spans="1:8">
      <c r="A16" s="1" t="s">
        <v>60</v>
      </c>
      <c r="B16">
        <f>B15</f>
        <v>1.8194954091924194</v>
      </c>
      <c r="C16" t="s">
        <v>59</v>
      </c>
      <c r="E16" t="s">
        <v>66</v>
      </c>
    </row>
    <row r="18" spans="1:6">
      <c r="A18" s="4" t="s">
        <v>63</v>
      </c>
      <c r="B18" s="5">
        <v>2</v>
      </c>
      <c r="C18" s="5"/>
      <c r="D18" s="5"/>
      <c r="E18" s="5"/>
      <c r="F18" s="5"/>
    </row>
    <row r="19" spans="1:6">
      <c r="A19" s="1" t="s">
        <v>15</v>
      </c>
      <c r="B19">
        <f>shell_OutD+tube_OutD*B18</f>
        <v>1.1050000000000001E-2</v>
      </c>
      <c r="C19" t="s">
        <v>52</v>
      </c>
    </row>
    <row r="20" spans="1:6">
      <c r="A20" s="1" t="s">
        <v>18</v>
      </c>
      <c r="B20">
        <f>Number_coils*PI()*$B19</f>
        <v>1.1571532940722404</v>
      </c>
      <c r="C20" t="s">
        <v>52</v>
      </c>
      <c r="D20" s="1" t="s">
        <v>19</v>
      </c>
      <c r="E20">
        <f>E9+B20</f>
        <v>2.0943951023931953</v>
      </c>
      <c r="F20" t="s">
        <v>52</v>
      </c>
    </row>
    <row r="21" spans="1:6">
      <c r="A21" s="1" t="s">
        <v>20</v>
      </c>
      <c r="B21" s="3">
        <f>E20*wire_Resistivity</f>
        <v>0.91106186954103996</v>
      </c>
      <c r="C21" t="s">
        <v>27</v>
      </c>
      <c r="D21" s="1" t="s">
        <v>24</v>
      </c>
      <c r="E21" t="b">
        <f>E20&lt;max_tube_l</f>
        <v>1</v>
      </c>
      <c r="F21" t="s">
        <v>26</v>
      </c>
    </row>
    <row r="22" spans="1:6">
      <c r="A22" s="1" t="s">
        <v>47</v>
      </c>
      <c r="B22" s="3">
        <f>max_I*Main!B21</f>
        <v>1.8221237390820799</v>
      </c>
      <c r="C22" t="s">
        <v>30</v>
      </c>
      <c r="D22" s="1" t="s">
        <v>48</v>
      </c>
      <c r="E22" t="b">
        <f>B22&lt;max_V</f>
        <v>1</v>
      </c>
      <c r="F22" t="s">
        <v>26</v>
      </c>
    </row>
    <row r="23" spans="1:6">
      <c r="A23" s="1" t="s">
        <v>53</v>
      </c>
      <c r="B23">
        <f>B19/2</f>
        <v>5.5250000000000004E-3</v>
      </c>
      <c r="C23" t="s">
        <v>52</v>
      </c>
    </row>
    <row r="24" spans="1:6">
      <c r="A24" s="1" t="s">
        <v>54</v>
      </c>
      <c r="B24">
        <f>PI()*B23^2</f>
        <v>9.5899079246236944E-5</v>
      </c>
      <c r="C24" t="s">
        <v>55</v>
      </c>
    </row>
    <row r="25" spans="1:6">
      <c r="A25" s="1" t="s">
        <v>57</v>
      </c>
      <c r="B25">
        <f>core_B*core_l*core_l/((2*B23+core_l)^2)</f>
        <v>0.92640591597027899</v>
      </c>
      <c r="C25" t="s">
        <v>3</v>
      </c>
    </row>
    <row r="26" spans="1:6">
      <c r="A26" s="1" t="s">
        <v>58</v>
      </c>
      <c r="B26">
        <f>B25*max_I*Main!B20</f>
        <v>2.1439873146260391</v>
      </c>
      <c r="C26" t="s">
        <v>59</v>
      </c>
    </row>
    <row r="27" spans="1:6">
      <c r="A27" s="1" t="s">
        <v>60</v>
      </c>
      <c r="B27">
        <f>B26+B16</f>
        <v>3.9634827238184585</v>
      </c>
      <c r="C27" t="s">
        <v>59</v>
      </c>
    </row>
    <row r="29" spans="1:6">
      <c r="A29" s="4" t="s">
        <v>63</v>
      </c>
      <c r="B29" s="5">
        <v>3</v>
      </c>
      <c r="C29" s="5"/>
      <c r="D29" s="5"/>
      <c r="E29" s="5"/>
      <c r="F29" s="5"/>
    </row>
    <row r="30" spans="1:6">
      <c r="A30" s="1" t="s">
        <v>15</v>
      </c>
      <c r="B30">
        <f>shell_OutD+tube_OutD*B29</f>
        <v>1.315E-2</v>
      </c>
      <c r="C30" t="s">
        <v>52</v>
      </c>
    </row>
    <row r="31" spans="1:6">
      <c r="A31" s="1" t="s">
        <v>18</v>
      </c>
      <c r="B31">
        <f>Number_coils*PI()*$B30</f>
        <v>1.3770647798235258</v>
      </c>
      <c r="C31" t="s">
        <v>52</v>
      </c>
      <c r="D31" s="1" t="s">
        <v>19</v>
      </c>
      <c r="E31">
        <f>E20+B31</f>
        <v>3.4714598822167213</v>
      </c>
      <c r="F31" t="s">
        <v>52</v>
      </c>
    </row>
    <row r="32" spans="1:6">
      <c r="A32" s="1" t="s">
        <v>20</v>
      </c>
      <c r="B32" s="3">
        <f>E31*wire_Resistivity</f>
        <v>1.5100850487642739</v>
      </c>
      <c r="C32" t="s">
        <v>27</v>
      </c>
      <c r="D32" s="1" t="s">
        <v>24</v>
      </c>
      <c r="E32" t="b">
        <f>E31&lt;max_tube_l</f>
        <v>1</v>
      </c>
      <c r="F32" t="s">
        <v>26</v>
      </c>
    </row>
    <row r="33" spans="1:6">
      <c r="A33" s="1" t="s">
        <v>47</v>
      </c>
      <c r="B33" s="3">
        <f>max_I*Main!B32</f>
        <v>3.0201700975285477</v>
      </c>
      <c r="C33" t="s">
        <v>30</v>
      </c>
      <c r="D33" s="1" t="s">
        <v>48</v>
      </c>
      <c r="E33" t="b">
        <f>B33&lt;max_V</f>
        <v>1</v>
      </c>
      <c r="F33" t="s">
        <v>26</v>
      </c>
    </row>
    <row r="34" spans="1:6">
      <c r="A34" s="1" t="s">
        <v>53</v>
      </c>
      <c r="B34">
        <f>B30/2</f>
        <v>6.5750000000000001E-3</v>
      </c>
      <c r="C34" t="s">
        <v>52</v>
      </c>
    </row>
    <row r="35" spans="1:6">
      <c r="A35" s="1" t="s">
        <v>54</v>
      </c>
      <c r="B35">
        <f>PI()*B34^2</f>
        <v>1.3581301391009525E-4</v>
      </c>
      <c r="C35" t="s">
        <v>55</v>
      </c>
    </row>
    <row r="36" spans="1:6">
      <c r="A36" s="1" t="s">
        <v>57</v>
      </c>
      <c r="B36">
        <f>core_B*core_l*core_l/((2*B34+core_l)^2)</f>
        <v>0.88510644182888576</v>
      </c>
      <c r="C36" t="s">
        <v>3</v>
      </c>
    </row>
    <row r="37" spans="1:6">
      <c r="A37" s="1" t="s">
        <v>58</v>
      </c>
      <c r="B37">
        <f>B36*max_I*Main!B31</f>
        <v>2.4376978148749577</v>
      </c>
      <c r="C37" t="s">
        <v>59</v>
      </c>
    </row>
    <row r="38" spans="1:6">
      <c r="A38" s="1" t="s">
        <v>60</v>
      </c>
      <c r="B38">
        <f>B37+B27</f>
        <v>6.4011805386934162</v>
      </c>
      <c r="C38" t="s">
        <v>59</v>
      </c>
    </row>
    <row r="40" spans="1:6">
      <c r="A40" s="4" t="s">
        <v>63</v>
      </c>
      <c r="B40" s="5">
        <v>4</v>
      </c>
      <c r="C40" s="5"/>
      <c r="D40" s="5"/>
      <c r="E40" s="5"/>
      <c r="F40" s="5"/>
    </row>
    <row r="41" spans="1:6">
      <c r="A41" s="1" t="s">
        <v>15</v>
      </c>
      <c r="B41">
        <f>shell_OutD+tube_OutD*B40</f>
        <v>1.525E-2</v>
      </c>
      <c r="C41" t="s">
        <v>52</v>
      </c>
    </row>
    <row r="42" spans="1:6">
      <c r="A42" s="1" t="s">
        <v>18</v>
      </c>
      <c r="B42">
        <f>Number_coils*PI()*$B41</f>
        <v>1.5969762655748112</v>
      </c>
      <c r="C42" t="s">
        <v>52</v>
      </c>
      <c r="D42" s="1" t="s">
        <v>19</v>
      </c>
      <c r="E42">
        <f>E31+B42</f>
        <v>5.0684361477915321</v>
      </c>
      <c r="F42" t="s">
        <v>52</v>
      </c>
    </row>
    <row r="43" spans="1:6">
      <c r="A43" s="1" t="s">
        <v>20</v>
      </c>
      <c r="B43" s="3">
        <f>E42*wire_Resistivity</f>
        <v>2.2047697242893163</v>
      </c>
      <c r="C43" t="s">
        <v>27</v>
      </c>
      <c r="D43" s="1" t="s">
        <v>24</v>
      </c>
      <c r="E43" t="b">
        <f>E42&lt;max_tube_l</f>
        <v>0</v>
      </c>
      <c r="F43" t="s">
        <v>26</v>
      </c>
    </row>
    <row r="44" spans="1:6">
      <c r="A44" s="1" t="s">
        <v>47</v>
      </c>
      <c r="B44" s="3">
        <f>max_I*Main!B43</f>
        <v>4.4095394485786326</v>
      </c>
      <c r="C44" t="s">
        <v>30</v>
      </c>
      <c r="D44" s="1" t="s">
        <v>48</v>
      </c>
      <c r="E44" t="b">
        <f>B44&lt;max_V</f>
        <v>1</v>
      </c>
      <c r="F44" t="s">
        <v>26</v>
      </c>
    </row>
    <row r="45" spans="1:6">
      <c r="A45" s="1" t="s">
        <v>53</v>
      </c>
      <c r="B45">
        <f>B41/2</f>
        <v>7.6249999999999998E-3</v>
      </c>
      <c r="C45" t="s">
        <v>52</v>
      </c>
    </row>
    <row r="46" spans="1:6">
      <c r="A46" s="1" t="s">
        <v>54</v>
      </c>
      <c r="B46">
        <f>PI()*B45^2</f>
        <v>1.8265416037511906E-4</v>
      </c>
      <c r="C46" t="s">
        <v>55</v>
      </c>
    </row>
    <row r="47" spans="1:6">
      <c r="A47" s="1" t="s">
        <v>57</v>
      </c>
      <c r="B47">
        <f>core_B*core_l*core_l/((2*B45+core_l)^2)</f>
        <v>0.846508359683386</v>
      </c>
      <c r="C47" t="s">
        <v>3</v>
      </c>
    </row>
    <row r="48" spans="1:6">
      <c r="A48" s="1" t="s">
        <v>58</v>
      </c>
      <c r="B48">
        <f>B47*max_I*Main!B42</f>
        <v>2.7037075180500656</v>
      </c>
      <c r="C48" t="s">
        <v>59</v>
      </c>
    </row>
    <row r="49" spans="1:6">
      <c r="A49" s="1" t="s">
        <v>60</v>
      </c>
      <c r="B49">
        <f>B48+B38</f>
        <v>9.1048880567434818</v>
      </c>
      <c r="C49" t="s">
        <v>59</v>
      </c>
    </row>
    <row r="51" spans="1:6">
      <c r="A51" s="4" t="s">
        <v>63</v>
      </c>
      <c r="B51" s="5">
        <v>5</v>
      </c>
      <c r="C51" s="5"/>
      <c r="D51" s="5"/>
      <c r="E51" s="5"/>
      <c r="F51" s="5"/>
    </row>
    <row r="52" spans="1:6">
      <c r="A52" s="1" t="s">
        <v>15</v>
      </c>
      <c r="B52">
        <f>shell_OutD+tube_OutD*B51</f>
        <v>1.7350000000000001E-2</v>
      </c>
      <c r="C52" t="s">
        <v>52</v>
      </c>
    </row>
    <row r="53" spans="1:6">
      <c r="A53" s="1" t="s">
        <v>18</v>
      </c>
      <c r="B53">
        <f>Number_coils*PI()*$B52</f>
        <v>1.8168877513260968</v>
      </c>
      <c r="C53" t="s">
        <v>52</v>
      </c>
      <c r="D53" s="1" t="s">
        <v>19</v>
      </c>
      <c r="E53">
        <f>E42+B53</f>
        <v>6.8853238991176289</v>
      </c>
      <c r="F53" t="s">
        <v>52</v>
      </c>
    </row>
    <row r="54" spans="1:6">
      <c r="A54" s="1" t="s">
        <v>20</v>
      </c>
      <c r="B54" s="3">
        <f>E53*wire_Resistivity</f>
        <v>2.9951158961161686</v>
      </c>
      <c r="C54" t="s">
        <v>27</v>
      </c>
      <c r="D54" s="1" t="s">
        <v>24</v>
      </c>
      <c r="E54" t="b">
        <f>E53&lt;max_tube_l</f>
        <v>0</v>
      </c>
      <c r="F54" t="s">
        <v>26</v>
      </c>
    </row>
    <row r="55" spans="1:6">
      <c r="A55" s="1" t="s">
        <v>47</v>
      </c>
      <c r="B55" s="3">
        <f>max_I*Main!B54</f>
        <v>5.9902317922323371</v>
      </c>
      <c r="C55" t="s">
        <v>30</v>
      </c>
      <c r="D55" s="1" t="s">
        <v>48</v>
      </c>
      <c r="E55" t="b">
        <f>B55&lt;max_V</f>
        <v>1</v>
      </c>
      <c r="F55" t="s">
        <v>26</v>
      </c>
    </row>
    <row r="56" spans="1:6">
      <c r="A56" s="1" t="s">
        <v>53</v>
      </c>
      <c r="B56">
        <f>B52/2</f>
        <v>8.6750000000000004E-3</v>
      </c>
      <c r="C56" t="s">
        <v>52</v>
      </c>
    </row>
    <row r="57" spans="1:6">
      <c r="A57" s="1" t="s">
        <v>54</v>
      </c>
      <c r="B57">
        <f>PI()*B56^2</f>
        <v>2.3642251864130839E-4</v>
      </c>
      <c r="C57" t="s">
        <v>55</v>
      </c>
    </row>
    <row r="58" spans="1:6">
      <c r="A58" s="1" t="s">
        <v>57</v>
      </c>
      <c r="B58">
        <f>core_B*core_l*core_l/((2*B56+core_l)^2)</f>
        <v>0.81038110862351531</v>
      </c>
      <c r="C58" t="s">
        <v>3</v>
      </c>
    </row>
    <row r="59" spans="1:6">
      <c r="A59" s="1" t="s">
        <v>58</v>
      </c>
      <c r="B59">
        <f>B58*max_I*Main!B53</f>
        <v>2.9447430203282563</v>
      </c>
      <c r="C59" t="s">
        <v>59</v>
      </c>
    </row>
    <row r="60" spans="1:6">
      <c r="A60" s="1" t="s">
        <v>60</v>
      </c>
      <c r="B60">
        <f>B59+B49</f>
        <v>12.049631077071737</v>
      </c>
      <c r="C60" t="s">
        <v>59</v>
      </c>
    </row>
  </sheetData>
  <mergeCells count="6">
    <mergeCell ref="B51:F51"/>
    <mergeCell ref="A3:C3"/>
    <mergeCell ref="B40:F40"/>
    <mergeCell ref="B29:F29"/>
    <mergeCell ref="B18:F18"/>
    <mergeCell ref="B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6440-65ED-C041-980F-96AEEFEA3DCE}">
  <dimension ref="A1:D29"/>
  <sheetViews>
    <sheetView workbookViewId="0">
      <selection activeCell="B10" sqref="B10"/>
    </sheetView>
  </sheetViews>
  <sheetFormatPr baseColWidth="10" defaultRowHeight="16"/>
  <cols>
    <col min="1" max="1" width="18.6640625" customWidth="1"/>
  </cols>
  <sheetData>
    <row r="1" spans="1:4">
      <c r="A1" s="6" t="s">
        <v>41</v>
      </c>
      <c r="B1" s="6"/>
      <c r="C1" s="6"/>
      <c r="D1" s="6"/>
    </row>
    <row r="2" spans="1:4">
      <c r="A2" s="1" t="s">
        <v>0</v>
      </c>
      <c r="B2" s="1" t="s">
        <v>1</v>
      </c>
      <c r="C2" s="1" t="s">
        <v>2</v>
      </c>
      <c r="D2" s="1" t="s">
        <v>6</v>
      </c>
    </row>
    <row r="3" spans="1:4">
      <c r="A3" t="s">
        <v>38</v>
      </c>
      <c r="B3">
        <f>B18</f>
        <v>4.3499999999999997E-3</v>
      </c>
      <c r="C3" t="s">
        <v>52</v>
      </c>
      <c r="D3" t="s">
        <v>43</v>
      </c>
    </row>
    <row r="4" spans="1:4">
      <c r="A4" t="s">
        <v>37</v>
      </c>
      <c r="B4">
        <f t="shared" ref="B4:B14" si="0">B19</f>
        <v>6.8499999999999993E-3</v>
      </c>
      <c r="C4" t="s">
        <v>52</v>
      </c>
      <c r="D4" t="s">
        <v>44</v>
      </c>
    </row>
    <row r="5" spans="1:4">
      <c r="A5" t="s">
        <v>36</v>
      </c>
      <c r="B5">
        <f t="shared" si="0"/>
        <v>5.0000000000000001E-4</v>
      </c>
      <c r="C5" t="s">
        <v>52</v>
      </c>
      <c r="D5" t="s">
        <v>9</v>
      </c>
    </row>
    <row r="6" spans="1:4">
      <c r="A6" t="s">
        <v>35</v>
      </c>
      <c r="B6">
        <f t="shared" si="0"/>
        <v>2.1000000000000003E-3</v>
      </c>
      <c r="C6" t="s">
        <v>52</v>
      </c>
      <c r="D6" t="s">
        <v>10</v>
      </c>
    </row>
    <row r="7" spans="1:4">
      <c r="A7" t="s">
        <v>4</v>
      </c>
      <c r="B7">
        <f t="shared" si="0"/>
        <v>7.0000000000000007E-2</v>
      </c>
      <c r="C7" t="s">
        <v>52</v>
      </c>
      <c r="D7" t="s">
        <v>45</v>
      </c>
    </row>
    <row r="8" spans="1:4">
      <c r="A8" t="s">
        <v>34</v>
      </c>
      <c r="B8">
        <f t="shared" si="0"/>
        <v>0.08</v>
      </c>
      <c r="C8" t="s">
        <v>52</v>
      </c>
      <c r="D8" t="s">
        <v>12</v>
      </c>
    </row>
    <row r="9" spans="1:4">
      <c r="A9" t="s">
        <v>5</v>
      </c>
      <c r="B9">
        <f t="shared" si="0"/>
        <v>1.2</v>
      </c>
      <c r="C9" t="s">
        <v>3</v>
      </c>
      <c r="D9" t="s">
        <v>46</v>
      </c>
    </row>
    <row r="10" spans="1:4">
      <c r="A10" t="s">
        <v>13</v>
      </c>
      <c r="B10">
        <f t="shared" si="0"/>
        <v>4.3499999999999997E-3</v>
      </c>
      <c r="C10" t="s">
        <v>52</v>
      </c>
      <c r="D10" t="s">
        <v>14</v>
      </c>
    </row>
    <row r="11" spans="1:4">
      <c r="A11" t="s">
        <v>21</v>
      </c>
      <c r="B11">
        <f t="shared" si="0"/>
        <v>0.435</v>
      </c>
      <c r="C11" t="s">
        <v>22</v>
      </c>
      <c r="D11" t="s">
        <v>23</v>
      </c>
    </row>
    <row r="12" spans="1:4">
      <c r="A12" t="s">
        <v>29</v>
      </c>
      <c r="B12">
        <f t="shared" si="0"/>
        <v>12</v>
      </c>
      <c r="C12" t="s">
        <v>30</v>
      </c>
      <c r="D12" t="s">
        <v>31</v>
      </c>
    </row>
    <row r="13" spans="1:4">
      <c r="A13" t="s">
        <v>32</v>
      </c>
      <c r="B13">
        <f t="shared" si="0"/>
        <v>2</v>
      </c>
      <c r="C13" t="s">
        <v>28</v>
      </c>
      <c r="D13" t="s">
        <v>33</v>
      </c>
    </row>
    <row r="14" spans="1:4">
      <c r="A14" t="s">
        <v>39</v>
      </c>
      <c r="B14">
        <f t="shared" si="0"/>
        <v>4.5</v>
      </c>
      <c r="C14" t="s">
        <v>52</v>
      </c>
      <c r="D14" t="s">
        <v>40</v>
      </c>
    </row>
    <row r="16" spans="1:4">
      <c r="A16" s="7" t="s">
        <v>42</v>
      </c>
      <c r="B16" s="7"/>
      <c r="C16" s="7"/>
      <c r="D16" s="7"/>
    </row>
    <row r="17" spans="1:4">
      <c r="A17" s="1" t="s">
        <v>0</v>
      </c>
      <c r="B17" s="1" t="s">
        <v>1</v>
      </c>
      <c r="C17" s="1" t="s">
        <v>2</v>
      </c>
      <c r="D17" s="1" t="s">
        <v>6</v>
      </c>
    </row>
    <row r="18" spans="1:4">
      <c r="A18" t="s">
        <v>38</v>
      </c>
      <c r="B18">
        <v>4.3499999999999997E-3</v>
      </c>
      <c r="C18" t="s">
        <v>52</v>
      </c>
      <c r="D18" t="s">
        <v>7</v>
      </c>
    </row>
    <row r="19" spans="1:4">
      <c r="A19" t="s">
        <v>37</v>
      </c>
      <c r="B19">
        <v>6.8499999999999993E-3</v>
      </c>
      <c r="C19" t="s">
        <v>52</v>
      </c>
      <c r="D19" t="s">
        <v>8</v>
      </c>
    </row>
    <row r="20" spans="1:4">
      <c r="A20" t="s">
        <v>36</v>
      </c>
      <c r="B20">
        <v>5.0000000000000001E-4</v>
      </c>
      <c r="C20" t="s">
        <v>52</v>
      </c>
      <c r="D20" t="s">
        <v>9</v>
      </c>
    </row>
    <row r="21" spans="1:4">
      <c r="A21" t="s">
        <v>35</v>
      </c>
      <c r="B21">
        <v>2.1000000000000003E-3</v>
      </c>
      <c r="C21" t="s">
        <v>52</v>
      </c>
      <c r="D21" t="s">
        <v>10</v>
      </c>
    </row>
    <row r="22" spans="1:4">
      <c r="A22" t="s">
        <v>4</v>
      </c>
      <c r="B22">
        <v>7.0000000000000007E-2</v>
      </c>
      <c r="C22" t="s">
        <v>52</v>
      </c>
      <c r="D22" t="s">
        <v>11</v>
      </c>
    </row>
    <row r="23" spans="1:4">
      <c r="A23" t="s">
        <v>34</v>
      </c>
      <c r="B23">
        <v>0.08</v>
      </c>
      <c r="C23" t="s">
        <v>52</v>
      </c>
      <c r="D23" t="s">
        <v>12</v>
      </c>
    </row>
    <row r="24" spans="1:4">
      <c r="A24" t="s">
        <v>5</v>
      </c>
      <c r="B24">
        <v>1.2</v>
      </c>
      <c r="C24" t="s">
        <v>3</v>
      </c>
      <c r="D24" t="s">
        <v>56</v>
      </c>
    </row>
    <row r="25" spans="1:4">
      <c r="A25" t="s">
        <v>13</v>
      </c>
      <c r="B25">
        <v>4.3499999999999997E-3</v>
      </c>
      <c r="C25" t="s">
        <v>52</v>
      </c>
      <c r="D25" t="s">
        <v>14</v>
      </c>
    </row>
    <row r="26" spans="1:4">
      <c r="A26" t="s">
        <v>21</v>
      </c>
      <c r="B26" s="3">
        <v>0.435</v>
      </c>
      <c r="C26" t="s">
        <v>22</v>
      </c>
      <c r="D26" t="s">
        <v>23</v>
      </c>
    </row>
    <row r="27" spans="1:4">
      <c r="A27" t="s">
        <v>29</v>
      </c>
      <c r="B27">
        <v>12</v>
      </c>
      <c r="C27" t="s">
        <v>30</v>
      </c>
      <c r="D27" t="s">
        <v>31</v>
      </c>
    </row>
    <row r="28" spans="1:4">
      <c r="A28" t="s">
        <v>32</v>
      </c>
      <c r="B28">
        <v>2</v>
      </c>
      <c r="C28" t="s">
        <v>28</v>
      </c>
      <c r="D28" t="s">
        <v>33</v>
      </c>
    </row>
    <row r="29" spans="1:4">
      <c r="A29" t="s">
        <v>39</v>
      </c>
      <c r="B29">
        <v>4.5</v>
      </c>
      <c r="C29" t="s">
        <v>52</v>
      </c>
      <c r="D29" t="s">
        <v>40</v>
      </c>
    </row>
  </sheetData>
  <mergeCells count="2">
    <mergeCell ref="A1:D1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Main</vt:lpstr>
      <vt:lpstr>Values</vt:lpstr>
      <vt:lpstr>core_B</vt:lpstr>
      <vt:lpstr>core_D</vt:lpstr>
      <vt:lpstr>core_l</vt:lpstr>
      <vt:lpstr>core_l_S</vt:lpstr>
      <vt:lpstr>max_I</vt:lpstr>
      <vt:lpstr>max_tube_l</vt:lpstr>
      <vt:lpstr>max_V</vt:lpstr>
      <vt:lpstr>Number_coils</vt:lpstr>
      <vt:lpstr>Number_of_coils</vt:lpstr>
      <vt:lpstr>Perm_free_space</vt:lpstr>
      <vt:lpstr>shell_InD</vt:lpstr>
      <vt:lpstr>shell_InD_S</vt:lpstr>
      <vt:lpstr>shell_l</vt:lpstr>
      <vt:lpstr>shell_l_S</vt:lpstr>
      <vt:lpstr>shell_OutD</vt:lpstr>
      <vt:lpstr>shell_OutD_S</vt:lpstr>
      <vt:lpstr>shellInnerDiameter</vt:lpstr>
      <vt:lpstr>shellOuterDiameter</vt:lpstr>
      <vt:lpstr>tube_InD</vt:lpstr>
      <vt:lpstr>tube_InD_S</vt:lpstr>
      <vt:lpstr>tube_OutD</vt:lpstr>
      <vt:lpstr>tube_OutD_</vt:lpstr>
      <vt:lpstr>tube_OutD_S</vt:lpstr>
      <vt:lpstr>wire_Resistivity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Yunhe Guan</dc:creator>
  <cp:lastModifiedBy>Jason Yunhe Guan</cp:lastModifiedBy>
  <dcterms:created xsi:type="dcterms:W3CDTF">2019-05-14T03:59:27Z</dcterms:created>
  <dcterms:modified xsi:type="dcterms:W3CDTF">2019-05-18T09:34:17Z</dcterms:modified>
</cp:coreProperties>
</file>