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yoon\새 폴더\flaskserver\upload\"/>
    </mc:Choice>
  </mc:AlternateContent>
  <bookViews>
    <workbookView xWindow="0" yWindow="2250" windowWidth="288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O23" i="1"/>
  <c r="O22" i="1"/>
  <c r="O21" i="1"/>
  <c r="O20" i="1"/>
  <c r="L24" i="1"/>
  <c r="K24" i="1"/>
  <c r="K23" i="1"/>
  <c r="L23" i="1" s="1"/>
  <c r="K22" i="1"/>
  <c r="L22" i="1" s="1"/>
  <c r="K21" i="1"/>
  <c r="L21" i="1" s="1"/>
  <c r="K20" i="1"/>
  <c r="L20" i="1" s="1"/>
  <c r="J24" i="1"/>
  <c r="J23" i="1"/>
  <c r="J22" i="1"/>
  <c r="J21" i="1"/>
  <c r="J20" i="1"/>
  <c r="B24" i="1"/>
  <c r="B23" i="1"/>
  <c r="B22" i="1"/>
  <c r="B21" i="1"/>
  <c r="B20" i="1"/>
  <c r="H21" i="1"/>
  <c r="H22" i="1"/>
  <c r="H23" i="1"/>
  <c r="H24" i="1"/>
  <c r="H20" i="1"/>
  <c r="O19" i="1"/>
  <c r="L19" i="1"/>
  <c r="K19" i="1"/>
  <c r="J19" i="1"/>
  <c r="B19" i="1"/>
  <c r="H19" i="1"/>
  <c r="O18" i="1"/>
  <c r="O17" i="1"/>
  <c r="L18" i="1"/>
  <c r="K18" i="1"/>
  <c r="J18" i="1"/>
  <c r="J17" i="1"/>
  <c r="K17" i="1" s="1"/>
  <c r="C17" i="1"/>
  <c r="D17" i="1"/>
  <c r="B18" i="1"/>
  <c r="B17" i="1"/>
  <c r="H17" i="1"/>
  <c r="H18" i="1"/>
  <c r="D16" i="1"/>
  <c r="C16" i="1"/>
  <c r="B16" i="1"/>
  <c r="D15" i="1"/>
  <c r="C15" i="1"/>
  <c r="B15" i="1"/>
  <c r="D14" i="1"/>
  <c r="C14" i="1"/>
  <c r="B14" i="1"/>
  <c r="D13" i="1"/>
  <c r="C13" i="1"/>
  <c r="B13" i="1"/>
  <c r="C12" i="1"/>
  <c r="B12" i="1"/>
  <c r="D11" i="1"/>
  <c r="C11" i="1"/>
  <c r="B11" i="1"/>
  <c r="D10" i="1"/>
  <c r="C10" i="1"/>
  <c r="B10" i="1"/>
  <c r="D9" i="1"/>
  <c r="C9" i="1"/>
  <c r="B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L7" i="1"/>
  <c r="L6" i="1"/>
  <c r="L5" i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K6" i="1"/>
  <c r="K5" i="1"/>
  <c r="K4" i="1"/>
  <c r="L4" i="1" s="1"/>
  <c r="K3" i="1"/>
  <c r="L3" i="1" s="1"/>
  <c r="K2" i="1"/>
  <c r="L2" i="1" s="1"/>
  <c r="J16" i="1"/>
  <c r="K16" i="1" s="1"/>
  <c r="L16" i="1" s="1"/>
  <c r="J15" i="1"/>
  <c r="K15" i="1" s="1"/>
  <c r="L15" i="1" s="1"/>
  <c r="H5" i="1"/>
  <c r="P3" i="1"/>
  <c r="H3" i="1" s="1"/>
  <c r="P4" i="1"/>
  <c r="H4" i="1" s="1"/>
  <c r="P5" i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6" i="1"/>
  <c r="H16" i="1" s="1"/>
  <c r="P17" i="1"/>
  <c r="P18" i="1"/>
  <c r="P19" i="1"/>
  <c r="P20" i="1"/>
  <c r="P21" i="1"/>
  <c r="P22" i="1"/>
  <c r="P23" i="1"/>
  <c r="P24" i="1"/>
  <c r="P2" i="1"/>
  <c r="H2" i="1" s="1"/>
  <c r="L17" i="1" l="1"/>
  <c r="D12" i="1"/>
  <c r="D2" i="1"/>
  <c r="C2" i="1"/>
  <c r="E2" i="1" s="1"/>
  <c r="B2" i="1"/>
  <c r="D3" i="1" l="1"/>
  <c r="D4" i="1"/>
  <c r="D5" i="1"/>
  <c r="D6" i="1"/>
  <c r="D7" i="1"/>
  <c r="D8" i="1"/>
  <c r="C3" i="1"/>
  <c r="E3" i="1" s="1"/>
  <c r="C4" i="1"/>
  <c r="C5" i="1"/>
  <c r="C6" i="1"/>
  <c r="C7" i="1"/>
  <c r="C8" i="1"/>
  <c r="B5" i="1"/>
  <c r="B6" i="1"/>
  <c r="B7" i="1"/>
  <c r="B8" i="1"/>
  <c r="B3" i="1"/>
  <c r="B4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<sst xmlns="http://schemas.openxmlformats.org/spreadsheetml/2006/main" count="60" uniqueCount="36">
  <si>
    <t>일자별</t>
    <phoneticPr fontId="2" type="noConversion"/>
  </si>
  <si>
    <t>거래원장번호</t>
    <phoneticPr fontId="2" type="noConversion"/>
  </si>
  <si>
    <t>매출금액</t>
    <phoneticPr fontId="2" type="noConversion"/>
  </si>
  <si>
    <t>매출원가</t>
    <phoneticPr fontId="2" type="noConversion"/>
  </si>
  <si>
    <t>영업이익</t>
    <phoneticPr fontId="2" type="noConversion"/>
  </si>
  <si>
    <t>매출금액-건별</t>
    <phoneticPr fontId="2" type="noConversion"/>
  </si>
  <si>
    <t>영업이익-건별</t>
    <phoneticPr fontId="2" type="noConversion"/>
  </si>
  <si>
    <t>영업이익률-건별</t>
    <phoneticPr fontId="2" type="noConversion"/>
  </si>
  <si>
    <t>리딩타임-건별</t>
    <phoneticPr fontId="2" type="noConversion"/>
  </si>
  <si>
    <t>비고란-건별</t>
    <phoneticPr fontId="2" type="noConversion"/>
  </si>
  <si>
    <t>정산예정</t>
    <phoneticPr fontId="2" type="noConversion"/>
  </si>
  <si>
    <t>2019-11-01</t>
    <phoneticPr fontId="2" type="noConversion"/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</si>
  <si>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</si>
  <si>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</si>
  <si>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</si>
  <si>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</si>
  <si>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</si>
  <si>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</si>
  <si>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</si>
  <si>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</si>
  <si>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</si>
  <si>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</si>
  <si>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</si>
  <si>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</si>
  <si>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</si>
  <si>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</si>
  <si>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</si>
  <si>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</si>
  <si>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</si>
  <si>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</si>
  <si>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</si>
  <si>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</si>
  <si>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</si>
  <si>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</si>
  <si>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예정-건별</t>
    <phoneticPr fontId="2" type="noConversion"/>
  </si>
  <si>
    <t>매출원가-건별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</si>
</sst>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>
    <font>
      <sz val="9"/>
      <color theme="1"/>
      <name val="console"/>
      <family val="2"/>
      <charset val="129"/>
    </font>
    <font>
      <sz val="9"/>
      <color rgb="FFFF0000"/>
      <name val="console"/>
      <family val="2"/>
      <charset val="129"/>
    </font>
    <font>
      <sz val="8"/>
      <name val="console"/>
      <family val="2"/>
      <charset val="129"/>
    </font>
    <font>
      <sz val="9"/>
      <color rgb="FFFF0000"/>
      <name val="console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14" fontId="0" fillId="0" borderId="0" xfId="0" quotePrefix="1" applyNumberFormat="1" applyFill="1">
      <alignment vertical="center"/>
    </xf>
    <xf numFmtId="14" fontId="1" fillId="0" borderId="0" xfId="0" quotePrefix="1" applyNumberFormat="1" applyFont="1" applyFill="1">
      <alignment vertical="center"/>
    </xf>
    <xf numFmtId="14" fontId="3" fillId="0" borderId="0" xfId="0" quotePrefix="1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D22" sqref="D22"/>
    </sheetView>
  </sheetViews>
  <sheetFormatPr defaultRowHeight="11.25"/>
  <cols>
    <col min="1" max="1" width="12.1640625" bestFit="1" customWidth="1"/>
    <col min="2" max="3" width="14.5" bestFit="1" customWidth="1"/>
    <col min="4" max="4" width="13.33203125" bestFit="1" customWidth="1"/>
    <col min="5" max="5" width="15.6640625" bestFit="1" customWidth="1"/>
    <col min="7" max="7" width="12.1640625" style="1" bestFit="1" customWidth="1"/>
    <col min="8" max="8" width="29.33203125" bestFit="1" customWidth="1"/>
    <col min="9" max="11" width="18" style="2" bestFit="1" customWidth="1"/>
    <col min="12" max="12" width="18" style="3" bestFit="1" customWidth="1"/>
    <col min="13" max="13" width="15.6640625" bestFit="1" customWidth="1"/>
    <col min="14" max="14" width="13.33203125" bestFit="1" customWidth="1"/>
    <col min="15" max="15" width="12.1640625" bestFit="1" customWidth="1"/>
    <col min="16" max="16" width="3" bestFit="1" customWidth="1"/>
  </cols>
  <sheetData>
    <row r="1" spans="1:16" ht="30" customHeight="1">
      <c r="A1" s="6" t="s">
        <v>0</v>
      </c>
      <c r="B1" s="6" t="s">
        <v>2</v>
      </c>
      <c r="C1" s="6" t="s">
        <v>3</v>
      </c>
      <c r="D1" s="6" t="s">
        <v>4</v>
      </c>
      <c r="E1" s="6" t="s">
        <v>10</v>
      </c>
      <c r="G1" s="1" t="s">
        <v>0</v>
      </c>
      <c r="H1" t="s">
        <v>1</v>
      </c>
      <c r="I1" s="2" t="s">
        <v>5</v>
      </c>
      <c r="J1" s="2" t="s">
        <v>35</v>
      </c>
      <c r="K1" s="2" t="s">
        <v>6</v>
      </c>
      <c r="L1" s="3" t="s">
        <v>7</v>
      </c>
      <c r="M1" t="s">
        <v>8</v>
      </c>
      <c r="N1" t="s">
        <v>9</v>
      </c>
      <c r="O1" t="s">
        <v>34</v>
      </c>
    </row>
    <row r="2" spans="1:16" ht="11.25" customHeight="1">
      <c r="A2" s="7" t="s">
        <v>11</v>
      </c>
      <c r="B2" s="5">
        <f t="shared" ref="B2:B24" si="0">SUMIF($G:$G,A2,$I:$I)</f>
        <v>9790000</v>
      </c>
      <c r="C2" s="5">
        <f t="shared" ref="C2:C17" si="1">SUMIF($G:$G,A2,$J:$J)</f>
        <v>9359775.6999999993</v>
      </c>
      <c r="D2" s="5">
        <f t="shared" ref="D2:D17" si="2">SUMIF($G:$G,A2,$K:$K)</f>
        <v>430224.29999999981</v>
      </c>
      <c r="E2" s="5">
        <f>C2</f>
        <v>9359775.6999999993</v>
      </c>
      <c r="G2" s="7" t="s">
        <v>11</v>
      </c>
      <c r="H2" t="str">
        <f t="shared" ref="H2:H16" si="3">"KRWE-2019"&amp;LEFT(G2,4)&amp;MID(G2,6,2)&amp;RIGHT(G2,2)&amp;"00"&amp;P2&amp;"-DR"</f>
        <v>KRWE-201920191101001-DR</v>
      </c>
      <c r="I2" s="2">
        <v>4290000</v>
      </c>
      <c r="J2" s="2">
        <v>4159498.2</v>
      </c>
      <c r="K2" s="2">
        <f>I2-J2</f>
        <v>130501.79999999981</v>
      </c>
      <c r="L2" s="3">
        <f>K2/I2</f>
        <v>3.0419999999999957E-2</v>
      </c>
      <c r="M2">
        <v>13</v>
      </c>
      <c r="O2" s="1">
        <f>G2+M2</f>
        <v>43783</v>
      </c>
      <c r="P2">
        <f>COUNTIF($G$2:G2,G2)</f>
        <v>1</v>
      </c>
    </row>
    <row r="3" spans="1:16">
      <c r="A3" s="8" t="s">
        <v>12</v>
      </c>
      <c r="B3" s="5">
        <f t="shared" si="0"/>
        <v>0</v>
      </c>
      <c r="C3" s="5">
        <f t="shared" si="1"/>
        <v>0</v>
      </c>
      <c r="D3" s="5">
        <f t="shared" si="2"/>
        <v>0</v>
      </c>
      <c r="E3" s="5">
        <f>E2+C3</f>
        <v>9359775.6999999993</v>
      </c>
      <c r="G3" s="7" t="s">
        <v>11</v>
      </c>
      <c r="H3" t="str">
        <f t="shared" si="3"/>
        <v>KRWE-201920191101002-DR</v>
      </c>
      <c r="I3" s="2">
        <v>5500000</v>
      </c>
      <c r="J3" s="2">
        <v>5200277.5</v>
      </c>
      <c r="K3" s="2">
        <f t="shared" ref="K3:K19" si="4">I3-J3</f>
        <v>299722.5</v>
      </c>
      <c r="L3" s="3">
        <f t="shared" ref="L3:L19" si="5">K3/I3</f>
        <v>5.4495000000000002E-2</v>
      </c>
      <c r="M3">
        <v>9</v>
      </c>
      <c r="O3" s="1">
        <f t="shared" ref="O3:O24" si="6">G3+M3</f>
        <v>43779</v>
      </c>
      <c r="P3">
        <f>COUNTIF($G$2:G3,G3)</f>
        <v>2</v>
      </c>
    </row>
    <row r="4" spans="1:16">
      <c r="A4" s="9" t="s">
        <v>13</v>
      </c>
      <c r="B4" s="5">
        <f t="shared" si="0"/>
        <v>0</v>
      </c>
      <c r="C4" s="5">
        <f t="shared" si="1"/>
        <v>0</v>
      </c>
      <c r="D4" s="5">
        <f t="shared" si="2"/>
        <v>0</v>
      </c>
      <c r="E4" s="5">
        <f>E3+C4</f>
        <v>9359775.6999999993</v>
      </c>
      <c r="G4" s="7" t="s">
        <v>14</v>
      </c>
      <c r="H4" t="str">
        <f t="shared" si="3"/>
        <v>KRWE-201920191104001-DR</v>
      </c>
      <c r="I4" s="2">
        <v>11700000</v>
      </c>
      <c r="J4" s="2">
        <v>11479689</v>
      </c>
      <c r="K4" s="2">
        <f t="shared" si="4"/>
        <v>220311</v>
      </c>
      <c r="L4" s="3">
        <f t="shared" si="5"/>
        <v>1.883E-2</v>
      </c>
      <c r="M4">
        <v>14</v>
      </c>
      <c r="O4" s="1">
        <f t="shared" si="6"/>
        <v>43787</v>
      </c>
      <c r="P4">
        <f>COUNTIF($G$2:G4,G4)</f>
        <v>1</v>
      </c>
    </row>
    <row r="5" spans="1:16">
      <c r="A5" s="7" t="s">
        <v>14</v>
      </c>
      <c r="B5" s="5">
        <f t="shared" si="0"/>
        <v>11700000</v>
      </c>
      <c r="C5" s="5">
        <f t="shared" si="1"/>
        <v>11479689</v>
      </c>
      <c r="D5" s="5">
        <f t="shared" si="2"/>
        <v>220311</v>
      </c>
      <c r="E5" s="5">
        <f t="shared" ref="E5:E8" si="7">E4+C5</f>
        <v>20839464.699999999</v>
      </c>
      <c r="G5" s="7" t="s">
        <v>15</v>
      </c>
      <c r="H5" t="str">
        <f t="shared" si="3"/>
        <v>KRWE-201920191105001-DR</v>
      </c>
      <c r="I5" s="2">
        <v>25300000</v>
      </c>
      <c r="J5" s="2">
        <v>24175668</v>
      </c>
      <c r="K5" s="2">
        <f t="shared" si="4"/>
        <v>1124332</v>
      </c>
      <c r="L5" s="3">
        <f t="shared" si="5"/>
        <v>4.444E-2</v>
      </c>
      <c r="M5">
        <v>13</v>
      </c>
      <c r="O5" s="1">
        <f t="shared" si="6"/>
        <v>43787</v>
      </c>
      <c r="P5">
        <f>COUNTIF($G$2:G5,G5)</f>
        <v>1</v>
      </c>
    </row>
    <row r="6" spans="1:16">
      <c r="A6" s="7" t="s">
        <v>15</v>
      </c>
      <c r="B6" s="5">
        <f t="shared" si="0"/>
        <v>26570000</v>
      </c>
      <c r="C6" s="5">
        <f t="shared" si="1"/>
        <v>25401954.600000001</v>
      </c>
      <c r="D6" s="5">
        <f t="shared" si="2"/>
        <v>1168045.3999999999</v>
      </c>
      <c r="E6" s="5">
        <f t="shared" si="7"/>
        <v>46241419.299999997</v>
      </c>
      <c r="G6" s="7" t="s">
        <v>15</v>
      </c>
      <c r="H6" t="str">
        <f t="shared" si="3"/>
        <v>KRWE-201920191105002-DR</v>
      </c>
      <c r="I6" s="2">
        <v>1270000</v>
      </c>
      <c r="J6" s="2">
        <v>1226286.6000000001</v>
      </c>
      <c r="K6" s="2">
        <f t="shared" si="4"/>
        <v>43713.399999999907</v>
      </c>
      <c r="L6" s="3">
        <f t="shared" si="5"/>
        <v>3.441999999999993E-2</v>
      </c>
      <c r="M6">
        <v>15</v>
      </c>
      <c r="O6" s="1">
        <f t="shared" si="6"/>
        <v>43789</v>
      </c>
      <c r="P6">
        <f>COUNTIF($G$2:G6,G6)</f>
        <v>2</v>
      </c>
    </row>
    <row r="7" spans="1:16">
      <c r="A7" s="7" t="s">
        <v>16</v>
      </c>
      <c r="B7" s="5">
        <f t="shared" si="0"/>
        <v>4800000</v>
      </c>
      <c r="C7" s="5">
        <f t="shared" si="1"/>
        <v>4545640</v>
      </c>
      <c r="D7" s="5">
        <f t="shared" si="2"/>
        <v>254360</v>
      </c>
      <c r="E7" s="5">
        <f t="shared" si="7"/>
        <v>50787059.299999997</v>
      </c>
      <c r="G7" s="7" t="s">
        <v>16</v>
      </c>
      <c r="H7" t="str">
        <f t="shared" si="3"/>
        <v>KRWE-201920191106001-DR</v>
      </c>
      <c r="I7" s="2">
        <v>1850000</v>
      </c>
      <c r="J7" s="2">
        <v>1778035</v>
      </c>
      <c r="K7" s="2">
        <f t="shared" si="4"/>
        <v>71965</v>
      </c>
      <c r="L7" s="3">
        <f t="shared" si="5"/>
        <v>3.8899999999999997E-2</v>
      </c>
      <c r="M7">
        <v>15</v>
      </c>
      <c r="O7" s="1">
        <f t="shared" si="6"/>
        <v>43790</v>
      </c>
      <c r="P7">
        <f>COUNTIF($G$2:G7,G7)</f>
        <v>1</v>
      </c>
    </row>
    <row r="8" spans="1:16">
      <c r="A8" s="7" t="s">
        <v>17</v>
      </c>
      <c r="B8" s="5">
        <f t="shared" si="0"/>
        <v>55520000</v>
      </c>
      <c r="C8" s="5">
        <f t="shared" si="1"/>
        <v>53446574</v>
      </c>
      <c r="D8" s="5">
        <f t="shared" si="2"/>
        <v>2073426</v>
      </c>
      <c r="E8" s="5">
        <f t="shared" si="7"/>
        <v>104233633.3</v>
      </c>
      <c r="G8" s="7" t="s">
        <v>16</v>
      </c>
      <c r="H8" t="str">
        <f t="shared" si="3"/>
        <v>KRWE-201920191106002-DR</v>
      </c>
      <c r="I8" s="2">
        <v>2200000</v>
      </c>
      <c r="J8" s="2">
        <v>2080980</v>
      </c>
      <c r="K8" s="2">
        <f t="shared" si="4"/>
        <v>119020</v>
      </c>
      <c r="L8" s="3">
        <f t="shared" si="5"/>
        <v>5.4100000000000002E-2</v>
      </c>
      <c r="M8">
        <v>13</v>
      </c>
      <c r="O8" s="1">
        <f t="shared" si="6"/>
        <v>43788</v>
      </c>
      <c r="P8">
        <f>COUNTIF($G$2:G8,G8)</f>
        <v>2</v>
      </c>
    </row>
    <row r="9" spans="1:16">
      <c r="A9" s="7" t="s">
        <v>18</v>
      </c>
      <c r="B9" s="5">
        <f t="shared" si="0"/>
        <v>18700000</v>
      </c>
      <c r="C9" s="5">
        <f t="shared" si="1"/>
        <v>17526733</v>
      </c>
      <c r="D9" s="5">
        <f t="shared" si="2"/>
        <v>1173267</v>
      </c>
      <c r="E9" s="5">
        <f t="shared" ref="E9" si="8">E8+C9</f>
        <v>121760366.3</v>
      </c>
      <c r="G9" s="7" t="s">
        <v>16</v>
      </c>
      <c r="H9" t="str">
        <f t="shared" si="3"/>
        <v>KRWE-201920191106003-DR</v>
      </c>
      <c r="I9" s="2">
        <v>750000</v>
      </c>
      <c r="J9" s="2">
        <v>686625</v>
      </c>
      <c r="K9" s="2">
        <f t="shared" si="4"/>
        <v>63375</v>
      </c>
      <c r="L9" s="3">
        <f t="shared" si="5"/>
        <v>8.4500000000000006E-2</v>
      </c>
      <c r="M9">
        <v>6</v>
      </c>
      <c r="O9" s="1">
        <f t="shared" si="6"/>
        <v>43781</v>
      </c>
      <c r="P9">
        <f>COUNTIF($G$2:G9,G9)</f>
        <v>3</v>
      </c>
    </row>
    <row r="10" spans="1:16">
      <c r="A10" s="9" t="s">
        <v>19</v>
      </c>
      <c r="B10" s="5">
        <f t="shared" si="0"/>
        <v>0</v>
      </c>
      <c r="C10" s="5">
        <f t="shared" si="1"/>
        <v>0</v>
      </c>
      <c r="D10" s="5">
        <f t="shared" si="2"/>
        <v>0</v>
      </c>
      <c r="E10" s="5">
        <f t="shared" ref="E10:E17" si="9">E9+C10</f>
        <v>121760366.3</v>
      </c>
      <c r="G10" s="7" t="s">
        <v>17</v>
      </c>
      <c r="H10" t="str">
        <f t="shared" si="3"/>
        <v>KRWE-201920191107001-DR</v>
      </c>
      <c r="I10" s="2">
        <v>8500000</v>
      </c>
      <c r="J10" s="2">
        <v>8169520</v>
      </c>
      <c r="K10" s="2">
        <f t="shared" si="4"/>
        <v>330480</v>
      </c>
      <c r="L10" s="3">
        <f t="shared" si="5"/>
        <v>3.8879999999999998E-2</v>
      </c>
      <c r="M10">
        <v>15</v>
      </c>
      <c r="O10" s="1">
        <f t="shared" si="6"/>
        <v>43791</v>
      </c>
      <c r="P10">
        <f>COUNTIF($G$2:G10,G10)</f>
        <v>1</v>
      </c>
    </row>
    <row r="11" spans="1:16">
      <c r="A11" s="9" t="s">
        <v>20</v>
      </c>
      <c r="B11" s="5">
        <f t="shared" si="0"/>
        <v>0</v>
      </c>
      <c r="C11" s="5">
        <f t="shared" si="1"/>
        <v>0</v>
      </c>
      <c r="D11" s="5">
        <f t="shared" si="2"/>
        <v>0</v>
      </c>
      <c r="E11" s="5">
        <f t="shared" si="9"/>
        <v>121760366.3</v>
      </c>
      <c r="G11" s="7" t="s">
        <v>17</v>
      </c>
      <c r="H11" t="str">
        <f t="shared" si="3"/>
        <v>KRWE-201920191107002-DR</v>
      </c>
      <c r="I11" s="2">
        <v>1650000</v>
      </c>
      <c r="J11" s="2">
        <v>1470315</v>
      </c>
      <c r="K11" s="2">
        <f t="shared" si="4"/>
        <v>179685</v>
      </c>
      <c r="L11" s="3">
        <f t="shared" si="5"/>
        <v>0.1089</v>
      </c>
      <c r="M11">
        <v>11</v>
      </c>
      <c r="O11" s="1">
        <f t="shared" si="6"/>
        <v>43787</v>
      </c>
      <c r="P11">
        <f>COUNTIF($G$2:G11,G11)</f>
        <v>2</v>
      </c>
    </row>
    <row r="12" spans="1:16">
      <c r="A12" s="7" t="s">
        <v>21</v>
      </c>
      <c r="B12" s="5">
        <f t="shared" si="0"/>
        <v>36855000</v>
      </c>
      <c r="C12" s="5">
        <f t="shared" si="1"/>
        <v>35248854.953000002</v>
      </c>
      <c r="D12" s="5">
        <f t="shared" si="2"/>
        <v>1606145.0470000003</v>
      </c>
      <c r="E12" s="5">
        <f t="shared" si="9"/>
        <v>157009221.25299999</v>
      </c>
      <c r="G12" s="7" t="s">
        <v>17</v>
      </c>
      <c r="H12" t="str">
        <f t="shared" si="3"/>
        <v>KRWE-201920191107003-DR</v>
      </c>
      <c r="I12" s="2">
        <v>1800000</v>
      </c>
      <c r="J12" s="2">
        <v>1639044</v>
      </c>
      <c r="K12" s="2">
        <f t="shared" si="4"/>
        <v>160956</v>
      </c>
      <c r="L12" s="3">
        <f t="shared" si="5"/>
        <v>8.9419999999999999E-2</v>
      </c>
      <c r="M12">
        <v>10</v>
      </c>
      <c r="O12" s="1">
        <f t="shared" si="6"/>
        <v>43786</v>
      </c>
      <c r="P12">
        <f>COUNTIF($G$2:G12,G12)</f>
        <v>3</v>
      </c>
    </row>
    <row r="13" spans="1:16">
      <c r="A13" s="7" t="s">
        <v>22</v>
      </c>
      <c r="B13" s="5">
        <f t="shared" si="0"/>
        <v>50659000</v>
      </c>
      <c r="C13" s="5">
        <f t="shared" si="1"/>
        <v>49311075.871000007</v>
      </c>
      <c r="D13" s="5">
        <f t="shared" si="2"/>
        <v>1347924.1289999969</v>
      </c>
      <c r="E13" s="5">
        <f t="shared" si="9"/>
        <v>206320297.12400001</v>
      </c>
      <c r="G13" s="7" t="s">
        <v>17</v>
      </c>
      <c r="H13" t="str">
        <f t="shared" si="3"/>
        <v>KRWE-201920191107004-DR</v>
      </c>
      <c r="I13" s="2">
        <v>42000000</v>
      </c>
      <c r="J13" s="2">
        <v>40736640</v>
      </c>
      <c r="K13" s="2">
        <f t="shared" si="4"/>
        <v>1263360</v>
      </c>
      <c r="L13" s="3">
        <f t="shared" si="5"/>
        <v>3.0079999999999999E-2</v>
      </c>
      <c r="M13">
        <v>18</v>
      </c>
      <c r="O13" s="1">
        <f t="shared" si="6"/>
        <v>43794</v>
      </c>
      <c r="P13">
        <f>COUNTIF($G$2:G13,G13)</f>
        <v>4</v>
      </c>
    </row>
    <row r="14" spans="1:16">
      <c r="A14" s="7" t="s">
        <v>23</v>
      </c>
      <c r="B14" s="5">
        <f t="shared" si="0"/>
        <v>0</v>
      </c>
      <c r="C14" s="5">
        <f t="shared" si="1"/>
        <v>0</v>
      </c>
      <c r="D14" s="5">
        <f t="shared" si="2"/>
        <v>0</v>
      </c>
      <c r="E14" s="5">
        <f t="shared" si="9"/>
        <v>206320297.12400001</v>
      </c>
      <c r="G14" s="7" t="s">
        <v>17</v>
      </c>
      <c r="H14" t="str">
        <f t="shared" si="3"/>
        <v>KRWE-201920191107005-DR</v>
      </c>
      <c r="I14" s="2">
        <v>1570000</v>
      </c>
      <c r="J14" s="2">
        <v>1431055</v>
      </c>
      <c r="K14" s="2">
        <f t="shared" si="4"/>
        <v>138945</v>
      </c>
      <c r="L14" s="3">
        <f t="shared" si="5"/>
        <v>8.8499999999999995E-2</v>
      </c>
      <c r="M14">
        <v>9</v>
      </c>
      <c r="O14" s="1">
        <f t="shared" si="6"/>
        <v>43785</v>
      </c>
      <c r="P14">
        <f>COUNTIF($G$2:G14,G14)</f>
        <v>5</v>
      </c>
    </row>
    <row r="15" spans="1:16">
      <c r="A15" s="7" t="s">
        <v>24</v>
      </c>
      <c r="B15" s="5">
        <f t="shared" si="0"/>
        <v>0</v>
      </c>
      <c r="C15" s="5">
        <f t="shared" si="1"/>
        <v>0</v>
      </c>
      <c r="D15" s="5">
        <f t="shared" si="2"/>
        <v>0</v>
      </c>
      <c r="E15" s="5">
        <f t="shared" si="9"/>
        <v>206320297.12400001</v>
      </c>
      <c r="G15" s="7" t="s">
        <v>18</v>
      </c>
      <c r="H15" t="str">
        <f t="shared" si="3"/>
        <v>KRWE-201920191108001-DR</v>
      </c>
      <c r="I15" s="2">
        <v>17500000</v>
      </c>
      <c r="J15" s="2">
        <f>I15*0.93559</f>
        <v>16372825</v>
      </c>
      <c r="K15" s="2">
        <f t="shared" si="4"/>
        <v>1127175</v>
      </c>
      <c r="L15" s="3">
        <f t="shared" si="5"/>
        <v>6.4409999999999995E-2</v>
      </c>
      <c r="M15">
        <v>11</v>
      </c>
      <c r="O15" s="1">
        <f t="shared" si="6"/>
        <v>43788</v>
      </c>
      <c r="P15">
        <f>COUNTIF($G$2:G15,G15)</f>
        <v>1</v>
      </c>
    </row>
    <row r="16" spans="1:16">
      <c r="A16" s="7" t="s">
        <v>25</v>
      </c>
      <c r="B16" s="5">
        <f t="shared" si="0"/>
        <v>0</v>
      </c>
      <c r="C16" s="5">
        <f t="shared" si="1"/>
        <v>0</v>
      </c>
      <c r="D16" s="5">
        <f t="shared" si="2"/>
        <v>0</v>
      </c>
      <c r="E16" s="5">
        <f t="shared" si="9"/>
        <v>206320297.12400001</v>
      </c>
      <c r="G16" s="7" t="s">
        <v>18</v>
      </c>
      <c r="H16" t="str">
        <f t="shared" si="3"/>
        <v>KRWE-201920191108002-DR</v>
      </c>
      <c r="I16" s="2">
        <v>1200000</v>
      </c>
      <c r="J16" s="2">
        <f>I16*0.96159</f>
        <v>1153908</v>
      </c>
      <c r="K16" s="2">
        <f t="shared" si="4"/>
        <v>46092</v>
      </c>
      <c r="L16" s="3">
        <f t="shared" si="5"/>
        <v>3.841E-2</v>
      </c>
      <c r="M16">
        <v>8</v>
      </c>
      <c r="O16" s="1">
        <f t="shared" si="6"/>
        <v>43785</v>
      </c>
      <c r="P16">
        <f>COUNTIF($G$2:G16,G16)</f>
        <v>2</v>
      </c>
    </row>
    <row r="17" spans="1:16">
      <c r="A17" s="9" t="s">
        <v>26</v>
      </c>
      <c r="B17" s="5">
        <f t="shared" si="0"/>
        <v>0</v>
      </c>
      <c r="C17" s="5">
        <f t="shared" si="1"/>
        <v>0</v>
      </c>
      <c r="D17" s="5">
        <f t="shared" si="2"/>
        <v>0</v>
      </c>
      <c r="E17" s="5">
        <f t="shared" si="9"/>
        <v>206320297.12400001</v>
      </c>
      <c r="G17" s="7" t="s">
        <v>21</v>
      </c>
      <c r="H17" t="str">
        <f t="shared" ref="H17:H27" si="10">"KRWE-2019"&amp;LEFT(G17,4)&amp;MID(G17,6,2)&amp;RIGHT(G17,2)&amp;"00"&amp;P17&amp;"-DR"</f>
        <v>KRWE-201920191111001-DR</v>
      </c>
      <c r="I17" s="2">
        <v>3270000</v>
      </c>
      <c r="J17" s="2">
        <f>I17*0.941175</f>
        <v>3077642.25</v>
      </c>
      <c r="K17" s="2">
        <f t="shared" si="4"/>
        <v>192357.75</v>
      </c>
      <c r="L17" s="3">
        <f t="shared" si="5"/>
        <v>5.8825000000000002E-2</v>
      </c>
      <c r="M17">
        <v>18</v>
      </c>
      <c r="O17" s="1">
        <f t="shared" si="6"/>
        <v>43798</v>
      </c>
      <c r="P17">
        <f>COUNTIF($G$2:G17,G17)</f>
        <v>1</v>
      </c>
    </row>
    <row r="18" spans="1:16">
      <c r="A18" s="9" t="s">
        <v>27</v>
      </c>
      <c r="B18" s="5">
        <f t="shared" si="0"/>
        <v>0</v>
      </c>
      <c r="C18" s="5"/>
      <c r="D18" s="5"/>
      <c r="E18" s="4"/>
      <c r="G18" s="7" t="s">
        <v>21</v>
      </c>
      <c r="H18" t="str">
        <f t="shared" si="10"/>
        <v>KRWE-201920191111002-DR</v>
      </c>
      <c r="I18" s="2">
        <v>11000000</v>
      </c>
      <c r="J18" s="2">
        <f>I18*0.929952</f>
        <v>10229472</v>
      </c>
      <c r="K18" s="2">
        <f t="shared" si="4"/>
        <v>770528</v>
      </c>
      <c r="L18" s="3">
        <f t="shared" si="5"/>
        <v>7.0047999999999999E-2</v>
      </c>
      <c r="M18">
        <v>15</v>
      </c>
      <c r="O18" s="1">
        <f t="shared" si="6"/>
        <v>43795</v>
      </c>
      <c r="P18">
        <f>COUNTIF($G$2:G18,G18)</f>
        <v>2</v>
      </c>
    </row>
    <row r="19" spans="1:16">
      <c r="A19" s="7" t="s">
        <v>28</v>
      </c>
      <c r="B19" s="5">
        <f t="shared" si="0"/>
        <v>0</v>
      </c>
      <c r="C19" s="5"/>
      <c r="D19" s="5"/>
      <c r="E19" s="4"/>
      <c r="G19" s="7" t="s">
        <v>21</v>
      </c>
      <c r="H19" t="str">
        <f t="shared" si="10"/>
        <v>KRWE-201920191111003-DR</v>
      </c>
      <c r="I19" s="2">
        <v>5475000</v>
      </c>
      <c r="J19" s="2">
        <f>I19*0.9658712</f>
        <v>5288144.82</v>
      </c>
      <c r="K19" s="2">
        <f t="shared" si="4"/>
        <v>186855.1799999997</v>
      </c>
      <c r="L19" s="3">
        <f t="shared" si="5"/>
        <v>3.4128799999999945E-2</v>
      </c>
      <c r="M19">
        <v>16</v>
      </c>
      <c r="O19" s="1">
        <f t="shared" si="6"/>
        <v>43796</v>
      </c>
      <c r="P19">
        <f>COUNTIF($G$2:G19,G19)</f>
        <v>3</v>
      </c>
    </row>
    <row r="20" spans="1:16">
      <c r="A20" s="7" t="s">
        <v>29</v>
      </c>
      <c r="B20" s="5">
        <f t="shared" si="0"/>
        <v>0</v>
      </c>
      <c r="C20" s="5"/>
      <c r="D20" s="5"/>
      <c r="E20" s="4"/>
      <c r="G20" s="7" t="s">
        <v>21</v>
      </c>
      <c r="H20" t="str">
        <f t="shared" si="10"/>
        <v>KRWE-201920191111004-DR</v>
      </c>
      <c r="I20" s="2">
        <v>17110000</v>
      </c>
      <c r="J20" s="2">
        <f>I20*0.9733253</f>
        <v>16653595.882999999</v>
      </c>
      <c r="K20" s="2">
        <f t="shared" ref="K20:K24" si="11">I20-J20</f>
        <v>456404.11700000055</v>
      </c>
      <c r="L20" s="3">
        <f t="shared" ref="L20:L24" si="12">K20/I20</f>
        <v>2.6674700000000034E-2</v>
      </c>
      <c r="M20">
        <v>12</v>
      </c>
      <c r="O20" s="1">
        <f t="shared" si="6"/>
        <v>43792</v>
      </c>
      <c r="P20">
        <f>COUNTIF($G$2:G20,G20)</f>
        <v>4</v>
      </c>
    </row>
    <row r="21" spans="1:16">
      <c r="A21" s="7" t="s">
        <v>30</v>
      </c>
      <c r="B21" s="5">
        <f t="shared" si="0"/>
        <v>0</v>
      </c>
      <c r="C21" s="5"/>
      <c r="D21" s="5"/>
      <c r="E21" s="4"/>
      <c r="G21" s="7" t="s">
        <v>22</v>
      </c>
      <c r="H21" t="str">
        <f t="shared" si="10"/>
        <v>KRWE-201920191112001-DR</v>
      </c>
      <c r="I21" s="2">
        <v>2250000</v>
      </c>
      <c r="J21" s="2">
        <f>I21*0.9109552</f>
        <v>2049649.2</v>
      </c>
      <c r="K21" s="2">
        <f t="shared" si="11"/>
        <v>200350.80000000005</v>
      </c>
      <c r="L21" s="3">
        <f t="shared" si="12"/>
        <v>8.9044800000000021E-2</v>
      </c>
      <c r="M21">
        <v>15</v>
      </c>
      <c r="O21" s="1">
        <f t="shared" si="6"/>
        <v>43796</v>
      </c>
      <c r="P21">
        <f>COUNTIF($G$2:G21,G21)</f>
        <v>1</v>
      </c>
    </row>
    <row r="22" spans="1:16">
      <c r="A22" s="7" t="s">
        <v>31</v>
      </c>
      <c r="B22" s="5">
        <f t="shared" si="0"/>
        <v>0</v>
      </c>
      <c r="C22" s="5"/>
      <c r="D22" s="5"/>
      <c r="E22" s="4"/>
      <c r="G22" s="7" t="s">
        <v>22</v>
      </c>
      <c r="H22" t="str">
        <f t="shared" si="10"/>
        <v>KRWE-201920191112002-DR</v>
      </c>
      <c r="I22" s="2">
        <v>35090000</v>
      </c>
      <c r="J22" s="2">
        <f>I22*0.9822525</f>
        <v>34467240.225000001</v>
      </c>
      <c r="K22" s="2">
        <f t="shared" si="11"/>
        <v>622759.77499999851</v>
      </c>
      <c r="L22" s="3">
        <f t="shared" si="12"/>
        <v>1.7747499999999958E-2</v>
      </c>
      <c r="M22">
        <v>20</v>
      </c>
      <c r="O22" s="1">
        <f t="shared" si="6"/>
        <v>43801</v>
      </c>
      <c r="P22">
        <f>COUNTIF($G$2:G22,G22)</f>
        <v>2</v>
      </c>
    </row>
    <row r="23" spans="1:16">
      <c r="A23" s="7" t="s">
        <v>32</v>
      </c>
      <c r="B23" s="5">
        <f t="shared" si="0"/>
        <v>0</v>
      </c>
      <c r="C23" s="5"/>
      <c r="D23" s="5"/>
      <c r="E23" s="4"/>
      <c r="G23" s="7" t="s">
        <v>22</v>
      </c>
      <c r="H23" t="str">
        <f t="shared" si="10"/>
        <v>KRWE-201920191112003-DR</v>
      </c>
      <c r="I23" s="2">
        <v>12350000</v>
      </c>
      <c r="J23" s="2">
        <f>I23*0.9659585</f>
        <v>11929587.475000001</v>
      </c>
      <c r="K23" s="2">
        <f t="shared" si="11"/>
        <v>420412.52499999851</v>
      </c>
      <c r="L23" s="3">
        <f t="shared" si="12"/>
        <v>3.4041499999999877E-2</v>
      </c>
      <c r="M23">
        <v>14</v>
      </c>
      <c r="O23" s="1">
        <f t="shared" si="6"/>
        <v>43795</v>
      </c>
      <c r="P23">
        <f>COUNTIF($G$2:G23,G23)</f>
        <v>3</v>
      </c>
    </row>
    <row r="24" spans="1:16">
      <c r="A24" s="9" t="s">
        <v>33</v>
      </c>
      <c r="B24" s="5">
        <f t="shared" si="0"/>
        <v>0</v>
      </c>
      <c r="C24" s="5"/>
      <c r="D24" s="5"/>
      <c r="E24" s="4"/>
      <c r="G24" s="7" t="s">
        <v>22</v>
      </c>
      <c r="H24" t="str">
        <f t="shared" si="10"/>
        <v>KRWE-201920191112004-DR</v>
      </c>
      <c r="I24" s="2">
        <v>969000</v>
      </c>
      <c r="J24" s="2">
        <f>I24*0.892259</f>
        <v>864598.97100000002</v>
      </c>
      <c r="K24" s="2">
        <f t="shared" si="11"/>
        <v>104401.02899999998</v>
      </c>
      <c r="L24" s="3">
        <f t="shared" si="12"/>
        <v>0.10774099999999998</v>
      </c>
      <c r="M24">
        <v>5</v>
      </c>
      <c r="O24" s="1">
        <f t="shared" si="6"/>
        <v>43786</v>
      </c>
      <c r="P24">
        <f>COUNTIF($G$2:G24,G24)</f>
        <v>4</v>
      </c>
    </row>
    <row r="25" spans="1:16">
      <c r="A25" s="9"/>
      <c r="B25" s="5"/>
      <c r="C25" s="5"/>
      <c r="D25" s="5"/>
      <c r="E25" s="4"/>
      <c r="G25" s="7"/>
      <c r="O25" s="1"/>
    </row>
    <row r="26" spans="1:16">
      <c r="A26" s="7"/>
      <c r="B26" s="5"/>
      <c r="C26" s="5"/>
      <c r="D26" s="5"/>
      <c r="E26" s="4"/>
      <c r="G26" s="7"/>
      <c r="O26" s="1"/>
    </row>
    <row r="27" spans="1:16">
      <c r="A27" s="7"/>
      <c r="B27" s="5"/>
      <c r="C27" s="5"/>
      <c r="D27" s="5"/>
      <c r="E27" s="4"/>
      <c r="G27" s="7"/>
      <c r="O27" s="1"/>
    </row>
    <row r="28" spans="1:16">
      <c r="A28" s="7"/>
      <c r="B28" s="5"/>
      <c r="C28" s="5"/>
      <c r="D28" s="5"/>
      <c r="E28" s="4"/>
      <c r="O28" s="1"/>
    </row>
    <row r="29" spans="1:16">
      <c r="A29" s="7"/>
      <c r="B29" s="5"/>
      <c r="C29" s="5"/>
      <c r="D29" s="5"/>
      <c r="E29" s="4"/>
      <c r="O29" s="1"/>
    </row>
    <row r="30" spans="1:16">
      <c r="A30" s="7"/>
      <c r="B30" s="5"/>
      <c r="C30" s="5"/>
      <c r="D30" s="5"/>
      <c r="E30" s="4"/>
      <c r="O30" s="1"/>
    </row>
    <row r="31" spans="1:16">
      <c r="A31" s="9"/>
      <c r="B31" s="5"/>
      <c r="C31" s="5"/>
      <c r="D31" s="5"/>
      <c r="E31" s="4"/>
      <c r="O31" s="1"/>
    </row>
    <row r="32" spans="1:16">
      <c r="A32" s="4"/>
      <c r="B32" s="5"/>
      <c r="C32" s="5"/>
      <c r="D32" s="5"/>
      <c r="E32" s="4"/>
      <c r="O32" s="1"/>
    </row>
    <row r="33" spans="15:15">
      <c r="O33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  <row r="42" spans="15:15">
      <c r="O42" s="1"/>
    </row>
    <row r="43" spans="15:15">
      <c r="O43" s="1"/>
    </row>
    <row r="44" spans="15:15">
      <c r="O44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SangMin Lee</dc:creator>
  <cp:lastModifiedBy>User</cp:lastModifiedBy>
  <dcterms:created xsi:type="dcterms:W3CDTF">2019-12-05T06:18:47Z</dcterms:created>
  <dcterms:modified xsi:type="dcterms:W3CDTF">2020-04-17T01:35:19Z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069198aa-6c3e-4cc9-8d75-c3ab7fef9bc3</vt:lpwstr>
  </property>
</Properties>
</file>