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Financial Decision\"/>
    </mc:Choice>
  </mc:AlternateContent>
  <bookViews>
    <workbookView xWindow="0" yWindow="0" windowWidth="28800" windowHeight="12435" activeTab="1"/>
  </bookViews>
  <sheets>
    <sheet name="1" sheetId="5" r:id="rId1"/>
    <sheet name="2" sheetId="2" r:id="rId2"/>
    <sheet name="3" sheetId="1" r:id="rId3"/>
  </sheets>
  <definedNames>
    <definedName name="solver_adj" localSheetId="2" hidden="1">'3'!$B$12:$G$12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'3'!$B$12:$G$12</definedName>
    <definedName name="solver_lhs2" localSheetId="2" hidden="1">'3'!$B$15:$G$15</definedName>
    <definedName name="solver_lhs3" localSheetId="2" hidden="1">'3'!$C$12</definedName>
    <definedName name="solver_lhs4" localSheetId="2" hidden="1">'3'!$H$14</definedName>
    <definedName name="solver_lhs5" localSheetId="2" hidden="1">'3'!$H$16</definedName>
    <definedName name="solver_lhs6" localSheetId="2" hidden="1">'3'!$H$17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'3'!$H$13</definedName>
    <definedName name="solver_pre" localSheetId="2" hidden="1">0.000001</definedName>
    <definedName name="solver_rbv" localSheetId="2" hidden="1">2</definedName>
    <definedName name="solver_rel1" localSheetId="2" hidden="1">5</definedName>
    <definedName name="solver_rel2" localSheetId="2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hs1" localSheetId="2" hidden="1">二进制</definedName>
    <definedName name="solver_rhs2" localSheetId="2" hidden="1">11%</definedName>
    <definedName name="solver_rhs3" localSheetId="2" hidden="1">'3'!$H$17</definedName>
    <definedName name="solver_rhs4" localSheetId="2" hidden="1">'3'!$I$14</definedName>
    <definedName name="solver_rhs5" localSheetId="2" hidden="1">1</definedName>
    <definedName name="solver_rhs6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Q14" i="1" l="1"/>
  <c r="L13" i="5" l="1"/>
  <c r="K13" i="5"/>
  <c r="J13" i="5"/>
  <c r="I13" i="5"/>
  <c r="H13" i="5"/>
  <c r="G13" i="5"/>
  <c r="F13" i="5"/>
  <c r="L12" i="5"/>
  <c r="K12" i="5"/>
  <c r="J12" i="5"/>
  <c r="I12" i="5"/>
  <c r="H12" i="5"/>
  <c r="G12" i="5"/>
  <c r="E12" i="5"/>
  <c r="L16" i="1" l="1"/>
  <c r="P16" i="1"/>
  <c r="Q16" i="1"/>
  <c r="P15" i="1"/>
  <c r="Q15" i="1"/>
  <c r="D11" i="5"/>
  <c r="J5" i="5"/>
  <c r="H17" i="1" l="1"/>
  <c r="H16" i="1"/>
  <c r="H14" i="1"/>
  <c r="L15" i="1"/>
  <c r="C13" i="1" s="1"/>
  <c r="G5" i="1"/>
  <c r="K14" i="1"/>
  <c r="H29" i="2"/>
  <c r="F22" i="2"/>
  <c r="F23" i="2"/>
  <c r="F24" i="2"/>
  <c r="F25" i="2"/>
  <c r="F26" i="2"/>
  <c r="F21" i="2"/>
  <c r="G21" i="2" s="1"/>
  <c r="H13" i="2"/>
  <c r="J11" i="5"/>
  <c r="B38" i="5"/>
  <c r="K18" i="5"/>
  <c r="J18" i="5"/>
  <c r="K20" i="5" s="1"/>
  <c r="K25" i="5" s="1"/>
  <c r="B41" i="5" s="1"/>
  <c r="I18" i="5"/>
  <c r="J20" i="5" s="1"/>
  <c r="J25" i="5" s="1"/>
  <c r="J28" i="5" s="1"/>
  <c r="H18" i="5"/>
  <c r="I20" i="5" s="1"/>
  <c r="I25" i="5" s="1"/>
  <c r="I28" i="5" s="1"/>
  <c r="G18" i="5"/>
  <c r="H20" i="5" s="1"/>
  <c r="H25" i="5" s="1"/>
  <c r="H28" i="5" s="1"/>
  <c r="F18" i="5"/>
  <c r="G20" i="5" s="1"/>
  <c r="G25" i="5" s="1"/>
  <c r="G28" i="5" s="1"/>
  <c r="E18" i="5"/>
  <c r="F20" i="5" s="1"/>
  <c r="F25" i="5" s="1"/>
  <c r="F28" i="5" s="1"/>
  <c r="D18" i="5"/>
  <c r="E20" i="5" s="1"/>
  <c r="C18" i="5"/>
  <c r="D20" i="5" s="1"/>
  <c r="L5" i="5"/>
  <c r="K5" i="5"/>
  <c r="I5" i="5"/>
  <c r="I6" i="5" s="1"/>
  <c r="I10" i="5" s="1"/>
  <c r="H5" i="5"/>
  <c r="G5" i="5"/>
  <c r="G6" i="5" s="1"/>
  <c r="G10" i="5" s="1"/>
  <c r="F5" i="5"/>
  <c r="E5" i="5"/>
  <c r="E6" i="5" s="1"/>
  <c r="D5" i="5"/>
  <c r="F12" i="5" s="1"/>
  <c r="C5" i="5"/>
  <c r="L4" i="2"/>
  <c r="C22" i="2"/>
  <c r="C23" i="2" s="1"/>
  <c r="C25" i="2" s="1"/>
  <c r="D22" i="2"/>
  <c r="D21" i="2"/>
  <c r="L20" i="2"/>
  <c r="J20" i="2"/>
  <c r="K20" i="2" s="1"/>
  <c r="H6" i="1"/>
  <c r="F11" i="5" l="1"/>
  <c r="C5" i="1"/>
  <c r="L11" i="5"/>
  <c r="B53" i="5"/>
  <c r="G13" i="1"/>
  <c r="B59" i="5"/>
  <c r="H11" i="5"/>
  <c r="D23" i="2"/>
  <c r="H23" i="2" s="1"/>
  <c r="C24" i="2"/>
  <c r="C6" i="5"/>
  <c r="K6" i="5"/>
  <c r="K10" i="5" s="1"/>
  <c r="K11" i="5"/>
  <c r="K14" i="5" s="1"/>
  <c r="K29" i="5" s="1"/>
  <c r="I11" i="5"/>
  <c r="G11" i="5"/>
  <c r="E11" i="5"/>
  <c r="K15" i="1"/>
  <c r="H21" i="2"/>
  <c r="G22" i="2"/>
  <c r="G23" i="2" s="1"/>
  <c r="G24" i="2" s="1"/>
  <c r="I29" i="2" s="1"/>
  <c r="J29" i="2" s="1"/>
  <c r="K28" i="5"/>
  <c r="D6" i="5"/>
  <c r="F6" i="5"/>
  <c r="F10" i="5" s="1"/>
  <c r="H6" i="5"/>
  <c r="H10" i="5" s="1"/>
  <c r="J6" i="5"/>
  <c r="J10" i="5" s="1"/>
  <c r="L6" i="5"/>
  <c r="L10" i="5" s="1"/>
  <c r="B39" i="5"/>
  <c r="B40" i="5" s="1"/>
  <c r="B42" i="5" s="1"/>
  <c r="D24" i="2"/>
  <c r="H24" i="2" s="1"/>
  <c r="H22" i="2"/>
  <c r="I14" i="5" l="1"/>
  <c r="I29" i="5" s="1"/>
  <c r="B5" i="1"/>
  <c r="B13" i="1"/>
  <c r="L29" i="2"/>
  <c r="B43" i="5"/>
  <c r="B44" i="5" s="1"/>
  <c r="B46" i="5" s="1"/>
  <c r="J14" i="5"/>
  <c r="J29" i="5" s="1"/>
  <c r="F14" i="5"/>
  <c r="F29" i="5" s="1"/>
  <c r="F31" i="5" s="1"/>
  <c r="G14" i="5"/>
  <c r="G29" i="5" s="1"/>
  <c r="L14" i="5"/>
  <c r="H14" i="5"/>
  <c r="H29" i="5" s="1"/>
  <c r="D25" i="2"/>
  <c r="H25" i="2" s="1"/>
  <c r="C26" i="2"/>
  <c r="I23" i="2"/>
  <c r="J23" i="2" s="1"/>
  <c r="K23" i="2" s="1"/>
  <c r="I21" i="2"/>
  <c r="J21" i="2" s="1"/>
  <c r="K21" i="2" s="1"/>
  <c r="I24" i="2"/>
  <c r="J24" i="2" s="1"/>
  <c r="K24" i="2" s="1"/>
  <c r="I22" i="2"/>
  <c r="J22" i="2" s="1"/>
  <c r="K22" i="2" s="1"/>
  <c r="G30" i="5" l="1"/>
  <c r="G31" i="5" s="1"/>
  <c r="F32" i="5"/>
  <c r="I25" i="2"/>
  <c r="J25" i="2" s="1"/>
  <c r="K25" i="2" s="1"/>
  <c r="D26" i="2"/>
  <c r="H26" i="2" s="1"/>
  <c r="C27" i="2"/>
  <c r="L22" i="2"/>
  <c r="L24" i="2"/>
  <c r="L21" i="2"/>
  <c r="L23" i="2"/>
  <c r="H30" i="5" l="1"/>
  <c r="H31" i="5" s="1"/>
  <c r="G32" i="5"/>
  <c r="I26" i="2"/>
  <c r="J26" i="2" s="1"/>
  <c r="K26" i="2" s="1"/>
  <c r="L25" i="2"/>
  <c r="C28" i="2"/>
  <c r="D28" i="2" s="1"/>
  <c r="H28" i="2" s="1"/>
  <c r="D27" i="2"/>
  <c r="H27" i="2" s="1"/>
  <c r="I30" i="5" l="1"/>
  <c r="I31" i="5" s="1"/>
  <c r="H32" i="5"/>
  <c r="I27" i="2"/>
  <c r="J27" i="2" s="1"/>
  <c r="K27" i="2" s="1"/>
  <c r="L32" i="2" s="1"/>
  <c r="I28" i="2"/>
  <c r="J28" i="2" s="1"/>
  <c r="K28" i="2" s="1"/>
  <c r="L31" i="2" s="1"/>
  <c r="L26" i="2"/>
  <c r="J30" i="5" l="1"/>
  <c r="J31" i="5" s="1"/>
  <c r="I32" i="5"/>
  <c r="L28" i="2"/>
  <c r="L27" i="2"/>
  <c r="K30" i="5" l="1"/>
  <c r="K31" i="5" s="1"/>
  <c r="K32" i="5" s="1"/>
  <c r="J32" i="5"/>
  <c r="F9" i="2"/>
  <c r="F10" i="2"/>
  <c r="F11" i="2"/>
  <c r="H11" i="2" s="1"/>
  <c r="F12" i="2"/>
  <c r="D12" i="2"/>
  <c r="D11" i="2"/>
  <c r="D10" i="2"/>
  <c r="D9" i="2"/>
  <c r="F6" i="2"/>
  <c r="F7" i="2"/>
  <c r="H7" i="2" s="1"/>
  <c r="F8" i="2"/>
  <c r="F5" i="2"/>
  <c r="D8" i="2"/>
  <c r="H8" i="2" s="1"/>
  <c r="D7" i="2"/>
  <c r="D6" i="2"/>
  <c r="D5" i="2"/>
  <c r="H9" i="2" l="1"/>
  <c r="I9" i="2" s="1"/>
  <c r="J9" i="2" s="1"/>
  <c r="K9" i="2" s="1"/>
  <c r="I11" i="2"/>
  <c r="J11" i="2" s="1"/>
  <c r="K11" i="2" s="1"/>
  <c r="H6" i="2"/>
  <c r="L6" i="2" s="1"/>
  <c r="H10" i="2"/>
  <c r="H12" i="2"/>
  <c r="I10" i="2"/>
  <c r="L7" i="2"/>
  <c r="I7" i="2"/>
  <c r="J7" i="2" s="1"/>
  <c r="I6" i="2"/>
  <c r="I8" i="2"/>
  <c r="J8" i="2" s="1"/>
  <c r="K8" i="2" s="1"/>
  <c r="H5" i="2"/>
  <c r="G5" i="2"/>
  <c r="G6" i="2" s="1"/>
  <c r="G7" i="2" s="1"/>
  <c r="G8" i="2" s="1"/>
  <c r="K7" i="2"/>
  <c r="J4" i="2"/>
  <c r="K4" i="2" s="1"/>
  <c r="L11" i="2" l="1"/>
  <c r="I12" i="2"/>
  <c r="J12" i="2" s="1"/>
  <c r="J10" i="2"/>
  <c r="K10" i="2" s="1"/>
  <c r="L8" i="2"/>
  <c r="L9" i="2"/>
  <c r="L10" i="2"/>
  <c r="J6" i="2"/>
  <c r="K6" i="2" s="1"/>
  <c r="I5" i="2"/>
  <c r="J5" i="2" s="1"/>
  <c r="K5" i="2" s="1"/>
  <c r="L12" i="2" l="1"/>
  <c r="I13" i="2"/>
  <c r="L5" i="2"/>
  <c r="H9" i="1"/>
  <c r="H8" i="1"/>
  <c r="O14" i="1"/>
  <c r="O15" i="1" s="1"/>
  <c r="N14" i="1"/>
  <c r="N15" i="1" s="1"/>
  <c r="M14" i="1"/>
  <c r="M15" i="1" s="1"/>
  <c r="F5" i="1" l="1"/>
  <c r="F13" i="1"/>
  <c r="E5" i="1"/>
  <c r="E13" i="1"/>
  <c r="D13" i="1"/>
  <c r="H13" i="1" s="1"/>
  <c r="D5" i="1"/>
  <c r="H5" i="1" s="1"/>
  <c r="J13" i="2"/>
  <c r="K12" i="2" s="1"/>
  <c r="L13" i="2"/>
  <c r="L16" i="2" l="1"/>
  <c r="L15" i="2"/>
</calcChain>
</file>

<file path=xl/sharedStrings.xml><?xml version="1.0" encoding="utf-8"?>
<sst xmlns="http://schemas.openxmlformats.org/spreadsheetml/2006/main" count="140" uniqueCount="104">
  <si>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</si>
  <si>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</si>
  <si>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</si>
  <si>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</si>
  <si>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</si>
  <si>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</si>
  <si>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Dec.Var</t>
    <phoneticPr fontId="2" type="noConversion"/>
  </si>
  <si>
    <t>Obj.(NPV)</t>
    <phoneticPr fontId="2" type="noConversion"/>
  </si>
  <si>
    <t>ICO=initial cash flow</t>
    <phoneticPr fontId="2" type="noConversion"/>
  </si>
  <si>
    <t>RHS=limit budget</t>
    <phoneticPr fontId="2" type="noConversion"/>
  </si>
  <si>
    <t>IRR</t>
    <phoneticPr fontId="2" type="noConversion"/>
  </si>
  <si>
    <t>C+F&lt;=1</t>
    <phoneticPr fontId="2" type="noConversion"/>
  </si>
  <si>
    <t>B&lt;=C+F</t>
    <phoneticPr fontId="2" type="noConversion"/>
  </si>
  <si>
    <t>b)</t>
    <phoneticPr fontId="2" type="noConversion"/>
  </si>
  <si>
    <t>A+D</t>
    <phoneticPr fontId="2" type="noConversion"/>
  </si>
  <si>
    <t>C+F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</si>
  <si>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</si>
  <si>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</si>
  <si>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</si>
  <si>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</si>
  <si>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</si>
  <si>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</si>
  <si>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Yr</t>
    <phoneticPr fontId="2" type="noConversion"/>
  </si>
  <si>
    <t>Op.Rev</t>
    <phoneticPr fontId="2" type="noConversion"/>
  </si>
  <si>
    <t>Op.Exp</t>
    <phoneticPr fontId="2" type="noConversion"/>
  </si>
  <si>
    <t>BTCF=before tax cash flow</t>
    <phoneticPr fontId="2" type="noConversion"/>
  </si>
  <si>
    <t>Depr.%</t>
    <phoneticPr fontId="2" type="noConversion"/>
  </si>
  <si>
    <t>Depr.$</t>
    <phoneticPr fontId="2" type="noConversion"/>
  </si>
  <si>
    <t>BV</t>
    <phoneticPr fontId="2" type="noConversion"/>
  </si>
  <si>
    <t>Taxable</t>
    <phoneticPr fontId="2" type="noConversion"/>
  </si>
  <si>
    <t>Tax</t>
    <phoneticPr fontId="2" type="noConversion"/>
  </si>
  <si>
    <t>ATCF</t>
    <phoneticPr fontId="2" type="noConversion"/>
  </si>
  <si>
    <t>ATCF'</t>
    <phoneticPr fontId="2" type="noConversion"/>
  </si>
  <si>
    <t>Net Income</t>
    <phoneticPr fontId="2" type="noConversion"/>
  </si>
  <si>
    <t>salvage</t>
    <phoneticPr fontId="2" type="noConversion"/>
  </si>
  <si>
    <t>8'</t>
    <phoneticPr fontId="2" type="noConversion"/>
  </si>
  <si>
    <t xml:space="preserve">  Total Liablities and equity</t>
    <phoneticPr fontId="2" type="noConversion"/>
  </si>
  <si>
    <t>Common stock and retained earnings</t>
    <phoneticPr fontId="2" type="noConversion"/>
  </si>
  <si>
    <t>Bounds</t>
    <phoneticPr fontId="2" type="noConversion"/>
  </si>
  <si>
    <t>Accounts payable</t>
    <phoneticPr fontId="2" type="noConversion"/>
  </si>
  <si>
    <t>LIABILITTIES AND EQUITY</t>
    <phoneticPr fontId="2" type="noConversion"/>
  </si>
  <si>
    <t xml:space="preserve">  Total Assets</t>
    <phoneticPr fontId="2" type="noConversion"/>
  </si>
  <si>
    <t>Fixed assets,net</t>
    <phoneticPr fontId="2" type="noConversion"/>
  </si>
  <si>
    <t>Inventory</t>
    <phoneticPr fontId="2" type="noConversion"/>
  </si>
  <si>
    <t>Accounts recievable</t>
    <phoneticPr fontId="2" type="noConversion"/>
  </si>
  <si>
    <t>Cash</t>
    <phoneticPr fontId="2" type="noConversion"/>
  </si>
  <si>
    <t>ASSETS</t>
    <phoneticPr fontId="2" type="noConversion"/>
  </si>
  <si>
    <t>XYZ Store balance sheet at JUNE 30,2015</t>
    <phoneticPr fontId="2" type="noConversion"/>
  </si>
  <si>
    <t xml:space="preserve">  Increase in retained earnings</t>
    <phoneticPr fontId="2" type="noConversion"/>
  </si>
  <si>
    <t>dividend</t>
    <phoneticPr fontId="2" type="noConversion"/>
  </si>
  <si>
    <t xml:space="preserve">  Profit after taxes</t>
    <phoneticPr fontId="2" type="noConversion"/>
  </si>
  <si>
    <t>Taxes</t>
  </si>
  <si>
    <t xml:space="preserve">  Profit before taxes</t>
    <phoneticPr fontId="2" type="noConversion"/>
  </si>
  <si>
    <t>Selling,general,and administrative expenses</t>
    <phoneticPr fontId="2" type="noConversion"/>
  </si>
  <si>
    <t xml:space="preserve">  Gross profit</t>
    <phoneticPr fontId="2" type="noConversion"/>
  </si>
  <si>
    <t>Cost of goods sold Gross profit</t>
  </si>
  <si>
    <t>Net sales</t>
    <phoneticPr fontId="2" type="noConversion"/>
  </si>
  <si>
    <t>Forecast Income statement for the first half of 2016</t>
    <phoneticPr fontId="2" type="noConversion"/>
  </si>
  <si>
    <t xml:space="preserve">  Beginninig cash balance</t>
    <phoneticPr fontId="2" type="noConversion"/>
  </si>
  <si>
    <t xml:space="preserve">    Net cash flow</t>
    <phoneticPr fontId="2" type="noConversion"/>
  </si>
  <si>
    <t xml:space="preserve">  Total cash disbursements</t>
    <phoneticPr fontId="2" type="noConversion"/>
  </si>
  <si>
    <t>income tax</t>
    <phoneticPr fontId="2" type="noConversion"/>
  </si>
  <si>
    <t>Capital expenditures</t>
    <phoneticPr fontId="2" type="noConversion"/>
  </si>
  <si>
    <t xml:space="preserve">  Total disbursements (purchases and operating expenses)</t>
    <phoneticPr fontId="2" type="noConversion"/>
  </si>
  <si>
    <t>interest</t>
    <phoneticPr fontId="2" type="noConversion"/>
  </si>
  <si>
    <t>rent</t>
    <phoneticPr fontId="2" type="noConversion"/>
  </si>
  <si>
    <t>wage and salaries</t>
    <phoneticPr fontId="2" type="noConversion"/>
  </si>
  <si>
    <t>100% of last month’s purchases</t>
  </si>
  <si>
    <t>Purchases</t>
  </si>
  <si>
    <t>Schedule of Projected Cash Disb</t>
    <phoneticPr fontId="2" type="noConversion"/>
  </si>
  <si>
    <t xml:space="preserve">  Total sales receipt</t>
    <phoneticPr fontId="2" type="noConversion"/>
  </si>
  <si>
    <t>55% in the month</t>
    <phoneticPr fontId="2" type="noConversion"/>
  </si>
  <si>
    <t>cash from credit sale</t>
    <phoneticPr fontId="2" type="noConversion"/>
  </si>
  <si>
    <t>cash sales,current</t>
    <phoneticPr fontId="2" type="noConversion"/>
  </si>
  <si>
    <t>CASH COLLECTIONS</t>
  </si>
  <si>
    <t>Total</t>
    <phoneticPr fontId="2" type="noConversion"/>
  </si>
  <si>
    <t>cash 12%</t>
    <phoneticPr fontId="2" type="noConversion"/>
  </si>
  <si>
    <t>credit 88%</t>
    <phoneticPr fontId="2" type="noConversion"/>
  </si>
  <si>
    <t>SALES</t>
    <phoneticPr fontId="2" type="noConversion"/>
  </si>
  <si>
    <t xml:space="preserve">Collections and Other Cash Receipts </t>
    <phoneticPr fontId="2" type="noConversion"/>
  </si>
  <si>
    <t>in thousands</t>
    <phoneticPr fontId="2" type="noConversion"/>
  </si>
  <si>
    <t>Unit:USD</t>
    <phoneticPr fontId="2" type="noConversion"/>
  </si>
  <si>
    <t>NPV</t>
    <phoneticPr fontId="2" type="noConversion"/>
  </si>
  <si>
    <t>a)
A+D&lt;=1</t>
    <phoneticPr fontId="2" type="noConversion"/>
  </si>
  <si>
    <t>because IRR&gt;MARR，get max(NPV) from A—F,</t>
    <phoneticPr fontId="2" type="noConversion"/>
  </si>
  <si>
    <t>caculation shown Figure1</t>
    <phoneticPr fontId="2" type="noConversion"/>
  </si>
  <si>
    <t>Proposal</t>
    <phoneticPr fontId="2" type="noConversion"/>
  </si>
  <si>
    <t>Figure1</t>
    <phoneticPr fontId="2" type="noConversion"/>
  </si>
  <si>
    <t>Figure2</t>
    <phoneticPr fontId="2" type="noConversion"/>
  </si>
  <si>
    <t>max(NPV)</t>
    <phoneticPr fontId="2" type="noConversion"/>
  </si>
  <si>
    <t>MARR</t>
    <phoneticPr fontId="2" type="noConversion"/>
  </si>
  <si>
    <t>Investement</t>
    <phoneticPr fontId="2" type="noConversion"/>
  </si>
  <si>
    <t>NPV(10%)</t>
    <phoneticPr fontId="2" type="noConversion"/>
  </si>
  <si>
    <t>NPV(15%)</t>
    <phoneticPr fontId="2" type="noConversion"/>
  </si>
  <si>
    <t>c)</t>
    <phoneticPr fontId="2" type="noConversion"/>
  </si>
  <si>
    <t>so,A will be accepted with less cost</t>
    <phoneticPr fontId="2" type="noConversion"/>
  </si>
  <si>
    <t>so,B will be accepted with less cost</t>
    <phoneticPr fontId="2" type="noConversion"/>
  </si>
  <si>
    <t>So,if no limit to investment,BCDE will be choosed as optimal proposal with NPV $38484.50</t>
    <phoneticPr fontId="2" type="noConversion"/>
  </si>
  <si>
    <t>if the limit of investment is $110000,then the optimal proposals are C D with NPV=$32028.40 and investment=$100000</t>
    <phoneticPr fontId="2" type="noConversion"/>
  </si>
  <si>
    <t xml:space="preserve">    End Cash Balance without additonal financing</t>
    <phoneticPr fontId="2" type="noConversion"/>
  </si>
  <si>
    <t xml:space="preserve">    End Cash Balance with additonal financing</t>
    <phoneticPr fontId="2" type="noConversion"/>
  </si>
  <si>
    <t>G</t>
    <phoneticPr fontId="2" type="noConversion"/>
  </si>
  <si>
    <t>25% in the sencond month</t>
    <phoneticPr fontId="2" type="noConversion"/>
  </si>
  <si>
    <t>20% in the third month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</si>
</sst>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0.00_);[Red]\(0.00\)"/>
    <numFmt numFmtId="177" formatCode="_-&quot;US$&quot;* #,##0.00_ ;_-&quot;US$&quot;* \-#,##0.00\ ;_-&quot;US$&quot;* &quot;-&quot;??_ ;_-@_ "/>
  </numFmts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363636"/>
      <name val="Segoe UI Light"/>
      <family val="2"/>
    </font>
    <font>
      <sz val="15.4"/>
      <color rgb="FF363636"/>
      <name val="Segoe UI Light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9" fontId="0" fillId="0" borderId="0" xfId="0" applyNumberFormat="1">
      <alignment vertical="center"/>
    </xf>
    <xf numFmtId="0" fontId="7" fillId="0" borderId="0" xfId="0" applyFont="1" applyAlignmen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8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2" fontId="3" fillId="0" borderId="0" xfId="0" applyNumberFormat="1" applyFont="1" applyBorder="1">
      <alignment vertical="center"/>
    </xf>
    <xf numFmtId="2" fontId="0" fillId="0" borderId="0" xfId="0" applyNumberFormat="1" applyBorder="1">
      <alignment vertical="center"/>
    </xf>
    <xf numFmtId="2" fontId="0" fillId="0" borderId="2" xfId="0" applyNumberFormat="1" applyBorder="1">
      <alignment vertical="center"/>
    </xf>
    <xf numFmtId="10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8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9" fontId="0" fillId="0" borderId="0" xfId="1" applyNumberFormat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9" fontId="0" fillId="0" borderId="1" xfId="1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0" fillId="0" borderId="1" xfId="2" applyNumberFormat="1" applyFont="1" applyBorder="1">
      <alignment vertical="center"/>
    </xf>
    <xf numFmtId="177" fontId="0" fillId="0" borderId="2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3">
    <cellStyle name="百分比" xfId="1" builtinId="5"/>
    <cellStyle name="常规" xfId="0" builtinId="0"/>
    <cellStyle name="货币" xfId="2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showGridLines="0" topLeftCell="A25" workbookViewId="0">
      <selection activeCell="K14" sqref="K14"/>
    </sheetView>
  </sheetViews>
  <sheetFormatPr defaultRowHeight="13.5"/>
  <cols>
    <col min="1" max="1" width="32.75" style="1" customWidth="1"/>
    <col min="2" max="2" width="14.625" bestFit="1" customWidth="1"/>
  </cols>
  <sheetData>
    <row r="1" spans="1:12">
      <c r="A1" s="1" t="s">
        <v>81</v>
      </c>
      <c r="B1" t="s">
        <v>80</v>
      </c>
    </row>
    <row r="2" spans="1:12">
      <c r="A2" s="4" t="s">
        <v>79</v>
      </c>
    </row>
    <row r="3" spans="1:12">
      <c r="A3" s="4"/>
    </row>
    <row r="4" spans="1:12">
      <c r="A4" s="7" t="s">
        <v>78</v>
      </c>
      <c r="C4">
        <v>201510</v>
      </c>
      <c r="D4">
        <v>201511</v>
      </c>
      <c r="E4">
        <v>201512</v>
      </c>
      <c r="F4">
        <v>201601</v>
      </c>
      <c r="G4">
        <v>201602</v>
      </c>
      <c r="H4">
        <v>201603</v>
      </c>
      <c r="I4">
        <v>201604</v>
      </c>
      <c r="J4">
        <v>201605</v>
      </c>
      <c r="K4">
        <v>201606</v>
      </c>
      <c r="L4">
        <v>201607</v>
      </c>
    </row>
    <row r="5" spans="1:12">
      <c r="A5" s="9" t="s">
        <v>77</v>
      </c>
      <c r="B5" s="10"/>
      <c r="C5" s="10">
        <f t="shared" ref="C5:L5" si="0">C$7*88%</f>
        <v>264</v>
      </c>
      <c r="D5" s="10">
        <f t="shared" si="0"/>
        <v>299.2</v>
      </c>
      <c r="E5" s="10">
        <f t="shared" si="0"/>
        <v>237.6</v>
      </c>
      <c r="F5" s="10">
        <f t="shared" si="0"/>
        <v>211.2</v>
      </c>
      <c r="G5" s="10">
        <f t="shared" si="0"/>
        <v>220</v>
      </c>
      <c r="H5" s="10">
        <f t="shared" si="0"/>
        <v>211.2</v>
      </c>
      <c r="I5" s="10">
        <f t="shared" si="0"/>
        <v>299.2</v>
      </c>
      <c r="J5" s="10">
        <f>J$7*88%</f>
        <v>255.2</v>
      </c>
      <c r="K5" s="10">
        <f t="shared" si="0"/>
        <v>193.6</v>
      </c>
      <c r="L5" s="10">
        <f t="shared" si="0"/>
        <v>281.60000000000002</v>
      </c>
    </row>
    <row r="6" spans="1:12">
      <c r="A6" s="11" t="s">
        <v>76</v>
      </c>
      <c r="B6" s="12"/>
      <c r="C6" s="12">
        <f t="shared" ref="C6:L6" si="1">C7-C5</f>
        <v>36</v>
      </c>
      <c r="D6" s="12">
        <f t="shared" si="1"/>
        <v>40.800000000000011</v>
      </c>
      <c r="E6" s="12">
        <f t="shared" si="1"/>
        <v>32.400000000000006</v>
      </c>
      <c r="F6" s="12">
        <f t="shared" si="1"/>
        <v>28.800000000000011</v>
      </c>
      <c r="G6" s="12">
        <f t="shared" si="1"/>
        <v>30</v>
      </c>
      <c r="H6" s="12">
        <f t="shared" si="1"/>
        <v>28.800000000000011</v>
      </c>
      <c r="I6" s="12">
        <f t="shared" si="1"/>
        <v>40.800000000000011</v>
      </c>
      <c r="J6" s="12">
        <f t="shared" si="1"/>
        <v>34.800000000000011</v>
      </c>
      <c r="K6" s="12">
        <f t="shared" si="1"/>
        <v>26.400000000000006</v>
      </c>
      <c r="L6" s="12">
        <f t="shared" si="1"/>
        <v>38.399999999999977</v>
      </c>
    </row>
    <row r="7" spans="1:12">
      <c r="A7" s="13" t="s">
        <v>75</v>
      </c>
      <c r="B7" s="14"/>
      <c r="C7" s="14">
        <v>300</v>
      </c>
      <c r="D7" s="14">
        <v>340</v>
      </c>
      <c r="E7" s="14">
        <v>270</v>
      </c>
      <c r="F7" s="14">
        <v>240</v>
      </c>
      <c r="G7" s="14">
        <v>250</v>
      </c>
      <c r="H7" s="14">
        <v>240</v>
      </c>
      <c r="I7" s="14">
        <v>340</v>
      </c>
      <c r="J7" s="14">
        <v>290</v>
      </c>
      <c r="K7" s="14">
        <v>220</v>
      </c>
      <c r="L7" s="14">
        <v>320</v>
      </c>
    </row>
    <row r="9" spans="1:12">
      <c r="A9" s="7" t="s">
        <v>74</v>
      </c>
      <c r="B9" s="6"/>
    </row>
    <row r="10" spans="1:12">
      <c r="A10" s="15" t="s">
        <v>73</v>
      </c>
      <c r="B10" s="16"/>
      <c r="C10" s="10"/>
      <c r="D10" s="10"/>
      <c r="E10" s="10"/>
      <c r="F10" s="10">
        <f t="shared" ref="F10:L10" si="2">F6</f>
        <v>28.800000000000011</v>
      </c>
      <c r="G10" s="10">
        <f t="shared" si="2"/>
        <v>30</v>
      </c>
      <c r="H10" s="10">
        <f t="shared" si="2"/>
        <v>28.800000000000011</v>
      </c>
      <c r="I10" s="10">
        <f t="shared" si="2"/>
        <v>40.800000000000011</v>
      </c>
      <c r="J10" s="10">
        <f t="shared" si="2"/>
        <v>34.800000000000011</v>
      </c>
      <c r="K10" s="10">
        <f t="shared" si="2"/>
        <v>26.400000000000006</v>
      </c>
      <c r="L10" s="10">
        <f t="shared" si="2"/>
        <v>38.399999999999977</v>
      </c>
    </row>
    <row r="11" spans="1:12" ht="27">
      <c r="A11" s="17" t="s">
        <v>72</v>
      </c>
      <c r="B11" s="11" t="s">
        <v>71</v>
      </c>
      <c r="C11" s="12"/>
      <c r="D11" s="12">
        <f>C5*55%</f>
        <v>145.20000000000002</v>
      </c>
      <c r="E11" s="12">
        <f t="shared" ref="E11:L11" si="3">D5*55%</f>
        <v>164.56</v>
      </c>
      <c r="F11" s="12">
        <f t="shared" si="3"/>
        <v>130.68</v>
      </c>
      <c r="G11" s="12">
        <f t="shared" si="3"/>
        <v>116.16</v>
      </c>
      <c r="H11" s="12">
        <f t="shared" si="3"/>
        <v>121.00000000000001</v>
      </c>
      <c r="I11" s="12">
        <f t="shared" si="3"/>
        <v>116.16</v>
      </c>
      <c r="J11" s="12">
        <f t="shared" si="3"/>
        <v>164.56</v>
      </c>
      <c r="K11" s="12">
        <f t="shared" si="3"/>
        <v>140.36000000000001</v>
      </c>
      <c r="L11" s="12">
        <f t="shared" si="3"/>
        <v>106.48</v>
      </c>
    </row>
    <row r="12" spans="1:12" ht="27">
      <c r="A12" s="11"/>
      <c r="B12" s="11" t="s">
        <v>102</v>
      </c>
      <c r="C12" s="12"/>
      <c r="D12" s="12"/>
      <c r="E12" s="12">
        <f t="shared" ref="E12:L12" si="4">C5*25%</f>
        <v>66</v>
      </c>
      <c r="F12" s="12">
        <f t="shared" si="4"/>
        <v>74.8</v>
      </c>
      <c r="G12" s="12">
        <f t="shared" si="4"/>
        <v>59.4</v>
      </c>
      <c r="H12" s="12">
        <f t="shared" si="4"/>
        <v>52.8</v>
      </c>
      <c r="I12" s="12">
        <f t="shared" si="4"/>
        <v>55</v>
      </c>
      <c r="J12" s="12">
        <f t="shared" si="4"/>
        <v>52.8</v>
      </c>
      <c r="K12" s="12">
        <f t="shared" si="4"/>
        <v>74.8</v>
      </c>
      <c r="L12" s="12">
        <f t="shared" si="4"/>
        <v>63.8</v>
      </c>
    </row>
    <row r="13" spans="1:12" ht="27">
      <c r="A13" s="11"/>
      <c r="B13" s="11" t="s">
        <v>103</v>
      </c>
      <c r="C13" s="12"/>
      <c r="D13" s="12"/>
      <c r="E13" s="12"/>
      <c r="F13" s="12">
        <f t="shared" ref="F13:L13" si="5">C5*20%</f>
        <v>52.800000000000004</v>
      </c>
      <c r="G13" s="12">
        <f t="shared" si="5"/>
        <v>59.84</v>
      </c>
      <c r="H13" s="12">
        <f t="shared" si="5"/>
        <v>47.52</v>
      </c>
      <c r="I13" s="12">
        <f t="shared" si="5"/>
        <v>42.24</v>
      </c>
      <c r="J13" s="12">
        <f t="shared" si="5"/>
        <v>44</v>
      </c>
      <c r="K13" s="12">
        <f t="shared" si="5"/>
        <v>42.24</v>
      </c>
      <c r="L13" s="12">
        <f t="shared" si="5"/>
        <v>59.84</v>
      </c>
    </row>
    <row r="14" spans="1:12">
      <c r="A14" s="18" t="s">
        <v>70</v>
      </c>
      <c r="B14" s="14"/>
      <c r="C14" s="14"/>
      <c r="D14" s="14"/>
      <c r="E14" s="14"/>
      <c r="F14" s="14">
        <f t="shared" ref="F14:L14" si="6">SUM(F10:F13)</f>
        <v>287.08000000000004</v>
      </c>
      <c r="G14" s="14">
        <f t="shared" si="6"/>
        <v>265.39999999999998</v>
      </c>
      <c r="H14" s="14">
        <f t="shared" si="6"/>
        <v>250.12000000000003</v>
      </c>
      <c r="I14" s="14">
        <f t="shared" si="6"/>
        <v>254.20000000000002</v>
      </c>
      <c r="J14" s="14">
        <f t="shared" si="6"/>
        <v>296.16000000000003</v>
      </c>
      <c r="K14" s="14">
        <f t="shared" si="6"/>
        <v>283.8</v>
      </c>
      <c r="L14" s="14">
        <f t="shared" si="6"/>
        <v>268.52</v>
      </c>
    </row>
    <row r="16" spans="1:12">
      <c r="A16" s="4" t="s">
        <v>69</v>
      </c>
    </row>
    <row r="18" spans="1:11">
      <c r="A18" s="9" t="s">
        <v>68</v>
      </c>
      <c r="B18" s="10"/>
      <c r="C18" s="19">
        <f t="shared" ref="C18:K18" si="7">D7*0.74</f>
        <v>251.6</v>
      </c>
      <c r="D18" s="10">
        <f t="shared" si="7"/>
        <v>199.8</v>
      </c>
      <c r="E18" s="10">
        <f t="shared" si="7"/>
        <v>177.6</v>
      </c>
      <c r="F18" s="10">
        <f t="shared" si="7"/>
        <v>185</v>
      </c>
      <c r="G18" s="10">
        <f t="shared" si="7"/>
        <v>177.6</v>
      </c>
      <c r="H18" s="10">
        <f t="shared" si="7"/>
        <v>251.6</v>
      </c>
      <c r="I18" s="10">
        <f t="shared" si="7"/>
        <v>214.6</v>
      </c>
      <c r="J18" s="10">
        <f t="shared" si="7"/>
        <v>162.80000000000001</v>
      </c>
      <c r="K18" s="10">
        <f t="shared" si="7"/>
        <v>236.8</v>
      </c>
    </row>
    <row r="19" spans="1:11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40.5">
      <c r="A20" s="11"/>
      <c r="B20" s="11" t="s">
        <v>67</v>
      </c>
      <c r="C20" s="12"/>
      <c r="D20" s="12">
        <f t="shared" ref="D20:K20" si="8">C18</f>
        <v>251.6</v>
      </c>
      <c r="E20" s="12">
        <f t="shared" si="8"/>
        <v>199.8</v>
      </c>
      <c r="F20" s="12">
        <f t="shared" si="8"/>
        <v>177.6</v>
      </c>
      <c r="G20" s="12">
        <f t="shared" si="8"/>
        <v>185</v>
      </c>
      <c r="H20" s="12">
        <f t="shared" si="8"/>
        <v>177.6</v>
      </c>
      <c r="I20" s="12">
        <f t="shared" si="8"/>
        <v>251.6</v>
      </c>
      <c r="J20" s="12">
        <f t="shared" si="8"/>
        <v>214.6</v>
      </c>
      <c r="K20" s="12">
        <f t="shared" si="8"/>
        <v>162.80000000000001</v>
      </c>
    </row>
    <row r="21" spans="1:11" ht="27">
      <c r="A21" s="11"/>
      <c r="B21" s="11" t="s">
        <v>66</v>
      </c>
      <c r="C21" s="12"/>
      <c r="D21" s="12"/>
      <c r="E21" s="12"/>
      <c r="F21" s="12">
        <v>40</v>
      </c>
      <c r="G21" s="12">
        <v>45</v>
      </c>
      <c r="H21" s="12">
        <v>55</v>
      </c>
      <c r="I21" s="12">
        <v>50</v>
      </c>
      <c r="J21" s="12">
        <v>65</v>
      </c>
      <c r="K21" s="12">
        <v>55</v>
      </c>
    </row>
    <row r="22" spans="1:11">
      <c r="A22" s="11"/>
      <c r="B22" s="11" t="s">
        <v>65</v>
      </c>
      <c r="C22" s="12"/>
      <c r="D22" s="12"/>
      <c r="E22" s="12"/>
      <c r="F22" s="12">
        <v>6</v>
      </c>
      <c r="G22" s="12">
        <v>6</v>
      </c>
      <c r="H22" s="12">
        <v>6</v>
      </c>
      <c r="I22" s="12">
        <v>6</v>
      </c>
      <c r="J22" s="12">
        <v>6</v>
      </c>
      <c r="K22" s="12">
        <v>6</v>
      </c>
    </row>
    <row r="23" spans="1:11">
      <c r="A23" s="11"/>
      <c r="B23" s="11" t="s">
        <v>64</v>
      </c>
      <c r="C23" s="12"/>
      <c r="D23" s="12"/>
      <c r="E23" s="12"/>
      <c r="F23" s="12"/>
      <c r="G23" s="12"/>
      <c r="H23" s="12">
        <v>8.5</v>
      </c>
      <c r="I23" s="12"/>
      <c r="J23" s="12"/>
      <c r="K23" s="12">
        <v>8.5</v>
      </c>
    </row>
    <row r="24" spans="1:1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</row>
    <row r="25" spans="1:11" ht="40.5">
      <c r="A25" s="18" t="s">
        <v>63</v>
      </c>
      <c r="B25" s="14"/>
      <c r="C25" s="14"/>
      <c r="D25" s="14"/>
      <c r="E25" s="14"/>
      <c r="F25" s="14">
        <f t="shared" ref="F25:K25" si="9">SUM(F20:F23)</f>
        <v>223.6</v>
      </c>
      <c r="G25" s="14">
        <f t="shared" si="9"/>
        <v>236</v>
      </c>
      <c r="H25" s="14">
        <f t="shared" si="9"/>
        <v>247.1</v>
      </c>
      <c r="I25" s="14">
        <f t="shared" si="9"/>
        <v>307.60000000000002</v>
      </c>
      <c r="J25" s="14">
        <f t="shared" si="9"/>
        <v>285.60000000000002</v>
      </c>
      <c r="K25" s="14">
        <f t="shared" si="9"/>
        <v>232.3</v>
      </c>
    </row>
    <row r="26" spans="1:11">
      <c r="A26" s="9" t="s">
        <v>62</v>
      </c>
      <c r="B26" s="10"/>
      <c r="C26" s="10"/>
      <c r="D26" s="10"/>
      <c r="E26" s="10"/>
      <c r="F26" s="10"/>
      <c r="G26" s="10"/>
      <c r="H26" s="10"/>
      <c r="I26" s="10"/>
      <c r="J26" s="10"/>
      <c r="K26" s="10">
        <v>60</v>
      </c>
    </row>
    <row r="27" spans="1:11">
      <c r="A27" s="11" t="s">
        <v>61</v>
      </c>
      <c r="B27" s="12"/>
      <c r="C27" s="12"/>
      <c r="D27" s="12"/>
      <c r="E27" s="12"/>
      <c r="F27" s="12"/>
      <c r="G27" s="12"/>
      <c r="H27" s="12"/>
      <c r="I27" s="12">
        <v>60</v>
      </c>
      <c r="J27" s="12"/>
      <c r="K27" s="12"/>
    </row>
    <row r="28" spans="1:11">
      <c r="A28" s="20" t="s">
        <v>60</v>
      </c>
      <c r="B28" s="12"/>
      <c r="C28" s="12"/>
      <c r="D28" s="12"/>
      <c r="E28" s="12"/>
      <c r="F28" s="12">
        <f t="shared" ref="F28:K28" si="10">SUM(F25:F27)</f>
        <v>223.6</v>
      </c>
      <c r="G28" s="12">
        <f t="shared" si="10"/>
        <v>236</v>
      </c>
      <c r="H28" s="12">
        <f t="shared" si="10"/>
        <v>247.1</v>
      </c>
      <c r="I28" s="12">
        <f t="shared" si="10"/>
        <v>367.6</v>
      </c>
      <c r="J28" s="12">
        <f t="shared" si="10"/>
        <v>285.60000000000002</v>
      </c>
      <c r="K28" s="12">
        <f t="shared" si="10"/>
        <v>292.3</v>
      </c>
    </row>
    <row r="29" spans="1:11">
      <c r="A29" s="20" t="s">
        <v>59</v>
      </c>
      <c r="B29" s="12"/>
      <c r="C29" s="12"/>
      <c r="D29" s="12"/>
      <c r="E29" s="12"/>
      <c r="F29" s="12">
        <f t="shared" ref="F29:K29" si="11">F14-F28</f>
        <v>63.480000000000047</v>
      </c>
      <c r="G29" s="12">
        <f t="shared" si="11"/>
        <v>29.399999999999977</v>
      </c>
      <c r="H29" s="12">
        <f t="shared" si="11"/>
        <v>3.0200000000000387</v>
      </c>
      <c r="I29" s="12">
        <f t="shared" si="11"/>
        <v>-113.4</v>
      </c>
      <c r="J29" s="12">
        <f t="shared" si="11"/>
        <v>10.560000000000002</v>
      </c>
      <c r="K29" s="12">
        <f t="shared" si="11"/>
        <v>-8.5</v>
      </c>
    </row>
    <row r="30" spans="1:11">
      <c r="A30" s="11" t="s">
        <v>58</v>
      </c>
      <c r="B30" s="12"/>
      <c r="C30" s="12"/>
      <c r="D30" s="12"/>
      <c r="E30" s="12"/>
      <c r="F30" s="12">
        <v>90</v>
      </c>
      <c r="G30" s="12">
        <f>F31</f>
        <v>153.48000000000005</v>
      </c>
      <c r="H30" s="12">
        <f>G31</f>
        <v>182.88000000000002</v>
      </c>
      <c r="I30" s="12">
        <f>H31</f>
        <v>185.90000000000006</v>
      </c>
      <c r="J30" s="12">
        <f>I31</f>
        <v>72.500000000000057</v>
      </c>
      <c r="K30" s="12">
        <f>J31</f>
        <v>83.060000000000059</v>
      </c>
    </row>
    <row r="31" spans="1:11" ht="27">
      <c r="A31" s="20" t="s">
        <v>99</v>
      </c>
      <c r="B31" s="12"/>
      <c r="C31" s="12"/>
      <c r="D31" s="12"/>
      <c r="E31" s="12"/>
      <c r="F31" s="12">
        <f t="shared" ref="F31:K31" si="12">F30+F29</f>
        <v>153.48000000000005</v>
      </c>
      <c r="G31" s="12">
        <f t="shared" si="12"/>
        <v>182.88000000000002</v>
      </c>
      <c r="H31" s="12">
        <f t="shared" si="12"/>
        <v>185.90000000000006</v>
      </c>
      <c r="I31" s="12">
        <f t="shared" si="12"/>
        <v>72.500000000000057</v>
      </c>
      <c r="J31" s="12">
        <f t="shared" si="12"/>
        <v>83.060000000000059</v>
      </c>
      <c r="K31" s="12">
        <f t="shared" si="12"/>
        <v>74.560000000000059</v>
      </c>
    </row>
    <row r="32" spans="1:11" ht="27">
      <c r="A32" s="18" t="s">
        <v>100</v>
      </c>
      <c r="B32" s="14"/>
      <c r="C32" s="14"/>
      <c r="D32" s="14"/>
      <c r="E32" s="14"/>
      <c r="F32" s="14">
        <f>F31</f>
        <v>153.48000000000005</v>
      </c>
      <c r="G32" s="14">
        <f>G31</f>
        <v>182.88000000000002</v>
      </c>
      <c r="H32" s="14">
        <f>H31</f>
        <v>185.90000000000006</v>
      </c>
      <c r="I32" s="14">
        <f>I31+20</f>
        <v>92.500000000000057</v>
      </c>
      <c r="J32" s="14">
        <f>J31+10</f>
        <v>93.060000000000059</v>
      </c>
      <c r="K32" s="14">
        <f>K31+20</f>
        <v>94.560000000000059</v>
      </c>
    </row>
    <row r="36" spans="1:6">
      <c r="A36" s="4" t="s">
        <v>57</v>
      </c>
    </row>
    <row r="38" spans="1:6">
      <c r="A38" s="9" t="s">
        <v>56</v>
      </c>
      <c r="B38" s="10">
        <f>SUM(F7:K7)</f>
        <v>1580</v>
      </c>
    </row>
    <row r="39" spans="1:6">
      <c r="A39" s="11" t="s">
        <v>55</v>
      </c>
      <c r="B39" s="21">
        <f>B38*74%</f>
        <v>1169.2</v>
      </c>
    </row>
    <row r="40" spans="1:6">
      <c r="A40" s="20" t="s">
        <v>54</v>
      </c>
      <c r="B40" s="22">
        <f>B38-B39</f>
        <v>410.79999999999995</v>
      </c>
    </row>
    <row r="41" spans="1:6" ht="27">
      <c r="A41" s="11" t="s">
        <v>53</v>
      </c>
      <c r="B41" s="22">
        <f>K25</f>
        <v>232.3</v>
      </c>
    </row>
    <row r="42" spans="1:6">
      <c r="A42" s="20" t="s">
        <v>52</v>
      </c>
      <c r="B42" s="22">
        <f>B40-B41</f>
        <v>178.49999999999994</v>
      </c>
    </row>
    <row r="43" spans="1:6">
      <c r="A43" s="11" t="s">
        <v>51</v>
      </c>
      <c r="B43" s="22">
        <f>B42*34%</f>
        <v>60.689999999999984</v>
      </c>
    </row>
    <row r="44" spans="1:6">
      <c r="A44" s="11" t="s">
        <v>50</v>
      </c>
      <c r="B44" s="22">
        <f>B42-B43</f>
        <v>117.80999999999996</v>
      </c>
    </row>
    <row r="45" spans="1:6">
      <c r="A45" s="11" t="s">
        <v>49</v>
      </c>
      <c r="B45" s="22">
        <v>0</v>
      </c>
    </row>
    <row r="46" spans="1:6">
      <c r="A46" s="18" t="s">
        <v>48</v>
      </c>
      <c r="B46" s="23">
        <f>B44-B45</f>
        <v>117.80999999999996</v>
      </c>
    </row>
    <row r="48" spans="1:6">
      <c r="F48" s="5"/>
    </row>
    <row r="50" spans="1:2">
      <c r="A50" s="4" t="s">
        <v>47</v>
      </c>
    </row>
    <row r="51" spans="1:2">
      <c r="A51" s="51" t="s">
        <v>46</v>
      </c>
      <c r="B51" s="51"/>
    </row>
    <row r="52" spans="1:2">
      <c r="A52" s="11" t="s">
        <v>45</v>
      </c>
      <c r="B52" s="12">
        <v>-26.094000000000023</v>
      </c>
    </row>
    <row r="53" spans="1:2">
      <c r="A53" s="11" t="s">
        <v>44</v>
      </c>
      <c r="B53" s="12">
        <f>K5+J5*45%+I5*15%</f>
        <v>353.32</v>
      </c>
    </row>
    <row r="54" spans="1:2">
      <c r="A54" s="11" t="s">
        <v>43</v>
      </c>
      <c r="B54" s="22">
        <v>179.25925925925901</v>
      </c>
    </row>
    <row r="55" spans="1:2">
      <c r="A55" s="11" t="s">
        <v>42</v>
      </c>
      <c r="B55" s="12"/>
    </row>
    <row r="56" spans="1:2">
      <c r="A56" s="13" t="s">
        <v>41</v>
      </c>
      <c r="B56" s="14"/>
    </row>
    <row r="58" spans="1:2">
      <c r="A58" s="51" t="s">
        <v>40</v>
      </c>
      <c r="B58" s="51"/>
    </row>
    <row r="59" spans="1:2">
      <c r="A59" s="11" t="s">
        <v>39</v>
      </c>
      <c r="B59" s="12">
        <f>K18</f>
        <v>236.8</v>
      </c>
    </row>
    <row r="60" spans="1:2">
      <c r="A60" s="11" t="s">
        <v>38</v>
      </c>
      <c r="B60" s="12"/>
    </row>
    <row r="61" spans="1:2" ht="27">
      <c r="A61" s="11" t="s">
        <v>37</v>
      </c>
      <c r="B61" s="12"/>
    </row>
    <row r="62" spans="1:2">
      <c r="A62" s="13" t="s">
        <v>36</v>
      </c>
      <c r="B62" s="14"/>
    </row>
  </sheetData>
  <mergeCells count="2">
    <mergeCell ref="A51:B51"/>
    <mergeCell ref="A58:B58"/>
  </mergeCells>
  <phoneticPr fontId="2" type="noConversion"/>
  <pageMargins left="0.7" right="0.7" top="0.75" bottom="0.75" header="0.3" footer="0.3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tabSelected="1" workbookViewId="0">
      <selection activeCell="L32" sqref="L32"/>
    </sheetView>
  </sheetViews>
  <sheetFormatPr defaultRowHeight="13.5"/>
  <cols>
    <col min="1" max="1" width="3.25" bestFit="1" customWidth="1"/>
    <col min="2" max="3" width="7.25" bestFit="1" customWidth="1"/>
    <col min="4" max="4" width="27.5" bestFit="1" customWidth="1"/>
    <col min="5" max="7" width="8.25" bestFit="1" customWidth="1"/>
    <col min="8" max="9" width="9.25" bestFit="1" customWidth="1"/>
    <col min="10" max="11" width="10.25" bestFit="1" customWidth="1"/>
    <col min="12" max="12" width="17.25" bestFit="1" customWidth="1"/>
    <col min="13" max="13" width="12.5" bestFit="1" customWidth="1"/>
  </cols>
  <sheetData>
    <row r="1" spans="1:13">
      <c r="A1" s="2" t="s">
        <v>81</v>
      </c>
    </row>
    <row r="3" spans="1:13">
      <c r="A3" s="10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0" t="s">
        <v>28</v>
      </c>
      <c r="H3" s="10" t="s">
        <v>29</v>
      </c>
      <c r="I3" s="10" t="s">
        <v>30</v>
      </c>
      <c r="J3" s="10" t="s">
        <v>31</v>
      </c>
      <c r="K3" s="10" t="s">
        <v>32</v>
      </c>
      <c r="L3" s="10" t="s">
        <v>33</v>
      </c>
    </row>
    <row r="4" spans="1:13">
      <c r="A4" s="12">
        <v>0</v>
      </c>
      <c r="B4" s="12"/>
      <c r="C4" s="12"/>
      <c r="D4" s="12">
        <v>-76000</v>
      </c>
      <c r="E4" s="12"/>
      <c r="F4" s="12"/>
      <c r="G4" s="12">
        <v>76000</v>
      </c>
      <c r="H4" s="12"/>
      <c r="I4" s="12"/>
      <c r="J4" s="12">
        <f>D4-I4</f>
        <v>-76000</v>
      </c>
      <c r="K4" s="12">
        <f>J4</f>
        <v>-76000</v>
      </c>
      <c r="L4" s="12">
        <f>D4-I4</f>
        <v>-76000</v>
      </c>
    </row>
    <row r="5" spans="1:13">
      <c r="A5" s="12">
        <v>1</v>
      </c>
      <c r="B5" s="12"/>
      <c r="C5" s="12">
        <v>2000</v>
      </c>
      <c r="D5" s="12">
        <f>B5-C5</f>
        <v>-2000</v>
      </c>
      <c r="E5" s="24">
        <v>0.2</v>
      </c>
      <c r="F5" s="12">
        <f>E5*$G$4</f>
        <v>15200</v>
      </c>
      <c r="G5" s="12">
        <f>G4-F5</f>
        <v>60800</v>
      </c>
      <c r="H5" s="12">
        <f>D5-F5</f>
        <v>-17200</v>
      </c>
      <c r="I5" s="25">
        <f>H5*$B$15</f>
        <v>-6020</v>
      </c>
      <c r="J5" s="12">
        <f>D5-I5</f>
        <v>4020</v>
      </c>
      <c r="K5" s="12">
        <f t="shared" ref="K5:K7" si="0">J5</f>
        <v>4020</v>
      </c>
      <c r="L5" s="12">
        <f>H5-I5</f>
        <v>-11180</v>
      </c>
    </row>
    <row r="6" spans="1:13">
      <c r="A6" s="12">
        <v>2</v>
      </c>
      <c r="B6" s="12"/>
      <c r="C6" s="12">
        <v>2000</v>
      </c>
      <c r="D6" s="12">
        <f t="shared" ref="D6:D12" si="1">B6-C6</f>
        <v>-2000</v>
      </c>
      <c r="E6" s="24">
        <v>0.32</v>
      </c>
      <c r="F6" s="12">
        <f t="shared" ref="F6:F12" si="2">E6*$G$4</f>
        <v>24320</v>
      </c>
      <c r="G6" s="12">
        <f t="shared" ref="G6:G8" si="3">G5-F6</f>
        <v>36480</v>
      </c>
      <c r="H6" s="12">
        <f t="shared" ref="H6:H12" si="4">D6-F6</f>
        <v>-26320</v>
      </c>
      <c r="I6" s="12">
        <f>H6*$B$15</f>
        <v>-9212</v>
      </c>
      <c r="J6" s="12">
        <f t="shared" ref="J6:J12" si="5">D6-I6</f>
        <v>7212</v>
      </c>
      <c r="K6" s="12">
        <f t="shared" si="0"/>
        <v>7212</v>
      </c>
      <c r="L6" s="12">
        <f t="shared" ref="L6:L13" si="6">H6-I6</f>
        <v>-17108</v>
      </c>
    </row>
    <row r="7" spans="1:13">
      <c r="A7" s="12">
        <v>3</v>
      </c>
      <c r="B7" s="12"/>
      <c r="C7" s="12">
        <v>2000</v>
      </c>
      <c r="D7" s="12">
        <f t="shared" si="1"/>
        <v>-2000</v>
      </c>
      <c r="E7" s="24">
        <v>0.192</v>
      </c>
      <c r="F7" s="12">
        <f t="shared" si="2"/>
        <v>14592</v>
      </c>
      <c r="G7" s="12">
        <f t="shared" si="3"/>
        <v>21888</v>
      </c>
      <c r="H7" s="12">
        <f t="shared" si="4"/>
        <v>-16592</v>
      </c>
      <c r="I7" s="12">
        <f>H7*$B$15</f>
        <v>-5807.2</v>
      </c>
      <c r="J7" s="12">
        <f t="shared" si="5"/>
        <v>3807.2</v>
      </c>
      <c r="K7" s="12">
        <f t="shared" si="0"/>
        <v>3807.2</v>
      </c>
      <c r="L7" s="12">
        <f t="shared" si="6"/>
        <v>-10784.8</v>
      </c>
    </row>
    <row r="8" spans="1:13">
      <c r="A8" s="12">
        <v>4</v>
      </c>
      <c r="B8" s="12"/>
      <c r="C8" s="12">
        <v>2000</v>
      </c>
      <c r="D8" s="12">
        <f t="shared" si="1"/>
        <v>-2000</v>
      </c>
      <c r="E8" s="24">
        <v>0.1152</v>
      </c>
      <c r="F8" s="12">
        <f t="shared" si="2"/>
        <v>8755.1999999999989</v>
      </c>
      <c r="G8" s="12">
        <f t="shared" si="3"/>
        <v>13132.800000000001</v>
      </c>
      <c r="H8" s="12">
        <f t="shared" si="4"/>
        <v>-10755.199999999999</v>
      </c>
      <c r="I8" s="12">
        <f>H8*$B$15</f>
        <v>-3764.3199999999993</v>
      </c>
      <c r="J8" s="12">
        <f t="shared" si="5"/>
        <v>1764.3199999999993</v>
      </c>
      <c r="K8" s="12">
        <f>J8</f>
        <v>1764.3199999999993</v>
      </c>
      <c r="L8" s="12">
        <f t="shared" si="6"/>
        <v>-6990.8799999999992</v>
      </c>
    </row>
    <row r="9" spans="1:13">
      <c r="A9" s="12">
        <v>5</v>
      </c>
      <c r="B9" s="12"/>
      <c r="C9" s="12">
        <v>13000</v>
      </c>
      <c r="D9" s="12">
        <f t="shared" si="1"/>
        <v>-13000</v>
      </c>
      <c r="E9" s="24">
        <v>0.1152</v>
      </c>
      <c r="F9" s="12">
        <f t="shared" si="2"/>
        <v>8755.1999999999989</v>
      </c>
      <c r="G9" s="12"/>
      <c r="H9" s="12">
        <f t="shared" si="4"/>
        <v>-21755.199999999997</v>
      </c>
      <c r="I9" s="12">
        <f t="shared" ref="I9:I12" si="7">H9*$B$15</f>
        <v>-7614.3199999999988</v>
      </c>
      <c r="J9" s="12">
        <f t="shared" si="5"/>
        <v>-5385.6800000000012</v>
      </c>
      <c r="K9" s="12">
        <f t="shared" ref="K9:K11" si="8">J9+J14+J15</f>
        <v>-5385.6800000000012</v>
      </c>
      <c r="L9" s="12">
        <f t="shared" si="6"/>
        <v>-14140.879999999997</v>
      </c>
    </row>
    <row r="10" spans="1:13">
      <c r="A10" s="12">
        <v>6</v>
      </c>
      <c r="B10" s="12"/>
      <c r="C10" s="12">
        <v>4000</v>
      </c>
      <c r="D10" s="12">
        <f t="shared" si="1"/>
        <v>-4000</v>
      </c>
      <c r="E10" s="24">
        <v>5.7599999999999998E-2</v>
      </c>
      <c r="F10" s="12">
        <f t="shared" si="2"/>
        <v>4377.5999999999995</v>
      </c>
      <c r="G10" s="12"/>
      <c r="H10" s="12">
        <f t="shared" si="4"/>
        <v>-8377.5999999999985</v>
      </c>
      <c r="I10" s="12">
        <f t="shared" si="7"/>
        <v>-2932.1599999999994</v>
      </c>
      <c r="J10" s="12">
        <f>D10-I10</f>
        <v>-1067.8400000000006</v>
      </c>
      <c r="K10" s="12">
        <f t="shared" si="8"/>
        <v>-1067.8400000000006</v>
      </c>
      <c r="L10" s="12">
        <f t="shared" si="6"/>
        <v>-5445.4399999999987</v>
      </c>
    </row>
    <row r="11" spans="1:13">
      <c r="A11" s="12">
        <v>7</v>
      </c>
      <c r="B11" s="12"/>
      <c r="C11" s="12">
        <v>4000</v>
      </c>
      <c r="D11" s="12">
        <f t="shared" si="1"/>
        <v>-4000</v>
      </c>
      <c r="E11" s="24"/>
      <c r="F11" s="12">
        <f t="shared" si="2"/>
        <v>0</v>
      </c>
      <c r="G11" s="12"/>
      <c r="H11" s="12">
        <f t="shared" si="4"/>
        <v>-4000</v>
      </c>
      <c r="I11" s="12">
        <f t="shared" si="7"/>
        <v>-1400</v>
      </c>
      <c r="J11" s="12">
        <f t="shared" si="5"/>
        <v>-2600</v>
      </c>
      <c r="K11" s="12">
        <f t="shared" si="8"/>
        <v>-2600</v>
      </c>
      <c r="L11" s="12">
        <f t="shared" si="6"/>
        <v>-2600</v>
      </c>
    </row>
    <row r="12" spans="1:13">
      <c r="A12" s="12">
        <v>8</v>
      </c>
      <c r="B12" s="12"/>
      <c r="C12" s="12">
        <v>4000</v>
      </c>
      <c r="D12" s="12">
        <f t="shared" si="1"/>
        <v>-4000</v>
      </c>
      <c r="E12" s="24"/>
      <c r="F12" s="12">
        <f t="shared" si="2"/>
        <v>0</v>
      </c>
      <c r="G12" s="12"/>
      <c r="H12" s="12">
        <f t="shared" si="4"/>
        <v>-4000</v>
      </c>
      <c r="I12" s="12">
        <f t="shared" si="7"/>
        <v>-1400</v>
      </c>
      <c r="J12" s="12">
        <f t="shared" si="5"/>
        <v>-2600</v>
      </c>
      <c r="K12" s="12">
        <f>J12+J13+J14</f>
        <v>3250</v>
      </c>
      <c r="L12" s="12">
        <f t="shared" si="6"/>
        <v>-2600</v>
      </c>
    </row>
    <row r="13" spans="1:13">
      <c r="A13" s="14" t="s">
        <v>35</v>
      </c>
      <c r="B13" s="14"/>
      <c r="C13" s="14"/>
      <c r="D13" s="14">
        <v>9000</v>
      </c>
      <c r="E13" s="14" t="s">
        <v>34</v>
      </c>
      <c r="F13" s="14"/>
      <c r="G13" s="14"/>
      <c r="H13" s="14">
        <f>D13</f>
        <v>9000</v>
      </c>
      <c r="I13" s="14">
        <f>H13*$B$15</f>
        <v>3150</v>
      </c>
      <c r="J13" s="14">
        <f>D13-I13</f>
        <v>5850</v>
      </c>
      <c r="K13" s="14"/>
      <c r="L13" s="14">
        <f t="shared" si="6"/>
        <v>5850</v>
      </c>
    </row>
    <row r="14" spans="1:13">
      <c r="L14" s="8"/>
      <c r="M14" s="8"/>
    </row>
    <row r="15" spans="1:13">
      <c r="B15" s="3">
        <v>0.35</v>
      </c>
      <c r="K15" s="10" t="s">
        <v>92</v>
      </c>
      <c r="L15" s="52">
        <f>NPV(0.1,K5:K12)+K4</f>
        <v>-66084.57747174002</v>
      </c>
    </row>
    <row r="16" spans="1:13">
      <c r="K16" s="14" t="s">
        <v>93</v>
      </c>
      <c r="L16" s="53">
        <f>NPV(0.15,K5:K12)+K4</f>
        <v>-66593.285249742257</v>
      </c>
    </row>
    <row r="19" spans="1:12">
      <c r="A19" s="10" t="s">
        <v>22</v>
      </c>
      <c r="B19" s="10" t="s">
        <v>23</v>
      </c>
      <c r="C19" s="10" t="s">
        <v>24</v>
      </c>
      <c r="D19" s="10" t="s">
        <v>25</v>
      </c>
      <c r="E19" s="10" t="s">
        <v>26</v>
      </c>
      <c r="F19" s="10" t="s">
        <v>27</v>
      </c>
      <c r="G19" s="10" t="s">
        <v>28</v>
      </c>
      <c r="H19" s="10" t="s">
        <v>29</v>
      </c>
      <c r="I19" s="10" t="s">
        <v>30</v>
      </c>
      <c r="J19" s="10" t="s">
        <v>31</v>
      </c>
      <c r="K19" s="10" t="s">
        <v>32</v>
      </c>
      <c r="L19" s="10" t="s">
        <v>33</v>
      </c>
    </row>
    <row r="20" spans="1:12">
      <c r="A20" s="12">
        <v>0</v>
      </c>
      <c r="B20" s="12"/>
      <c r="C20" s="12"/>
      <c r="D20" s="12">
        <v>-50000</v>
      </c>
      <c r="E20" s="12"/>
      <c r="F20" s="12"/>
      <c r="G20" s="12">
        <v>50000</v>
      </c>
      <c r="H20" s="12"/>
      <c r="I20" s="12"/>
      <c r="J20" s="12">
        <f>D20-I20</f>
        <v>-50000</v>
      </c>
      <c r="K20" s="12">
        <f>J20</f>
        <v>-50000</v>
      </c>
      <c r="L20" s="12">
        <f>D20-I20</f>
        <v>-50000</v>
      </c>
    </row>
    <row r="21" spans="1:12">
      <c r="A21" s="12">
        <v>1</v>
      </c>
      <c r="B21" s="12"/>
      <c r="C21" s="12">
        <v>3000</v>
      </c>
      <c r="D21" s="12">
        <f>B21-C21</f>
        <v>-3000</v>
      </c>
      <c r="E21" s="24">
        <v>0.2</v>
      </c>
      <c r="F21" s="12">
        <f>E21*$G$20</f>
        <v>10000</v>
      </c>
      <c r="G21" s="12">
        <f>G20-F21</f>
        <v>40000</v>
      </c>
      <c r="H21" s="12">
        <f>D21-F21</f>
        <v>-13000</v>
      </c>
      <c r="I21" s="12">
        <f>H21*$B$15</f>
        <v>-4550</v>
      </c>
      <c r="J21" s="12">
        <f>D21-I21</f>
        <v>1550</v>
      </c>
      <c r="K21" s="12">
        <f t="shared" ref="K21:K24" si="9">J21</f>
        <v>1550</v>
      </c>
      <c r="L21" s="12">
        <f t="shared" ref="L21:L29" si="10">H21-I21</f>
        <v>-8450</v>
      </c>
    </row>
    <row r="22" spans="1:12">
      <c r="A22" s="12">
        <v>2</v>
      </c>
      <c r="B22" s="12"/>
      <c r="C22" s="12">
        <f>C21+1500</f>
        <v>4500</v>
      </c>
      <c r="D22" s="12">
        <f t="shared" ref="D22:D28" si="11">B22-C22</f>
        <v>-4500</v>
      </c>
      <c r="E22" s="24">
        <v>0.32</v>
      </c>
      <c r="F22" s="12">
        <f t="shared" ref="F22:F26" si="12">E22*$G$20</f>
        <v>16000</v>
      </c>
      <c r="G22" s="12">
        <f t="shared" ref="G22:G24" si="13">G21-F22</f>
        <v>24000</v>
      </c>
      <c r="H22" s="12">
        <f t="shared" ref="H22:H28" si="14">D22-F22</f>
        <v>-20500</v>
      </c>
      <c r="I22" s="12">
        <f>H22*$B$15</f>
        <v>-7174.9999999999991</v>
      </c>
      <c r="J22" s="12">
        <f t="shared" ref="J22:J29" si="15">D22-I22</f>
        <v>2674.9999999999991</v>
      </c>
      <c r="K22" s="12">
        <f t="shared" si="9"/>
        <v>2674.9999999999991</v>
      </c>
      <c r="L22" s="12">
        <f t="shared" si="10"/>
        <v>-13325</v>
      </c>
    </row>
    <row r="23" spans="1:12">
      <c r="A23" s="12">
        <v>3</v>
      </c>
      <c r="B23" s="12"/>
      <c r="C23" s="12">
        <f t="shared" ref="C23:C28" si="16">C22+1500</f>
        <v>6000</v>
      </c>
      <c r="D23" s="12">
        <f t="shared" si="11"/>
        <v>-6000</v>
      </c>
      <c r="E23" s="24">
        <v>0.192</v>
      </c>
      <c r="F23" s="12">
        <f t="shared" si="12"/>
        <v>9600</v>
      </c>
      <c r="G23" s="12">
        <f t="shared" si="13"/>
        <v>14400</v>
      </c>
      <c r="H23" s="12">
        <f t="shared" si="14"/>
        <v>-15600</v>
      </c>
      <c r="I23" s="12">
        <f>H23*$B$15</f>
        <v>-5460</v>
      </c>
      <c r="J23" s="12">
        <f t="shared" si="15"/>
        <v>-540</v>
      </c>
      <c r="K23" s="12">
        <f t="shared" si="9"/>
        <v>-540</v>
      </c>
      <c r="L23" s="12">
        <f t="shared" si="10"/>
        <v>-10140</v>
      </c>
    </row>
    <row r="24" spans="1:12">
      <c r="A24" s="12">
        <v>4</v>
      </c>
      <c r="B24" s="12"/>
      <c r="C24" s="12">
        <f>C23+1500+15000</f>
        <v>22500</v>
      </c>
      <c r="D24" s="12">
        <f t="shared" si="11"/>
        <v>-22500</v>
      </c>
      <c r="E24" s="24">
        <v>0.1152</v>
      </c>
      <c r="F24" s="12">
        <f t="shared" si="12"/>
        <v>5760</v>
      </c>
      <c r="G24" s="12">
        <f t="shared" si="13"/>
        <v>8640</v>
      </c>
      <c r="H24" s="12">
        <f t="shared" si="14"/>
        <v>-28260</v>
      </c>
      <c r="I24" s="12">
        <f>H24*$B$15</f>
        <v>-9891</v>
      </c>
      <c r="J24" s="12">
        <f t="shared" si="15"/>
        <v>-12609</v>
      </c>
      <c r="K24" s="22">
        <f t="shared" si="9"/>
        <v>-12609</v>
      </c>
      <c r="L24" s="12">
        <f t="shared" si="10"/>
        <v>-18369</v>
      </c>
    </row>
    <row r="25" spans="1:12">
      <c r="A25" s="12">
        <v>5</v>
      </c>
      <c r="B25" s="12"/>
      <c r="C25" s="12">
        <f>C23+1500+1500</f>
        <v>9000</v>
      </c>
      <c r="D25" s="12">
        <f t="shared" si="11"/>
        <v>-9000</v>
      </c>
      <c r="E25" s="24">
        <v>0.1152</v>
      </c>
      <c r="F25" s="12">
        <f t="shared" si="12"/>
        <v>5760</v>
      </c>
      <c r="G25" s="12"/>
      <c r="H25" s="12">
        <f t="shared" si="14"/>
        <v>-14760</v>
      </c>
      <c r="I25" s="12">
        <f t="shared" ref="I25:I28" si="17">H25*$B$15</f>
        <v>-5166</v>
      </c>
      <c r="J25" s="12">
        <f t="shared" si="15"/>
        <v>-3834</v>
      </c>
      <c r="K25" s="12">
        <f t="shared" ref="K25:K27" si="18">J25+J30+J31</f>
        <v>-3834</v>
      </c>
      <c r="L25" s="12">
        <f t="shared" si="10"/>
        <v>-9594</v>
      </c>
    </row>
    <row r="26" spans="1:12">
      <c r="A26" s="12">
        <v>6</v>
      </c>
      <c r="B26" s="12"/>
      <c r="C26" s="12">
        <f t="shared" si="16"/>
        <v>10500</v>
      </c>
      <c r="D26" s="12">
        <f t="shared" si="11"/>
        <v>-10500</v>
      </c>
      <c r="E26" s="24">
        <v>5.7599999999999998E-2</v>
      </c>
      <c r="F26" s="12">
        <f t="shared" si="12"/>
        <v>2880</v>
      </c>
      <c r="G26" s="12"/>
      <c r="H26" s="12">
        <f t="shared" si="14"/>
        <v>-13380</v>
      </c>
      <c r="I26" s="12">
        <f t="shared" si="17"/>
        <v>-4683</v>
      </c>
      <c r="J26" s="12">
        <f t="shared" si="15"/>
        <v>-5817</v>
      </c>
      <c r="K26" s="12">
        <f t="shared" si="18"/>
        <v>-5817</v>
      </c>
      <c r="L26" s="12">
        <f t="shared" si="10"/>
        <v>-8697</v>
      </c>
    </row>
    <row r="27" spans="1:12">
      <c r="A27" s="12">
        <v>7</v>
      </c>
      <c r="B27" s="12"/>
      <c r="C27" s="12">
        <f t="shared" si="16"/>
        <v>12000</v>
      </c>
      <c r="D27" s="12">
        <f t="shared" si="11"/>
        <v>-12000</v>
      </c>
      <c r="E27" s="24"/>
      <c r="F27" s="12"/>
      <c r="G27" s="12"/>
      <c r="H27" s="12">
        <f t="shared" si="14"/>
        <v>-12000</v>
      </c>
      <c r="I27" s="12">
        <f t="shared" si="17"/>
        <v>-4200</v>
      </c>
      <c r="J27" s="12">
        <f t="shared" si="15"/>
        <v>-7800</v>
      </c>
      <c r="K27" s="12">
        <f t="shared" si="18"/>
        <v>-7800</v>
      </c>
      <c r="L27" s="12">
        <f t="shared" si="10"/>
        <v>-7800</v>
      </c>
    </row>
    <row r="28" spans="1:12">
      <c r="A28" s="12">
        <v>8</v>
      </c>
      <c r="B28" s="12"/>
      <c r="C28" s="12">
        <f t="shared" si="16"/>
        <v>13500</v>
      </c>
      <c r="D28" s="12">
        <f t="shared" si="11"/>
        <v>-13500</v>
      </c>
      <c r="E28" s="24"/>
      <c r="F28" s="12"/>
      <c r="G28" s="12"/>
      <c r="H28" s="12">
        <f t="shared" si="14"/>
        <v>-13500</v>
      </c>
      <c r="I28" s="12">
        <f t="shared" si="17"/>
        <v>-4725</v>
      </c>
      <c r="J28" s="12">
        <f t="shared" si="15"/>
        <v>-8775</v>
      </c>
      <c r="K28" s="12">
        <f>J28+J29+J30</f>
        <v>-5525</v>
      </c>
      <c r="L28" s="12">
        <f t="shared" si="10"/>
        <v>-8775</v>
      </c>
    </row>
    <row r="29" spans="1:12">
      <c r="A29" s="14" t="s">
        <v>35</v>
      </c>
      <c r="B29" s="14"/>
      <c r="C29" s="14"/>
      <c r="D29" s="14">
        <v>5000</v>
      </c>
      <c r="E29" s="14" t="s">
        <v>34</v>
      </c>
      <c r="F29" s="14"/>
      <c r="G29" s="14"/>
      <c r="H29" s="14">
        <f>D29</f>
        <v>5000</v>
      </c>
      <c r="I29" s="14">
        <f>H29*$B$15</f>
        <v>1750</v>
      </c>
      <c r="J29" s="14">
        <f t="shared" si="15"/>
        <v>3250</v>
      </c>
      <c r="K29" s="14"/>
      <c r="L29" s="14">
        <f t="shared" si="10"/>
        <v>3250</v>
      </c>
    </row>
    <row r="31" spans="1:12">
      <c r="B31" s="3">
        <v>0.35</v>
      </c>
      <c r="K31" s="10" t="s">
        <v>92</v>
      </c>
      <c r="L31" s="54">
        <f>NPV(0.1,K21:K28)+K20</f>
        <v>-67642.235742031131</v>
      </c>
    </row>
    <row r="32" spans="1:12">
      <c r="K32" s="14" t="s">
        <v>92</v>
      </c>
      <c r="L32" s="53">
        <f>NPV(0.15,K21:K28)+K20</f>
        <v>-63353.251482671767</v>
      </c>
    </row>
    <row r="34" spans="1:4">
      <c r="A34" s="10" t="s">
        <v>13</v>
      </c>
      <c r="B34" s="10" t="s">
        <v>95</v>
      </c>
      <c r="C34" s="10"/>
      <c r="D34" s="10"/>
    </row>
    <row r="35" spans="1:4">
      <c r="A35" s="14" t="s">
        <v>94</v>
      </c>
      <c r="B35" s="14" t="s">
        <v>96</v>
      </c>
      <c r="C35" s="14"/>
      <c r="D35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zoomScaleNormal="100" workbookViewId="0">
      <selection activeCell="Q15" sqref="Q15"/>
    </sheetView>
  </sheetViews>
  <sheetFormatPr defaultColWidth="8.75" defaultRowHeight="13.5"/>
  <cols>
    <col min="1" max="1" width="10.5" style="32" bestFit="1" customWidth="1"/>
    <col min="2" max="2" width="10.625" style="27" bestFit="1" customWidth="1"/>
    <col min="3" max="3" width="11.5" style="27" bestFit="1" customWidth="1"/>
    <col min="4" max="4" width="8.875" style="27" bestFit="1" customWidth="1"/>
    <col min="5" max="5" width="9.5" style="27" bestFit="1" customWidth="1"/>
    <col min="6" max="7" width="8.875" style="27" bestFit="1" customWidth="1"/>
    <col min="8" max="8" width="11.75" style="27" bestFit="1" customWidth="1"/>
    <col min="9" max="9" width="18.5" style="27" bestFit="1" customWidth="1"/>
    <col min="10" max="11" width="11.875" style="27" bestFit="1" customWidth="1"/>
    <col min="12" max="12" width="10.625" style="27" bestFit="1" customWidth="1"/>
    <col min="13" max="13" width="10.25" style="27" bestFit="1" customWidth="1"/>
    <col min="14" max="14" width="11.375" style="27" bestFit="1" customWidth="1"/>
    <col min="15" max="16" width="10.25" style="27" bestFit="1" customWidth="1"/>
    <col min="17" max="17" width="12.75" style="27" bestFit="1" customWidth="1"/>
    <col min="18" max="16384" width="8.75" style="27"/>
  </cols>
  <sheetData>
    <row r="1" spans="1:17">
      <c r="A1" s="11" t="s">
        <v>81</v>
      </c>
    </row>
    <row r="2" spans="1:17">
      <c r="A2" s="32" t="s">
        <v>87</v>
      </c>
      <c r="J2" s="26" t="s">
        <v>86</v>
      </c>
      <c r="K2" s="26" t="s">
        <v>16</v>
      </c>
      <c r="L2" s="26" t="s">
        <v>17</v>
      </c>
      <c r="M2" s="26" t="s">
        <v>18</v>
      </c>
      <c r="N2" s="26" t="s">
        <v>19</v>
      </c>
      <c r="O2" s="26" t="s">
        <v>20</v>
      </c>
      <c r="P2" s="26" t="s">
        <v>21</v>
      </c>
      <c r="Q2" s="27" t="s">
        <v>101</v>
      </c>
    </row>
    <row r="3" spans="1:17">
      <c r="A3" s="41" t="s">
        <v>86</v>
      </c>
      <c r="B3" s="26" t="s">
        <v>0</v>
      </c>
      <c r="C3" s="26" t="s">
        <v>1</v>
      </c>
      <c r="D3" s="26" t="s">
        <v>2</v>
      </c>
      <c r="E3" s="26" t="s">
        <v>3</v>
      </c>
      <c r="F3" s="26" t="s">
        <v>4</v>
      </c>
      <c r="G3" s="26" t="s">
        <v>5</v>
      </c>
      <c r="H3" s="26"/>
      <c r="J3" s="27" t="s">
        <v>90</v>
      </c>
      <c r="K3" s="28">
        <v>0.11</v>
      </c>
      <c r="L3" s="28">
        <v>0.11</v>
      </c>
      <c r="M3" s="28">
        <v>0.11</v>
      </c>
      <c r="N3" s="28">
        <v>0.11</v>
      </c>
      <c r="O3" s="28">
        <v>0.11</v>
      </c>
      <c r="P3" s="28">
        <v>0.11</v>
      </c>
      <c r="Q3" s="28">
        <v>0.11</v>
      </c>
    </row>
    <row r="4" spans="1:17">
      <c r="A4" s="32" t="s">
        <v>6</v>
      </c>
      <c r="B4" s="27">
        <v>0</v>
      </c>
      <c r="C4" s="27">
        <v>1</v>
      </c>
      <c r="D4" s="27">
        <v>1</v>
      </c>
      <c r="E4" s="27">
        <v>1</v>
      </c>
      <c r="F4" s="27">
        <v>1</v>
      </c>
      <c r="G4" s="27">
        <v>0</v>
      </c>
      <c r="H4" s="27" t="s">
        <v>89</v>
      </c>
      <c r="J4" s="27" t="s">
        <v>91</v>
      </c>
      <c r="K4" s="27">
        <v>-30000</v>
      </c>
      <c r="L4" s="27">
        <v>-12000</v>
      </c>
      <c r="M4" s="27">
        <v>-55000</v>
      </c>
      <c r="N4" s="27">
        <v>-45000</v>
      </c>
      <c r="O4" s="27">
        <v>-20000</v>
      </c>
      <c r="P4" s="27">
        <v>-65000</v>
      </c>
      <c r="Q4" s="27">
        <v>-25000</v>
      </c>
    </row>
    <row r="5" spans="1:17">
      <c r="A5" s="32" t="s">
        <v>7</v>
      </c>
      <c r="B5" s="33">
        <f>K15</f>
        <v>12281.177514311836</v>
      </c>
      <c r="C5" s="33">
        <f t="shared" ref="C5:G5" si="0">L15</f>
        <v>2134.1568267388902</v>
      </c>
      <c r="D5" s="33">
        <f t="shared" si="0"/>
        <v>5653.2425052843973</v>
      </c>
      <c r="E5" s="33">
        <f t="shared" si="0"/>
        <v>26375.153091243381</v>
      </c>
      <c r="F5" s="33">
        <f t="shared" si="0"/>
        <v>3733.0202839520534</v>
      </c>
      <c r="G5" s="33">
        <f t="shared" si="0"/>
        <v>2726.1681281238707</v>
      </c>
      <c r="H5" s="33">
        <f>SUMPRODUCT($B$4:$G$4,B5:G5)</f>
        <v>37895.572707218715</v>
      </c>
      <c r="J5" s="27">
        <v>1</v>
      </c>
      <c r="K5" s="27">
        <v>7000</v>
      </c>
      <c r="L5" s="27">
        <v>2400</v>
      </c>
      <c r="M5" s="27">
        <v>10000</v>
      </c>
      <c r="N5" s="27">
        <v>12000</v>
      </c>
      <c r="O5" s="27">
        <v>4000</v>
      </c>
      <c r="P5" s="27">
        <v>11500</v>
      </c>
      <c r="Q5" s="27">
        <v>7500</v>
      </c>
    </row>
    <row r="6" spans="1:17">
      <c r="A6" s="32" t="s">
        <v>8</v>
      </c>
      <c r="B6" s="27">
        <v>30000</v>
      </c>
      <c r="C6" s="27">
        <v>12000</v>
      </c>
      <c r="D6" s="27">
        <v>55000</v>
      </c>
      <c r="E6" s="27">
        <v>45000</v>
      </c>
      <c r="F6" s="27">
        <v>20000</v>
      </c>
      <c r="G6" s="27">
        <v>65000</v>
      </c>
      <c r="H6" s="27">
        <f>SUMPRODUCT($B$4:$G$4,B6:G6)</f>
        <v>132000</v>
      </c>
      <c r="J6" s="27">
        <v>2</v>
      </c>
      <c r="K6" s="27">
        <v>7000</v>
      </c>
      <c r="L6" s="27">
        <v>2400</v>
      </c>
      <c r="M6" s="27">
        <v>10000</v>
      </c>
      <c r="N6" s="27">
        <v>12000</v>
      </c>
      <c r="O6" s="27">
        <v>4000</v>
      </c>
      <c r="P6" s="27">
        <v>11500</v>
      </c>
      <c r="Q6" s="27">
        <v>7500</v>
      </c>
    </row>
    <row r="7" spans="1:17">
      <c r="A7" s="42" t="s">
        <v>10</v>
      </c>
      <c r="B7" s="31">
        <v>0.19356793256382954</v>
      </c>
      <c r="C7" s="31">
        <v>0.16185697932684429</v>
      </c>
      <c r="D7" s="31">
        <v>0.12663545234067741</v>
      </c>
      <c r="E7" s="31">
        <v>0.23413136545634416</v>
      </c>
      <c r="F7" s="31">
        <v>0.15098414477083444</v>
      </c>
      <c r="G7" s="31">
        <v>0.11991567455731222</v>
      </c>
      <c r="H7" s="31">
        <v>0.11</v>
      </c>
      <c r="J7" s="27">
        <v>3</v>
      </c>
      <c r="K7" s="27">
        <v>7000</v>
      </c>
      <c r="L7" s="27">
        <v>2400</v>
      </c>
      <c r="M7" s="27">
        <v>10000</v>
      </c>
      <c r="N7" s="27">
        <v>12000</v>
      </c>
      <c r="O7" s="27">
        <v>4000</v>
      </c>
      <c r="P7" s="27">
        <v>11500</v>
      </c>
      <c r="Q7" s="27">
        <v>7500</v>
      </c>
    </row>
    <row r="8" spans="1:17">
      <c r="B8" s="34"/>
      <c r="C8" s="34"/>
      <c r="D8" s="34"/>
      <c r="E8" s="34"/>
      <c r="F8" s="35"/>
      <c r="G8" s="43" t="s">
        <v>14</v>
      </c>
      <c r="H8" s="26">
        <f>B4+E4</f>
        <v>1</v>
      </c>
      <c r="J8" s="27">
        <v>4</v>
      </c>
      <c r="K8" s="27">
        <v>7000</v>
      </c>
      <c r="L8" s="27">
        <v>2400</v>
      </c>
      <c r="M8" s="27">
        <v>10000</v>
      </c>
      <c r="N8" s="27">
        <v>12000</v>
      </c>
      <c r="O8" s="27">
        <v>4000</v>
      </c>
      <c r="P8" s="27">
        <v>11500</v>
      </c>
      <c r="Q8" s="27">
        <v>7500</v>
      </c>
    </row>
    <row r="9" spans="1:17">
      <c r="G9" s="30" t="s">
        <v>15</v>
      </c>
      <c r="H9" s="30">
        <f>D4+G4</f>
        <v>1</v>
      </c>
      <c r="J9" s="27">
        <v>5</v>
      </c>
      <c r="K9" s="27">
        <v>7000</v>
      </c>
      <c r="L9" s="27">
        <v>2400</v>
      </c>
      <c r="M9" s="27">
        <v>10000</v>
      </c>
      <c r="N9" s="27">
        <v>12000</v>
      </c>
      <c r="O9" s="27">
        <v>4000</v>
      </c>
      <c r="P9" s="27">
        <v>11500</v>
      </c>
      <c r="Q9" s="27">
        <v>7500</v>
      </c>
    </row>
    <row r="10" spans="1:17">
      <c r="A10" s="32" t="s">
        <v>88</v>
      </c>
      <c r="J10" s="27">
        <v>6</v>
      </c>
      <c r="K10" s="27">
        <v>7000</v>
      </c>
      <c r="L10" s="27">
        <v>2400</v>
      </c>
      <c r="M10" s="27">
        <v>10000</v>
      </c>
      <c r="N10" s="27">
        <v>12000</v>
      </c>
      <c r="O10" s="27">
        <v>4000</v>
      </c>
      <c r="P10" s="27">
        <v>11500</v>
      </c>
      <c r="Q10" s="27">
        <v>7500</v>
      </c>
    </row>
    <row r="11" spans="1:17">
      <c r="A11" s="41" t="s">
        <v>86</v>
      </c>
      <c r="B11" s="26" t="s">
        <v>0</v>
      </c>
      <c r="C11" s="26" t="s">
        <v>1</v>
      </c>
      <c r="D11" s="26" t="s">
        <v>2</v>
      </c>
      <c r="E11" s="26" t="s">
        <v>3</v>
      </c>
      <c r="F11" s="26" t="s">
        <v>4</v>
      </c>
      <c r="G11" s="26" t="s">
        <v>5</v>
      </c>
      <c r="H11" s="26"/>
      <c r="J11" s="27">
        <v>7</v>
      </c>
      <c r="K11" s="27">
        <v>7000</v>
      </c>
      <c r="L11" s="27">
        <v>2400</v>
      </c>
      <c r="M11" s="27">
        <v>10000</v>
      </c>
      <c r="N11" s="27">
        <v>12000</v>
      </c>
      <c r="O11" s="27">
        <v>4000</v>
      </c>
      <c r="P11" s="27">
        <v>11500</v>
      </c>
      <c r="Q11" s="27">
        <v>7500</v>
      </c>
    </row>
    <row r="12" spans="1:17">
      <c r="A12" s="32" t="s">
        <v>6</v>
      </c>
      <c r="B12" s="27">
        <v>0</v>
      </c>
      <c r="C12" s="27">
        <v>0</v>
      </c>
      <c r="D12" s="27">
        <v>1</v>
      </c>
      <c r="E12" s="27">
        <v>1</v>
      </c>
      <c r="F12" s="27">
        <v>0</v>
      </c>
      <c r="G12" s="27">
        <v>0</v>
      </c>
      <c r="H12" s="27" t="s">
        <v>89</v>
      </c>
      <c r="J12" s="27">
        <v>8</v>
      </c>
      <c r="K12" s="27">
        <v>7000</v>
      </c>
      <c r="L12" s="27">
        <v>2400</v>
      </c>
      <c r="M12" s="27">
        <v>10000</v>
      </c>
      <c r="N12" s="27">
        <v>12000</v>
      </c>
      <c r="O12" s="27">
        <v>4000</v>
      </c>
      <c r="P12" s="27">
        <v>11500</v>
      </c>
      <c r="Q12" s="27">
        <v>7500</v>
      </c>
    </row>
    <row r="13" spans="1:17">
      <c r="A13" s="32" t="s">
        <v>7</v>
      </c>
      <c r="B13" s="33">
        <f>K15</f>
        <v>12281.177514311836</v>
      </c>
      <c r="C13" s="33">
        <f t="shared" ref="C13:G13" si="1">L15</f>
        <v>2134.1568267388902</v>
      </c>
      <c r="D13" s="33">
        <f t="shared" si="1"/>
        <v>5653.2425052843973</v>
      </c>
      <c r="E13" s="33">
        <f t="shared" si="1"/>
        <v>26375.153091243381</v>
      </c>
      <c r="F13" s="33">
        <f t="shared" si="1"/>
        <v>3733.0202839520534</v>
      </c>
      <c r="G13" s="33">
        <f t="shared" si="1"/>
        <v>2726.1681281238707</v>
      </c>
      <c r="H13" s="33">
        <f>SUMPRODUCT($B$12:$G$12,B13:G13)</f>
        <v>32028.395596527778</v>
      </c>
      <c r="I13" s="32" t="s">
        <v>9</v>
      </c>
      <c r="J13" s="27">
        <v>9</v>
      </c>
      <c r="K13" s="27">
        <v>7000</v>
      </c>
      <c r="L13" s="27">
        <v>2400</v>
      </c>
      <c r="M13" s="27">
        <v>10000</v>
      </c>
      <c r="N13" s="27">
        <v>12000</v>
      </c>
      <c r="O13" s="27">
        <v>4000</v>
      </c>
      <c r="P13" s="27">
        <v>11500</v>
      </c>
      <c r="Q13" s="27">
        <v>7500</v>
      </c>
    </row>
    <row r="14" spans="1:17">
      <c r="A14" s="32" t="s">
        <v>8</v>
      </c>
      <c r="B14" s="27">
        <v>30000</v>
      </c>
      <c r="C14" s="27">
        <v>12000</v>
      </c>
      <c r="D14" s="27">
        <v>55000</v>
      </c>
      <c r="E14" s="27">
        <v>45000</v>
      </c>
      <c r="F14" s="27">
        <v>20000</v>
      </c>
      <c r="G14" s="27">
        <v>65000</v>
      </c>
      <c r="H14" s="27">
        <f>SUMPRODUCT($B$12:$G$12,B14:G14)</f>
        <v>100000</v>
      </c>
      <c r="I14" s="27">
        <v>110000</v>
      </c>
      <c r="J14" s="27">
        <v>10</v>
      </c>
      <c r="K14" s="27">
        <f>7000+3000</f>
        <v>10000</v>
      </c>
      <c r="L14" s="27">
        <v>2400</v>
      </c>
      <c r="M14" s="27">
        <f>5000+10000</f>
        <v>15000</v>
      </c>
      <c r="N14" s="27">
        <f>2000+12000</f>
        <v>14000</v>
      </c>
      <c r="O14" s="27">
        <f>500+4000</f>
        <v>4500</v>
      </c>
      <c r="P14" s="27">
        <v>11500</v>
      </c>
      <c r="Q14" s="27">
        <f>7500+1000</f>
        <v>8500</v>
      </c>
    </row>
    <row r="15" spans="1:17">
      <c r="A15" s="42" t="s">
        <v>10</v>
      </c>
      <c r="B15" s="31">
        <v>0.19356793256382954</v>
      </c>
      <c r="C15" s="31">
        <v>0.16185697932684429</v>
      </c>
      <c r="D15" s="31">
        <v>0.12663545234067741</v>
      </c>
      <c r="E15" s="31">
        <v>0.23413136545634416</v>
      </c>
      <c r="F15" s="31">
        <v>0.15098414477083444</v>
      </c>
      <c r="G15" s="31">
        <v>0.11991567455731222</v>
      </c>
      <c r="H15" s="31">
        <v>0.11</v>
      </c>
      <c r="J15" s="27" t="s">
        <v>82</v>
      </c>
      <c r="K15" s="50">
        <f>NPV(K3,K5:K14)+K4</f>
        <v>12281.177514311836</v>
      </c>
      <c r="L15" s="50">
        <f t="shared" ref="L15:O15" si="2">NPV(L3,L5:L14)+L4</f>
        <v>2134.1568267388902</v>
      </c>
      <c r="M15" s="50">
        <f t="shared" si="2"/>
        <v>5653.2425052843973</v>
      </c>
      <c r="N15" s="50">
        <f t="shared" si="2"/>
        <v>26375.153091243381</v>
      </c>
      <c r="O15" s="50">
        <f t="shared" si="2"/>
        <v>3733.0202839520534</v>
      </c>
      <c r="P15" s="50">
        <f>NPV(P3,P5:P14)+P4</f>
        <v>2726.1681281238707</v>
      </c>
      <c r="Q15" s="50">
        <f>NPV(Q3,Q5:Q14)+Q4</f>
        <v>19521.424562333501</v>
      </c>
    </row>
    <row r="16" spans="1:17">
      <c r="B16" s="34"/>
      <c r="C16" s="34"/>
      <c r="D16" s="34"/>
      <c r="E16" s="34"/>
      <c r="F16" s="35"/>
      <c r="G16" s="43" t="s">
        <v>14</v>
      </c>
      <c r="H16" s="26">
        <f>B12+E12</f>
        <v>1</v>
      </c>
      <c r="J16" s="30" t="s">
        <v>10</v>
      </c>
      <c r="K16" s="31">
        <v>0.19356793256382954</v>
      </c>
      <c r="L16" s="31">
        <f>IRR(L4:L14)</f>
        <v>0.15098414477083444</v>
      </c>
      <c r="M16" s="31">
        <v>0.12663545234067741</v>
      </c>
      <c r="N16" s="31">
        <v>0.23413136545634416</v>
      </c>
      <c r="O16" s="31">
        <v>0.15098414477083444</v>
      </c>
      <c r="P16" s="31">
        <f>IRR(P4:P14)</f>
        <v>0.11991567455731222</v>
      </c>
      <c r="Q16" s="31">
        <f>IRR(Q4:Q14)</f>
        <v>0.27442692842822192</v>
      </c>
    </row>
    <row r="17" spans="1:11">
      <c r="A17" s="27"/>
      <c r="G17" s="30" t="s">
        <v>15</v>
      </c>
      <c r="H17" s="30">
        <f>D12+G12</f>
        <v>1</v>
      </c>
    </row>
    <row r="18" spans="1:11" ht="27">
      <c r="A18" s="37" t="s">
        <v>83</v>
      </c>
      <c r="C18" s="38"/>
      <c r="D18" s="39"/>
      <c r="E18" s="40"/>
    </row>
    <row r="19" spans="1:11" ht="25.5">
      <c r="A19" s="32" t="s">
        <v>11</v>
      </c>
      <c r="C19" s="38"/>
      <c r="D19" s="39"/>
      <c r="E19" s="40"/>
    </row>
    <row r="20" spans="1:11" ht="25.5">
      <c r="A20" s="32" t="s">
        <v>12</v>
      </c>
      <c r="C20" s="38"/>
      <c r="D20" s="39"/>
      <c r="E20" s="40"/>
      <c r="K20" s="29"/>
    </row>
    <row r="21" spans="1:11" ht="25.5">
      <c r="A21" s="32" t="s">
        <v>84</v>
      </c>
      <c r="C21" s="38"/>
      <c r="D21" s="39"/>
      <c r="E21" s="40"/>
    </row>
    <row r="22" spans="1:11" ht="25.5">
      <c r="A22" s="32" t="s">
        <v>97</v>
      </c>
      <c r="C22" s="38"/>
      <c r="D22" s="39"/>
      <c r="E22" s="40"/>
    </row>
    <row r="23" spans="1:11" ht="25.5">
      <c r="A23" s="42" t="s">
        <v>85</v>
      </c>
      <c r="B23" s="30"/>
      <c r="C23" s="46"/>
      <c r="D23" s="47"/>
      <c r="E23" s="48"/>
      <c r="F23" s="30"/>
      <c r="G23" s="30"/>
      <c r="H23" s="30"/>
    </row>
    <row r="24" spans="1:11" ht="25.5">
      <c r="A24" s="41"/>
      <c r="B24" s="26"/>
      <c r="C24" s="44"/>
      <c r="D24" s="45"/>
      <c r="E24" s="49"/>
      <c r="F24" s="26"/>
      <c r="G24" s="26"/>
      <c r="H24" s="26"/>
    </row>
    <row r="25" spans="1:11">
      <c r="A25" s="32" t="s">
        <v>13</v>
      </c>
      <c r="C25" s="36"/>
    </row>
    <row r="26" spans="1:11">
      <c r="A26" s="32" t="s">
        <v>98</v>
      </c>
      <c r="B26" s="29"/>
      <c r="C26" s="36"/>
    </row>
    <row r="27" spans="1:11">
      <c r="A27" s="32" t="s">
        <v>85</v>
      </c>
    </row>
    <row r="28" spans="1:11">
      <c r="A28" s="42"/>
      <c r="B28" s="30"/>
      <c r="C28" s="30"/>
      <c r="D28" s="30"/>
      <c r="E28" s="30"/>
      <c r="F28" s="30"/>
      <c r="G28" s="30"/>
      <c r="H28" s="30"/>
    </row>
  </sheetData>
  <scenarios current="0">
    <scenario name="max" count="6" user="aley" comment="创建者 aley 日期 12/6/2016">
      <inputCells r="B12" val="0"/>
      <inputCells r="C12" val="0"/>
      <inputCells r="D12" val="1"/>
      <inputCells r="E12" val="1"/>
      <inputCells r="F12" val="0"/>
      <inputCells r="G12" val="0"/>
    </scenario>
  </scenarios>
  <phoneticPr fontId="2" type="noConversion"/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aley</dc:creator>
  <cp:lastModifiedBy>HYZH</cp:lastModifiedBy>
  <cp:lastPrinted>2016-12-07T01:01:53Z</cp:lastPrinted>
  <dcterms:created xsi:type="dcterms:W3CDTF">2016-11-23T01:28:13Z</dcterms:created>
  <dcterms:modified xsi:type="dcterms:W3CDTF">2018-03-01T20:16:04Z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b9b3cc39-e3cc-4b58-afb6-9d2b69f4ce0f</vt:lpwstr>
  </property>
</Properties>
</file>