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ira/Desktop/מדעי הנתונים ובינה עסקית/תרגילי הגשה/תרגיל 3/תרגיל 3/"/>
    </mc:Choice>
  </mc:AlternateContent>
  <xr:revisionPtr revIDLastSave="0" documentId="13_ncr:9_{215145FF-B6DD-0D41-8EA4-44F6D70A6206}" xr6:coauthVersionLast="45" xr6:coauthVersionMax="45" xr10:uidLastSave="{00000000-0000-0000-0000-000000000000}"/>
  <bookViews>
    <workbookView xWindow="-42300" yWindow="-14920" windowWidth="29680" windowHeight="22460" activeTab="4" xr2:uid="{00000000-000D-0000-FFFF-FFFF00000000}"/>
  </bookViews>
  <sheets>
    <sheet name="dataset" sheetId="1" r:id="rId1"/>
    <sheet name="level 1" sheetId="4" r:id="rId2"/>
    <sheet name="level 2" sheetId="6" r:id="rId3"/>
    <sheet name="level 3" sheetId="7" r:id="rId4"/>
    <sheet name="weights" sheetId="8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61" i="8" l="1"/>
  <c r="B65" i="8" s="1"/>
  <c r="B60" i="8"/>
  <c r="B63" i="8" s="1"/>
  <c r="B59" i="8"/>
  <c r="B64" i="8" s="1"/>
  <c r="B51" i="8"/>
  <c r="B46" i="8"/>
  <c r="B48" i="8"/>
  <c r="B47" i="8"/>
  <c r="B49" i="8" s="1"/>
  <c r="D6" i="6"/>
  <c r="B39" i="8"/>
  <c r="B35" i="8"/>
  <c r="B34" i="8"/>
  <c r="B37" i="8" s="1"/>
  <c r="B33" i="8"/>
  <c r="B38" i="8" s="1"/>
  <c r="B24" i="8"/>
  <c r="B12" i="8"/>
  <c r="B14" i="8" s="1"/>
  <c r="B22" i="8"/>
  <c r="B26" i="8" s="1"/>
  <c r="B21" i="8"/>
  <c r="B20" i="8"/>
  <c r="B23" i="8" s="1"/>
  <c r="B13" i="8"/>
  <c r="B15" i="8" s="1"/>
  <c r="D38" i="4"/>
  <c r="B41" i="8" l="1"/>
  <c r="B28" i="8"/>
  <c r="B42" i="8"/>
  <c r="B68" i="8"/>
  <c r="B25" i="8"/>
  <c r="B29" i="8" s="1"/>
  <c r="B36" i="8"/>
  <c r="B50" i="8"/>
  <c r="B54" i="8" s="1"/>
  <c r="B62" i="8"/>
  <c r="B67" i="8" s="1"/>
  <c r="B52" i="8"/>
  <c r="B55" i="8" s="1"/>
  <c r="AH21" i="7"/>
  <c r="AH20" i="7"/>
  <c r="AE21" i="7"/>
  <c r="AE20" i="7"/>
  <c r="AH7" i="7"/>
  <c r="AJ7" i="7" s="1"/>
  <c r="AE13" i="7" s="1"/>
  <c r="AH6" i="7"/>
  <c r="AE7" i="7"/>
  <c r="AE6" i="7"/>
  <c r="AJ21" i="7"/>
  <c r="AE27" i="7" s="1"/>
  <c r="U21" i="7"/>
  <c r="W21" i="7" s="1"/>
  <c r="U20" i="7"/>
  <c r="R21" i="7"/>
  <c r="R20" i="7"/>
  <c r="U7" i="7"/>
  <c r="W7" i="7" s="1"/>
  <c r="U6" i="7"/>
  <c r="R7" i="7"/>
  <c r="R6" i="7"/>
  <c r="T6" i="7" s="1"/>
  <c r="E7" i="7"/>
  <c r="G7" i="7" s="1"/>
  <c r="H21" i="7"/>
  <c r="H20" i="7"/>
  <c r="E21" i="7"/>
  <c r="E20" i="7"/>
  <c r="H7" i="7"/>
  <c r="H6" i="7"/>
  <c r="J6" i="7" s="1"/>
  <c r="E6" i="7"/>
  <c r="G6" i="7" s="1"/>
  <c r="D54" i="6"/>
  <c r="AF76" i="6"/>
  <c r="AF77" i="6" s="1"/>
  <c r="AF75" i="6"/>
  <c r="AH75" i="6" s="1"/>
  <c r="AC76" i="6"/>
  <c r="AC75" i="6"/>
  <c r="AF62" i="6"/>
  <c r="AF61" i="6"/>
  <c r="AC62" i="6"/>
  <c r="AC61" i="6"/>
  <c r="AC54" i="6"/>
  <c r="AF48" i="6"/>
  <c r="AH48" i="6" s="1"/>
  <c r="AF47" i="6"/>
  <c r="AC48" i="6"/>
  <c r="AC47" i="6"/>
  <c r="AI75" i="6"/>
  <c r="AF35" i="6"/>
  <c r="AH35" i="6" s="1"/>
  <c r="AF34" i="6"/>
  <c r="AC35" i="6"/>
  <c r="AC34" i="6"/>
  <c r="AF21" i="6"/>
  <c r="AF20" i="6"/>
  <c r="AC21" i="6"/>
  <c r="AC20" i="6"/>
  <c r="AH7" i="6"/>
  <c r="AF7" i="6"/>
  <c r="AF6" i="6"/>
  <c r="AH6" i="6" s="1"/>
  <c r="AC7" i="6"/>
  <c r="AC6" i="6"/>
  <c r="AE6" i="6" s="1"/>
  <c r="S35" i="6"/>
  <c r="U35" i="6" s="1"/>
  <c r="S34" i="6"/>
  <c r="P35" i="6"/>
  <c r="V35" i="6" s="1"/>
  <c r="P34" i="6"/>
  <c r="S36" i="6"/>
  <c r="S21" i="6"/>
  <c r="S20" i="6"/>
  <c r="P21" i="6"/>
  <c r="P20" i="6"/>
  <c r="S7" i="6"/>
  <c r="U7" i="6" s="1"/>
  <c r="S6" i="6"/>
  <c r="U6" i="6" s="1"/>
  <c r="P7" i="6"/>
  <c r="P6" i="6"/>
  <c r="R6" i="6" s="1"/>
  <c r="V34" i="6" l="1"/>
  <c r="AK7" i="7"/>
  <c r="AK21" i="7"/>
  <c r="AE7" i="6"/>
  <c r="AI20" i="6"/>
  <c r="X21" i="7"/>
  <c r="R7" i="6"/>
  <c r="AF22" i="6"/>
  <c r="AH8" i="7"/>
  <c r="AI21" i="6"/>
  <c r="AI47" i="6"/>
  <c r="AF63" i="6"/>
  <c r="J21" i="7"/>
  <c r="E27" i="7" s="1"/>
  <c r="X20" i="7"/>
  <c r="K21" i="7"/>
  <c r="W20" i="7"/>
  <c r="R26" i="7" s="1"/>
  <c r="U22" i="7"/>
  <c r="AH22" i="7"/>
  <c r="AK20" i="7"/>
  <c r="AK6" i="7"/>
  <c r="AE8" i="7"/>
  <c r="AE22" i="7"/>
  <c r="AJ6" i="7"/>
  <c r="AJ20" i="7"/>
  <c r="AG6" i="7"/>
  <c r="AG7" i="7"/>
  <c r="AE11" i="7" s="1"/>
  <c r="AG20" i="7"/>
  <c r="AG21" i="7"/>
  <c r="R22" i="7"/>
  <c r="T20" i="7"/>
  <c r="T21" i="7"/>
  <c r="X7" i="7"/>
  <c r="J20" i="7"/>
  <c r="H22" i="7"/>
  <c r="K20" i="7"/>
  <c r="E22" i="7"/>
  <c r="G20" i="7"/>
  <c r="G21" i="7"/>
  <c r="K6" i="7"/>
  <c r="R8" i="7"/>
  <c r="W6" i="7"/>
  <c r="J7" i="7"/>
  <c r="H8" i="7"/>
  <c r="E8" i="7"/>
  <c r="T7" i="7"/>
  <c r="U8" i="7"/>
  <c r="X6" i="7"/>
  <c r="K7" i="7"/>
  <c r="AI76" i="6"/>
  <c r="AH76" i="6"/>
  <c r="AC82" i="6" s="1"/>
  <c r="AI62" i="6"/>
  <c r="AH62" i="6"/>
  <c r="AI61" i="6"/>
  <c r="AF49" i="6"/>
  <c r="AI48" i="6"/>
  <c r="AC49" i="6"/>
  <c r="AC63" i="6"/>
  <c r="AC77" i="6"/>
  <c r="AH47" i="6"/>
  <c r="AH61" i="6"/>
  <c r="AE47" i="6"/>
  <c r="AE48" i="6"/>
  <c r="AE61" i="6"/>
  <c r="AE62" i="6"/>
  <c r="AE75" i="6"/>
  <c r="AE76" i="6"/>
  <c r="AI35" i="6"/>
  <c r="AF36" i="6"/>
  <c r="AI34" i="6"/>
  <c r="AC36" i="6"/>
  <c r="AH34" i="6"/>
  <c r="AE34" i="6"/>
  <c r="AE35" i="6"/>
  <c r="AH20" i="6"/>
  <c r="AH21" i="6"/>
  <c r="AC22" i="6"/>
  <c r="AE20" i="6"/>
  <c r="AE21" i="6"/>
  <c r="AI7" i="6"/>
  <c r="AF8" i="6"/>
  <c r="AI6" i="6"/>
  <c r="AC8" i="6"/>
  <c r="P36" i="6"/>
  <c r="U34" i="6"/>
  <c r="R34" i="6"/>
  <c r="R35" i="6"/>
  <c r="U21" i="6"/>
  <c r="V21" i="6"/>
  <c r="S22" i="6"/>
  <c r="U20" i="6"/>
  <c r="V20" i="6"/>
  <c r="P22" i="6"/>
  <c r="R20" i="6"/>
  <c r="R21" i="6"/>
  <c r="V7" i="6"/>
  <c r="S8" i="6"/>
  <c r="V6" i="6"/>
  <c r="P8" i="6"/>
  <c r="G35" i="6"/>
  <c r="I35" i="6" s="1"/>
  <c r="G34" i="6"/>
  <c r="D35" i="6"/>
  <c r="D34" i="6"/>
  <c r="G21" i="6"/>
  <c r="I21" i="6" s="1"/>
  <c r="G20" i="6"/>
  <c r="D21" i="6"/>
  <c r="F21" i="6" s="1"/>
  <c r="D20" i="6"/>
  <c r="F20" i="6" s="1"/>
  <c r="G7" i="6"/>
  <c r="G6" i="6"/>
  <c r="D7" i="6"/>
  <c r="D67" i="4"/>
  <c r="G68" i="4"/>
  <c r="G67" i="4"/>
  <c r="D68" i="4"/>
  <c r="G54" i="4"/>
  <c r="G53" i="4"/>
  <c r="D54" i="4"/>
  <c r="D53" i="4"/>
  <c r="D36" i="4"/>
  <c r="D37" i="4"/>
  <c r="G37" i="4"/>
  <c r="G38" i="4"/>
  <c r="G36" i="4"/>
  <c r="G22" i="4"/>
  <c r="G21" i="4"/>
  <c r="D22" i="4"/>
  <c r="D21" i="4"/>
  <c r="G7" i="4"/>
  <c r="G6" i="4"/>
  <c r="D7" i="4"/>
  <c r="D6" i="4"/>
  <c r="D39" i="4" l="1"/>
  <c r="G23" i="4"/>
  <c r="J20" i="6"/>
  <c r="J22" i="4"/>
  <c r="T8" i="6"/>
  <c r="J35" i="6"/>
  <c r="AJ34" i="6"/>
  <c r="AJ61" i="6"/>
  <c r="AK22" i="7"/>
  <c r="AL20" i="7" s="1"/>
  <c r="AK8" i="7"/>
  <c r="AL6" i="7" s="1"/>
  <c r="X22" i="7"/>
  <c r="Y21" i="7" s="1"/>
  <c r="K22" i="7"/>
  <c r="L20" i="7" s="1"/>
  <c r="X8" i="7"/>
  <c r="Y6" i="7" s="1"/>
  <c r="K8" i="7"/>
  <c r="AI63" i="6"/>
  <c r="AJ62" i="6" s="1"/>
  <c r="AI49" i="6"/>
  <c r="AJ47" i="6" s="1"/>
  <c r="AI77" i="6"/>
  <c r="AI36" i="6"/>
  <c r="AJ35" i="6" s="1"/>
  <c r="AI22" i="6"/>
  <c r="AD22" i="6" s="1"/>
  <c r="AI8" i="6"/>
  <c r="AJ6" i="6" s="1"/>
  <c r="V36" i="6"/>
  <c r="V22" i="6"/>
  <c r="W21" i="6" s="1"/>
  <c r="V8" i="6"/>
  <c r="W6" i="6" s="1"/>
  <c r="G36" i="6"/>
  <c r="F34" i="6"/>
  <c r="F6" i="6"/>
  <c r="F7" i="6"/>
  <c r="I7" i="6"/>
  <c r="I6" i="6"/>
  <c r="J38" i="4"/>
  <c r="J37" i="4"/>
  <c r="J34" i="6"/>
  <c r="D36" i="6"/>
  <c r="I34" i="6"/>
  <c r="F35" i="6"/>
  <c r="G22" i="6"/>
  <c r="J21" i="6"/>
  <c r="I20" i="6"/>
  <c r="D22" i="6"/>
  <c r="J7" i="6"/>
  <c r="G8" i="6"/>
  <c r="J6" i="6"/>
  <c r="D8" i="6"/>
  <c r="J36" i="4"/>
  <c r="G39" i="4"/>
  <c r="J68" i="4"/>
  <c r="G69" i="4"/>
  <c r="J67" i="4"/>
  <c r="D69" i="4"/>
  <c r="J53" i="4"/>
  <c r="G55" i="4"/>
  <c r="J54" i="4"/>
  <c r="J21" i="4"/>
  <c r="J7" i="4"/>
  <c r="J6" i="4"/>
  <c r="G8" i="4"/>
  <c r="D23" i="4"/>
  <c r="D55" i="4"/>
  <c r="D8" i="4"/>
  <c r="J4" i="1"/>
  <c r="V22" i="7" l="1"/>
  <c r="AG49" i="6"/>
  <c r="L21" i="7"/>
  <c r="E25" i="7" s="1"/>
  <c r="AF8" i="7"/>
  <c r="AD36" i="6"/>
  <c r="AG36" i="6"/>
  <c r="Q34" i="6"/>
  <c r="P38" i="6" s="1"/>
  <c r="T35" i="6"/>
  <c r="Q35" i="6"/>
  <c r="T36" i="6"/>
  <c r="T34" i="6"/>
  <c r="AG22" i="6"/>
  <c r="W7" i="6"/>
  <c r="AF22" i="7"/>
  <c r="AD76" i="6"/>
  <c r="AG75" i="6"/>
  <c r="AG76" i="6"/>
  <c r="AJ75" i="6"/>
  <c r="AG77" i="6"/>
  <c r="AD75" i="6"/>
  <c r="AC79" i="6" s="1"/>
  <c r="F21" i="7"/>
  <c r="F20" i="7"/>
  <c r="I20" i="7"/>
  <c r="I21" i="7"/>
  <c r="AJ48" i="6"/>
  <c r="AJ20" i="6"/>
  <c r="S22" i="7"/>
  <c r="AG6" i="6"/>
  <c r="AC12" i="6" s="1"/>
  <c r="AD6" i="6"/>
  <c r="AG7" i="6"/>
  <c r="AD7" i="6"/>
  <c r="AL21" i="7"/>
  <c r="AI21" i="7"/>
  <c r="AI20" i="7"/>
  <c r="AF21" i="7"/>
  <c r="AF20" i="7"/>
  <c r="AE24" i="7" s="1"/>
  <c r="AJ7" i="6"/>
  <c r="T7" i="6"/>
  <c r="P13" i="6" s="1"/>
  <c r="T6" i="6"/>
  <c r="P12" i="6" s="1"/>
  <c r="Q6" i="6"/>
  <c r="Q7" i="6"/>
  <c r="AG47" i="6"/>
  <c r="AC53" i="6" s="1"/>
  <c r="AD47" i="6"/>
  <c r="AC51" i="6" s="1"/>
  <c r="AD48" i="6"/>
  <c r="AG48" i="6"/>
  <c r="AI22" i="7"/>
  <c r="S6" i="7"/>
  <c r="V6" i="7"/>
  <c r="AD77" i="6"/>
  <c r="AD21" i="6"/>
  <c r="AC25" i="6" s="1"/>
  <c r="AG20" i="6"/>
  <c r="AD20" i="6"/>
  <c r="AC24" i="6" s="1"/>
  <c r="AG21" i="6"/>
  <c r="T21" i="6"/>
  <c r="W34" i="6"/>
  <c r="Q21" i="6"/>
  <c r="P25" i="6" s="1"/>
  <c r="W35" i="6"/>
  <c r="Q20" i="6"/>
  <c r="T20" i="6"/>
  <c r="S21" i="7"/>
  <c r="R25" i="7" s="1"/>
  <c r="R28" i="7" s="1"/>
  <c r="U24" i="7" s="1"/>
  <c r="U26" i="7" s="1"/>
  <c r="V20" i="7"/>
  <c r="V21" i="7"/>
  <c r="R27" i="7" s="1"/>
  <c r="S20" i="7"/>
  <c r="R24" i="7" s="1"/>
  <c r="AJ76" i="6"/>
  <c r="I22" i="7"/>
  <c r="AJ21" i="6"/>
  <c r="AD8" i="6"/>
  <c r="Q36" i="6"/>
  <c r="AG34" i="6"/>
  <c r="AD34" i="6"/>
  <c r="AC38" i="6" s="1"/>
  <c r="AG35" i="6"/>
  <c r="AC41" i="6" s="1"/>
  <c r="AD35" i="6"/>
  <c r="AC39" i="6" s="1"/>
  <c r="AD62" i="6"/>
  <c r="AG61" i="6"/>
  <c r="AG62" i="6"/>
  <c r="AD61" i="6"/>
  <c r="AI8" i="7"/>
  <c r="AD49" i="6"/>
  <c r="T22" i="6"/>
  <c r="Q8" i="6"/>
  <c r="W20" i="6"/>
  <c r="F22" i="7"/>
  <c r="AL7" i="7"/>
  <c r="AF6" i="7"/>
  <c r="AE10" i="7" s="1"/>
  <c r="AE14" i="7" s="1"/>
  <c r="AH10" i="7" s="1"/>
  <c r="AH12" i="7" s="1"/>
  <c r="AI6" i="7"/>
  <c r="AE12" i="7" s="1"/>
  <c r="AF7" i="7"/>
  <c r="AI7" i="7"/>
  <c r="Q22" i="6"/>
  <c r="Y20" i="7"/>
  <c r="AG8" i="6"/>
  <c r="AD63" i="6"/>
  <c r="AG63" i="6"/>
  <c r="V8" i="7"/>
  <c r="F6" i="7"/>
  <c r="I6" i="7"/>
  <c r="F7" i="7"/>
  <c r="L6" i="7"/>
  <c r="I7" i="7"/>
  <c r="I8" i="7"/>
  <c r="L7" i="7"/>
  <c r="F8" i="7"/>
  <c r="V7" i="7"/>
  <c r="S7" i="7"/>
  <c r="Y7" i="7"/>
  <c r="S8" i="7"/>
  <c r="J36" i="6"/>
  <c r="E34" i="6" s="1"/>
  <c r="J22" i="6"/>
  <c r="K20" i="6" s="1"/>
  <c r="J8" i="6"/>
  <c r="J39" i="4"/>
  <c r="J69" i="4"/>
  <c r="J8" i="4"/>
  <c r="K68" i="4" s="1"/>
  <c r="J55" i="4"/>
  <c r="J23" i="4"/>
  <c r="AC68" i="6" l="1"/>
  <c r="P26" i="6"/>
  <c r="AC26" i="6"/>
  <c r="AC28" i="6" s="1"/>
  <c r="AF24" i="6" s="1"/>
  <c r="AF26" i="6" s="1"/>
  <c r="AE25" i="7"/>
  <c r="AC40" i="6"/>
  <c r="AC42" i="6" s="1"/>
  <c r="AF38" i="6" s="1"/>
  <c r="AF40" i="6" s="1"/>
  <c r="AC27" i="6"/>
  <c r="AC13" i="6"/>
  <c r="E24" i="7"/>
  <c r="AC65" i="6"/>
  <c r="AC52" i="6"/>
  <c r="AC55" i="6" s="1"/>
  <c r="AF51" i="6" s="1"/>
  <c r="AF53" i="6" s="1"/>
  <c r="AC10" i="6"/>
  <c r="AE26" i="7"/>
  <c r="AE28" i="7" s="1"/>
  <c r="AH24" i="7" s="1"/>
  <c r="AH26" i="7" s="1"/>
  <c r="P40" i="6"/>
  <c r="AC67" i="6"/>
  <c r="P24" i="6"/>
  <c r="P28" i="6" s="1"/>
  <c r="S24" i="6" s="1"/>
  <c r="S26" i="6" s="1"/>
  <c r="AC66" i="6"/>
  <c r="P11" i="6"/>
  <c r="P10" i="6"/>
  <c r="P14" i="6" s="1"/>
  <c r="S10" i="6" s="1"/>
  <c r="S12" i="6" s="1"/>
  <c r="P39" i="6"/>
  <c r="AC81" i="6"/>
  <c r="P41" i="6"/>
  <c r="P27" i="6"/>
  <c r="AC11" i="6"/>
  <c r="E26" i="7"/>
  <c r="E28" i="7" s="1"/>
  <c r="H24" i="7" s="1"/>
  <c r="H26" i="7" s="1"/>
  <c r="AC80" i="6"/>
  <c r="R12" i="7"/>
  <c r="R10" i="7"/>
  <c r="E13" i="7"/>
  <c r="E12" i="7"/>
  <c r="E10" i="7"/>
  <c r="E11" i="7"/>
  <c r="R13" i="7"/>
  <c r="R11" i="7"/>
  <c r="H7" i="6"/>
  <c r="E7" i="6"/>
  <c r="E6" i="6"/>
  <c r="H6" i="6"/>
  <c r="H22" i="6"/>
  <c r="K35" i="6"/>
  <c r="H36" i="6"/>
  <c r="H34" i="6"/>
  <c r="H35" i="6"/>
  <c r="K34" i="6"/>
  <c r="K21" i="6"/>
  <c r="E35" i="6"/>
  <c r="E36" i="6"/>
  <c r="E20" i="6"/>
  <c r="H21" i="6"/>
  <c r="E21" i="6"/>
  <c r="H20" i="6"/>
  <c r="E22" i="6"/>
  <c r="E8" i="6"/>
  <c r="K7" i="6"/>
  <c r="K6" i="6"/>
  <c r="H8" i="6"/>
  <c r="E53" i="4"/>
  <c r="H68" i="4"/>
  <c r="I68" i="4" s="1"/>
  <c r="H67" i="4"/>
  <c r="E54" i="4"/>
  <c r="F54" i="4" s="1"/>
  <c r="E68" i="4"/>
  <c r="F68" i="4" s="1"/>
  <c r="H54" i="4"/>
  <c r="I54" i="4" s="1"/>
  <c r="H53" i="4"/>
  <c r="E67" i="4"/>
  <c r="E6" i="4"/>
  <c r="K38" i="4"/>
  <c r="H69" i="4"/>
  <c r="H55" i="4"/>
  <c r="K67" i="4"/>
  <c r="E69" i="4"/>
  <c r="H36" i="4"/>
  <c r="E36" i="4"/>
  <c r="E37" i="4"/>
  <c r="F37" i="4" s="1"/>
  <c r="H38" i="4"/>
  <c r="I38" i="4" s="1"/>
  <c r="E55" i="4"/>
  <c r="H37" i="4"/>
  <c r="I37" i="4" s="1"/>
  <c r="E38" i="4"/>
  <c r="F38" i="4" s="1"/>
  <c r="E21" i="4"/>
  <c r="H21" i="4"/>
  <c r="H22" i="4"/>
  <c r="I22" i="4" s="1"/>
  <c r="E22" i="4"/>
  <c r="F22" i="4" s="1"/>
  <c r="K6" i="4"/>
  <c r="H8" i="4"/>
  <c r="H7" i="4"/>
  <c r="I7" i="4" s="1"/>
  <c r="K21" i="4"/>
  <c r="E39" i="4"/>
  <c r="K54" i="4"/>
  <c r="H23" i="4"/>
  <c r="K22" i="4"/>
  <c r="H6" i="4"/>
  <c r="K53" i="4"/>
  <c r="K7" i="4"/>
  <c r="E7" i="4"/>
  <c r="F7" i="4" s="1"/>
  <c r="H39" i="4"/>
  <c r="E23" i="4"/>
  <c r="E8" i="4"/>
  <c r="K36" i="4"/>
  <c r="K37" i="4"/>
  <c r="D24" i="6" l="1"/>
  <c r="P42" i="6"/>
  <c r="S38" i="6" s="1"/>
  <c r="S40" i="6" s="1"/>
  <c r="AC69" i="6"/>
  <c r="AF65" i="6" s="1"/>
  <c r="AF67" i="6" s="1"/>
  <c r="D44" i="4"/>
  <c r="D26" i="6"/>
  <c r="R14" i="7"/>
  <c r="U10" i="7" s="1"/>
  <c r="U12" i="7" s="1"/>
  <c r="AC83" i="6"/>
  <c r="AF79" i="6" s="1"/>
  <c r="AF81" i="6" s="1"/>
  <c r="AC14" i="6"/>
  <c r="AF10" i="6" s="1"/>
  <c r="AF12" i="6" s="1"/>
  <c r="E14" i="7"/>
  <c r="H10" i="7" s="1"/>
  <c r="H12" i="7" s="1"/>
  <c r="D38" i="6"/>
  <c r="D11" i="6"/>
  <c r="D27" i="6"/>
  <c r="D10" i="6"/>
  <c r="D41" i="6"/>
  <c r="D13" i="6"/>
  <c r="D25" i="6"/>
  <c r="D28" i="6" s="1"/>
  <c r="G24" i="6" s="1"/>
  <c r="G26" i="6" s="1"/>
  <c r="D39" i="6"/>
  <c r="D40" i="6"/>
  <c r="D12" i="6"/>
  <c r="D74" i="4"/>
  <c r="D42" i="4"/>
  <c r="D60" i="4"/>
  <c r="D45" i="4"/>
  <c r="D72" i="4"/>
  <c r="F67" i="4"/>
  <c r="D71" i="4" s="1"/>
  <c r="F36" i="4"/>
  <c r="D41" i="4" s="1"/>
  <c r="D46" i="4"/>
  <c r="I67" i="4"/>
  <c r="D73" i="4" s="1"/>
  <c r="D28" i="4"/>
  <c r="D11" i="4"/>
  <c r="D26" i="4"/>
  <c r="D13" i="4"/>
  <c r="I21" i="4"/>
  <c r="D27" i="4" s="1"/>
  <c r="F6" i="4"/>
  <c r="D10" i="4" s="1"/>
  <c r="I36" i="4"/>
  <c r="D43" i="4" s="1"/>
  <c r="D58" i="4"/>
  <c r="F53" i="4"/>
  <c r="D57" i="4" s="1"/>
  <c r="I6" i="4"/>
  <c r="D12" i="4" s="1"/>
  <c r="I53" i="4"/>
  <c r="D59" i="4" s="1"/>
  <c r="F21" i="4"/>
  <c r="D25" i="4" s="1"/>
  <c r="D75" i="4" l="1"/>
  <c r="G71" i="4" s="1"/>
  <c r="G73" i="4" s="1"/>
  <c r="D87" i="4" s="1"/>
  <c r="D42" i="6"/>
  <c r="G38" i="6" s="1"/>
  <c r="G40" i="6" s="1"/>
  <c r="D47" i="4"/>
  <c r="G41" i="4" s="1"/>
  <c r="G43" i="4" s="1"/>
  <c r="D85" i="4" s="1"/>
  <c r="D61" i="4"/>
  <c r="G57" i="4" s="1"/>
  <c r="G59" i="4" s="1"/>
  <c r="D86" i="4" s="1"/>
  <c r="D14" i="6"/>
  <c r="D29" i="4"/>
  <c r="G25" i="4" s="1"/>
  <c r="G27" i="4" s="1"/>
  <c r="D84" i="4" s="1"/>
  <c r="D14" i="4"/>
  <c r="G10" i="4" s="1"/>
  <c r="G12" i="4" s="1"/>
  <c r="D83" i="4" s="1"/>
  <c r="G10" i="6" l="1"/>
  <c r="G12" i="6" s="1"/>
  <c r="D52" i="6"/>
</calcChain>
</file>

<file path=xl/sharedStrings.xml><?xml version="1.0" encoding="utf-8"?>
<sst xmlns="http://purl.oclc.org/ooxml/spreadsheetml/main" count="849" uniqueCount="197">
  <si>
    <t>gender</t>
  </si>
  <si>
    <t>fbs</t>
  </si>
  <si>
    <t>slope</t>
  </si>
  <si>
    <t>age</t>
  </si>
  <si>
    <t>prediction</t>
  </si>
  <si>
    <t>male</t>
  </si>
  <si>
    <t>downsloping</t>
  </si>
  <si>
    <t>absence</t>
  </si>
  <si>
    <t>flat</t>
  </si>
  <si>
    <t>presence</t>
  </si>
  <si>
    <t>female</t>
  </si>
  <si>
    <t>upsloping</t>
  </si>
  <si>
    <t>Cond.</t>
  </si>
  <si>
    <t>Joint</t>
  </si>
  <si>
    <t>Total</t>
  </si>
  <si>
    <t>MI(male; absence)</t>
  </si>
  <si>
    <t>MI(female; absence)</t>
  </si>
  <si>
    <t>MI(male; presence)</t>
  </si>
  <si>
    <t>MI(female; presence)</t>
  </si>
  <si>
    <t>MI(gender;prediction|root)</t>
  </si>
  <si>
    <t>G^2</t>
  </si>
  <si>
    <t>MI(FALSE; absence)</t>
  </si>
  <si>
    <t>MI(FALSE; presence)</t>
  </si>
  <si>
    <t>MI(TRUE; absence)</t>
  </si>
  <si>
    <t>MI(TRUE; presence)</t>
  </si>
  <si>
    <t>MI(fbs;prediction|root)</t>
  </si>
  <si>
    <t>MI(upsloping; absence)</t>
  </si>
  <si>
    <t>MI(upsloping; presence)</t>
  </si>
  <si>
    <t>MI(flat; absence)</t>
  </si>
  <si>
    <t>MI(flat; presence)</t>
  </si>
  <si>
    <t>MI(downsloping; absence)</t>
  </si>
  <si>
    <t>MI(downsloping; presence)</t>
  </si>
  <si>
    <t>&lt;=57</t>
  </si>
  <si>
    <t>j'(gender)/j(prediction)</t>
  </si>
  <si>
    <t>j'(fbs)/j(prediction)</t>
  </si>
  <si>
    <t>j'(slope)/j(prediction)</t>
  </si>
  <si>
    <t>MI(slope;prediction|root)</t>
  </si>
  <si>
    <t>&gt;57</t>
  </si>
  <si>
    <t>j'(age)/j(prediction)</t>
  </si>
  <si>
    <t>MI(age&lt;=57; absence)</t>
  </si>
  <si>
    <t>MI(age&gt;57; absence)</t>
  </si>
  <si>
    <t>MI(age&lt;=57; presence)</t>
  </si>
  <si>
    <t>MI(age&gt;57; presence)</t>
  </si>
  <si>
    <t>&lt;=65</t>
  </si>
  <si>
    <t>&gt;65</t>
  </si>
  <si>
    <t>MI(age&lt;=65; absence)</t>
  </si>
  <si>
    <t>MI(age&gt;65; absence)</t>
  </si>
  <si>
    <t>MI(age&lt;=65; presence)</t>
  </si>
  <si>
    <t>MI(age&gt;65; presence)</t>
  </si>
  <si>
    <t>MI(age;prediction|root)</t>
  </si>
  <si>
    <t>χ^2</t>
  </si>
  <si>
    <t>isSignificant</t>
  </si>
  <si>
    <t>Attribute</t>
  </si>
  <si>
    <t>Significant Conditional Mutual Information</t>
  </si>
  <si>
    <t>Gender</t>
  </si>
  <si>
    <t>Slope</t>
  </si>
  <si>
    <t>Age (T=57)</t>
  </si>
  <si>
    <t>Age (T=65)</t>
  </si>
  <si>
    <t>Slope - upsloping</t>
  </si>
  <si>
    <t>MI(male; absence| Slope=upsloping)</t>
  </si>
  <si>
    <t>MI(female; absence| Slope=upsloping)</t>
  </si>
  <si>
    <t>MI(male; presence| Slope=upsloping)</t>
  </si>
  <si>
    <t>MI(female; presence| Slope=upsloping)</t>
  </si>
  <si>
    <t>MI(gender;prediction| Slope=upsloping)</t>
  </si>
  <si>
    <t>Slope - flat</t>
  </si>
  <si>
    <t>MI(male; absence| Slope=flat)</t>
  </si>
  <si>
    <t>MI(female; absence| Slope=flat)</t>
  </si>
  <si>
    <t>MI(male; presence| Slope=flat)</t>
  </si>
  <si>
    <t>MI(female; presence| Slope=flat)</t>
  </si>
  <si>
    <t>MI(gender;prediction| Slope=flat)</t>
  </si>
  <si>
    <t>Slope - downsloping</t>
  </si>
  <si>
    <t>MI(male; absence| Slope=downsloping)</t>
  </si>
  <si>
    <t>MI(female; absence| Slope=downsloping)</t>
  </si>
  <si>
    <t>MI(male; presence| Slope=downsloping)</t>
  </si>
  <si>
    <t>MI(female; presence| Slope=downsloping)</t>
  </si>
  <si>
    <t>MI(gender;prediction| Slope=downsloping)</t>
  </si>
  <si>
    <t>MI(FALSE; absence| Slope = upsloping)</t>
  </si>
  <si>
    <t>MI(TRUE; absence| Slope = upsloping)</t>
  </si>
  <si>
    <t>MI(FALSE; presence| Slope = upsloping)</t>
  </si>
  <si>
    <t>MI(TRUE; presence| Slope = upsloping)</t>
  </si>
  <si>
    <t>MI(fbs;prediction| Slope = upsloping)</t>
  </si>
  <si>
    <t>MI(FALSE; absence| Slope = flat)</t>
  </si>
  <si>
    <t>MI(TRUE; absence| Slope = flat)</t>
  </si>
  <si>
    <t>MI(FALSE; presence| Slope = flat)</t>
  </si>
  <si>
    <t>MI(TRUE; presence| Slope = flat)</t>
  </si>
  <si>
    <t>MI(fbs;prediction| Slope = flat)</t>
  </si>
  <si>
    <t>MI(FALSE; absence| Slope = downsloping)</t>
  </si>
  <si>
    <t>MI(TRUE; absence| Slope = downsloping)</t>
  </si>
  <si>
    <t>MI(FALSE; presence| Slope = downsloping)</t>
  </si>
  <si>
    <t>MI(TRUE; presence| Slope = downsloping)</t>
  </si>
  <si>
    <t>MI(fbs;prediction| Slope = downsloping)</t>
  </si>
  <si>
    <t>MI(age&lt;=57; absence| Slope = upsloping)</t>
  </si>
  <si>
    <t>MI(age&gt;57; absence| Slope = upsloping)</t>
  </si>
  <si>
    <t>MI(age&lt;=57; presence| Slope = upsloping)</t>
  </si>
  <si>
    <t>MI(age&gt;57; presence| Slope = upsloping)</t>
  </si>
  <si>
    <t>MI(age;prediction| Slope = upsloping)</t>
  </si>
  <si>
    <t>MI(age&lt;=57; absence| Slope = flat)</t>
  </si>
  <si>
    <t>MI(age&gt;57; absence| Slope = flat)</t>
  </si>
  <si>
    <t>MI(age&lt;=57; presence| Slope = flat)</t>
  </si>
  <si>
    <t>MI(age&gt;57; presence| Slope = flat)</t>
  </si>
  <si>
    <t>MI(age;prediction| Slope = flat)</t>
  </si>
  <si>
    <t>MI(age&lt;=57; absence| Slope = downsloping)</t>
  </si>
  <si>
    <t>MI(age&gt;57; absence| Slope = downsloping)</t>
  </si>
  <si>
    <t>MI(age&lt;=57; presence| Slope = downsloping)</t>
  </si>
  <si>
    <t>MI(age&gt;57; presence| Slope = downsloping)</t>
  </si>
  <si>
    <t>MI(age;prediction| Slope = downsloping)</t>
  </si>
  <si>
    <t>age, (T=57)</t>
  </si>
  <si>
    <t>age, (T=65)</t>
  </si>
  <si>
    <t>MI(age&lt;=65; absence| Slope = upsloping)</t>
  </si>
  <si>
    <t>MI(age&gt;65; absence| Slope = upsloping)</t>
  </si>
  <si>
    <t>MI(age&lt;=65; presence| Slope = upsloping)</t>
  </si>
  <si>
    <t>MI(age&gt;65; presence| Slope = upsloping)</t>
  </si>
  <si>
    <t>MI(age&lt;=65; absence| Slope = flat)</t>
  </si>
  <si>
    <t>MI(age&gt;65; absence| Slope = flat)</t>
  </si>
  <si>
    <t>MI(age&lt;=65; presence| Slope = flat)</t>
  </si>
  <si>
    <t>MI(age&gt;65; presence| Slope = flat)</t>
  </si>
  <si>
    <t>MI(age&lt;=65; absence| Slope = downsloping)</t>
  </si>
  <si>
    <t>MI(age&gt;65; absence| Slope = downsloping)</t>
  </si>
  <si>
    <t>MI(age&lt;=65; presence| Slope = downsloping)</t>
  </si>
  <si>
    <t>MI(age&gt;65; presence| Slope = downsloping)</t>
  </si>
  <si>
    <t>Slope - upsloping, Gender - male</t>
  </si>
  <si>
    <t>MI(FALSE; absence| Slope = upsloping, Gender = male)</t>
  </si>
  <si>
    <t>MI(TRUE; absence| Slope = upsloping, Gender = male)</t>
  </si>
  <si>
    <t>MI(FALSE; presence| Slope = upsloping, Gender = male)</t>
  </si>
  <si>
    <t>MI(TRUE; presence| Slope = upsloping, Gender = male)</t>
  </si>
  <si>
    <t>MI(fbs;prediction| Slope = upsloping, Gender = male)</t>
  </si>
  <si>
    <t>Slope - upsloping, Gender - female</t>
  </si>
  <si>
    <t>MI(FALSE; absence| Slope = upsloping, Gender = female)</t>
  </si>
  <si>
    <t>MI(TRUE; absence| Slope = upsloping, Gender = female)</t>
  </si>
  <si>
    <t>MI(FALSE; presence| Slope = upsloping, Gender = female)</t>
  </si>
  <si>
    <t>MI(TRUE; presence| Slope = upsloping, Gender = female)</t>
  </si>
  <si>
    <t>MI(fbs;prediction| Slope = upsloping, Gender = female)</t>
  </si>
  <si>
    <t>Slope - upsloping,Gender - male</t>
  </si>
  <si>
    <t>MI(age&lt;=57; absence| Slope = upsloping, Gender = male)</t>
  </si>
  <si>
    <t>MI(age&gt;57; absence| Slope = upsloping, Gender = male)</t>
  </si>
  <si>
    <t>MI(age&lt;=57; presence| Slope = upsloping, Gender = male)</t>
  </si>
  <si>
    <t>MI(age&gt;57; presence| Slope = upsloping, Gender = male)</t>
  </si>
  <si>
    <t>MI(age;prediction| Slope = upsloping, Gender = male)</t>
  </si>
  <si>
    <t>Slope - upsloping,Gender - female</t>
  </si>
  <si>
    <t>MI(age&lt;=57; absence| Slope = upsloping, Gender = female)</t>
  </si>
  <si>
    <t>MI(age&gt;57; absence| Slope = upsloping, Gender = female)</t>
  </si>
  <si>
    <t>MI(age&lt;=57; presence| Slope = upsloping, Gender = female)</t>
  </si>
  <si>
    <t>MI(age&gt;57; presence| Slope = upsloping, Gender = female)</t>
  </si>
  <si>
    <t>MI(age;prediction| Slope = upsloping, Gender = female)</t>
  </si>
  <si>
    <t>MI(age&lt;=65; absence| Slope = upsloping, Gender = male)</t>
  </si>
  <si>
    <t>MI(age&gt;65; absence| Slope = upsloping, Gender = male)</t>
  </si>
  <si>
    <t>MI(age&lt;=65; presence| Slope = upsloping, Gender = male)</t>
  </si>
  <si>
    <t>MI(age&gt;65; presence| Slope = upsloping, Gender = male)</t>
  </si>
  <si>
    <t>MI(age&lt;=65; absence| Slope = upsloping, Gender = female)</t>
  </si>
  <si>
    <t>MI(age&gt;65; absence| Slope = upsloping, Gender = female)</t>
  </si>
  <si>
    <t>MI(age&lt;=65; presence| Slope = upsloping, Gender = female)</t>
  </si>
  <si>
    <t>MI(age&gt;65; presence| Slope = upsloping, Gender = female)</t>
  </si>
  <si>
    <t>Node 2 - Slope = flat</t>
  </si>
  <si>
    <t>Slope = flat</t>
  </si>
  <si>
    <t>Slope = flat, Prediction = absence</t>
  </si>
  <si>
    <t>Slope = flat, Prediction = presence</t>
  </si>
  <si>
    <t>Prediction = absence</t>
  </si>
  <si>
    <t>Prediction = presence</t>
  </si>
  <si>
    <t>Total Records</t>
  </si>
  <si>
    <t>p(Prediction = absence)</t>
  </si>
  <si>
    <t>p(Prediction = presence)</t>
  </si>
  <si>
    <t>p(Prediction = absence| Slope = flat) - cond.</t>
  </si>
  <si>
    <t>p(Prediction = absence; Slope = flat) - joint</t>
  </si>
  <si>
    <t>p(Prediction = presence; Slope = flat) - joint</t>
  </si>
  <si>
    <t>p(Prediction = presence| Slope = flat) - cond.</t>
  </si>
  <si>
    <t>w(Prediction = absence| Slope = flat)</t>
  </si>
  <si>
    <t>w(Prediction = presence| Slope = flat)</t>
  </si>
  <si>
    <t>Node 3 - Slope = downsloping</t>
  </si>
  <si>
    <t>Slope = downsloping</t>
  </si>
  <si>
    <t>Slope = downsloping, Prediction = absence</t>
  </si>
  <si>
    <t>Slope = downsloping, Prediction = presence</t>
  </si>
  <si>
    <t>p(Prediction = absence| Slope = downsloping) - cond.</t>
  </si>
  <si>
    <t>p(Prediction = absence; Slope = downsloping) - joint</t>
  </si>
  <si>
    <t>p(Prediction = presence| Slope = downsloping) - cond.</t>
  </si>
  <si>
    <t>p(Prediction = presence; Slope = downsloping) - joint</t>
  </si>
  <si>
    <t>w(Prediction = absence| Slope = downsloping)</t>
  </si>
  <si>
    <t>w(Prediction = presence| Slope = downsloping)</t>
  </si>
  <si>
    <t>Slope = upsloping, Gender = male</t>
  </si>
  <si>
    <t>Slope = upsloping, Gender = male, Prediction = absence</t>
  </si>
  <si>
    <t>Slope = upsloping, Gender = male, Prediction = presence</t>
  </si>
  <si>
    <t>p(Prediction = absence| Slope = upsloping, Gender = male) - cond.</t>
  </si>
  <si>
    <t>p(Prediction = absence; Slope = upsloping, Gender = male) - joint</t>
  </si>
  <si>
    <t>p(Prediction = presence| Slope = upsloping, Gender = male) - cond.</t>
  </si>
  <si>
    <t>p(Prediction = presence; Slope = upsloping, Gender = male) - joint</t>
  </si>
  <si>
    <t>w(Prediction = absence|Slope = upsloping, Gender = male)</t>
  </si>
  <si>
    <t>w(Prediction = presence| Slope = upsloping, Gender = male)</t>
  </si>
  <si>
    <t>Node 4 - Slope = upsloping, Gender = male</t>
  </si>
  <si>
    <t>Node 5 - Slope = upsloping, Gender = female</t>
  </si>
  <si>
    <t>Slope = upsloping, Gender = female</t>
  </si>
  <si>
    <t>Slope = upsloping, Gender = female, Prediction = absence</t>
  </si>
  <si>
    <t>Slope = upsloping, Gender = female, Prediction = presence</t>
  </si>
  <si>
    <t>p(Prediction = absence| Slope = upsloping, Gender = female) - cond.</t>
  </si>
  <si>
    <t>p(Prediction = absence; Slope = upsloping, Gender = female) - joint</t>
  </si>
  <si>
    <t>p(Prediction = presence| Slope = upsloping, Gender = female) - cond.</t>
  </si>
  <si>
    <t>p(Prediction = presence; Slope = upsloping, Gender = female) - joint</t>
  </si>
  <si>
    <t>w(Prediction = absence|Slope = upsloping, Gender = female)</t>
  </si>
  <si>
    <t>w(Prediction = presence| Slope = upsloping, Gender = female)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</si>
</sst>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0" fillId="0" borderId="10" xfId="0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9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22" fillId="0" borderId="0" xfId="0" applyFont="1" applyBorder="1"/>
    <xf numFmtId="0" fontId="22" fillId="0" borderId="10" xfId="0" applyFont="1" applyBorder="1" applyAlignment="1">
      <alignment horizontal="center"/>
    </xf>
    <xf numFmtId="164" fontId="22" fillId="0" borderId="1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0" fillId="0" borderId="17" xfId="0" applyBorder="1"/>
    <xf numFmtId="164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22" xfId="0" applyNumberFormat="1" applyBorder="1"/>
    <xf numFmtId="0" fontId="0" fillId="0" borderId="22" xfId="0" applyBorder="1"/>
    <xf numFmtId="0" fontId="0" fillId="0" borderId="18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jp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9</xdr:col>
      <xdr:colOff>151392</xdr:colOff>
      <xdr:row>12</xdr:row>
      <xdr:rowOff>89646</xdr:rowOff>
    </xdr:from>
    <xdr:to>
      <xdr:col>21</xdr:col>
      <xdr:colOff>258969</xdr:colOff>
      <xdr:row>35</xdr:row>
      <xdr:rowOff>144331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C711B-F6D7-FD46-8393-C413601E72C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7587778" y="2568441"/>
          <a:ext cx="10022757" cy="4805709"/>
        </a:xfrm>
        <a:prstGeom prst="rect">
          <a:avLst/>
        </a:prstGeom>
      </xdr:spPr>
    </xdr:pic>
    <xdr:clientData/>
  </xdr:twoCellAnchor>
  <xdr:twoCellAnchor editAs="oneCell">
    <xdr:from>
      <xdr:col>8</xdr:col>
      <xdr:colOff>766320</xdr:colOff>
      <xdr:row>36</xdr:row>
      <xdr:rowOff>23433</xdr:rowOff>
    </xdr:from>
    <xdr:to>
      <xdr:col>15</xdr:col>
      <xdr:colOff>788011</xdr:colOff>
      <xdr:row>57</xdr:row>
      <xdr:rowOff>34931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A8FD2A-3189-4442-8082-7836E2AB543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7376440" y="7459819"/>
          <a:ext cx="5805547" cy="4349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01"/>
  <sheetViews>
    <sheetView zoomScale="190" workbookViewId="0">
      <selection activeCell="F9" sqref="F9"/>
    </sheetView>
  </sheetViews>
  <sheetFormatPr baseColWidth="10" defaultColWidth="10.6640625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x14ac:dyDescent="0.2">
      <c r="A2">
        <v>1</v>
      </c>
      <c r="B2" t="s">
        <v>5</v>
      </c>
      <c r="C2" t="b">
        <v>1</v>
      </c>
      <c r="D2" t="s">
        <v>6</v>
      </c>
      <c r="E2">
        <v>63</v>
      </c>
      <c r="F2" t="s">
        <v>7</v>
      </c>
    </row>
    <row r="3" spans="1:10" x14ac:dyDescent="0.2">
      <c r="A3">
        <v>2</v>
      </c>
      <c r="B3" t="s">
        <v>5</v>
      </c>
      <c r="C3" t="b">
        <v>0</v>
      </c>
      <c r="D3" t="s">
        <v>8</v>
      </c>
      <c r="E3">
        <v>67</v>
      </c>
      <c r="F3" t="s">
        <v>9</v>
      </c>
    </row>
    <row r="4" spans="1:10" x14ac:dyDescent="0.2">
      <c r="A4">
        <v>3</v>
      </c>
      <c r="B4" t="s">
        <v>5</v>
      </c>
      <c r="C4" t="b">
        <v>0</v>
      </c>
      <c r="D4" t="s">
        <v>8</v>
      </c>
      <c r="E4">
        <v>67</v>
      </c>
      <c r="F4" t="s">
        <v>9</v>
      </c>
      <c r="J4">
        <f>COUNTIFS(B2:B101,"male",F2:F101,"absence")</f>
        <v>34</v>
      </c>
    </row>
    <row r="5" spans="1:10" x14ac:dyDescent="0.2">
      <c r="A5">
        <v>4</v>
      </c>
      <c r="B5" t="s">
        <v>5</v>
      </c>
      <c r="C5" t="b">
        <v>0</v>
      </c>
      <c r="D5" t="s">
        <v>6</v>
      </c>
      <c r="E5">
        <v>37</v>
      </c>
      <c r="F5" t="s">
        <v>7</v>
      </c>
    </row>
    <row r="6" spans="1:10" x14ac:dyDescent="0.2">
      <c r="A6">
        <v>5</v>
      </c>
      <c r="B6" t="s">
        <v>10</v>
      </c>
      <c r="C6" t="b">
        <v>0</v>
      </c>
      <c r="D6" t="s">
        <v>11</v>
      </c>
      <c r="E6">
        <v>41</v>
      </c>
      <c r="F6" t="s">
        <v>7</v>
      </c>
    </row>
    <row r="7" spans="1:10" x14ac:dyDescent="0.2">
      <c r="A7">
        <v>6</v>
      </c>
      <c r="B7" t="s">
        <v>5</v>
      </c>
      <c r="C7" t="b">
        <v>0</v>
      </c>
      <c r="D7" t="s">
        <v>11</v>
      </c>
      <c r="E7">
        <v>56</v>
      </c>
      <c r="F7" t="s">
        <v>7</v>
      </c>
    </row>
    <row r="8" spans="1:10" x14ac:dyDescent="0.2">
      <c r="A8">
        <v>7</v>
      </c>
      <c r="B8" t="s">
        <v>10</v>
      </c>
      <c r="C8" t="b">
        <v>0</v>
      </c>
      <c r="D8" t="s">
        <v>6</v>
      </c>
      <c r="E8">
        <v>62</v>
      </c>
      <c r="F8" t="s">
        <v>9</v>
      </c>
    </row>
    <row r="9" spans="1:10" x14ac:dyDescent="0.2">
      <c r="A9">
        <v>8</v>
      </c>
      <c r="B9" t="s">
        <v>10</v>
      </c>
      <c r="C9" t="b">
        <v>0</v>
      </c>
      <c r="D9" t="s">
        <v>11</v>
      </c>
      <c r="E9">
        <v>57</v>
      </c>
      <c r="F9" t="s">
        <v>7</v>
      </c>
    </row>
    <row r="10" spans="1:10" x14ac:dyDescent="0.2">
      <c r="A10">
        <v>9</v>
      </c>
      <c r="B10" t="s">
        <v>5</v>
      </c>
      <c r="C10" t="b">
        <v>0</v>
      </c>
      <c r="D10" t="s">
        <v>8</v>
      </c>
      <c r="E10">
        <v>63</v>
      </c>
      <c r="F10" t="s">
        <v>9</v>
      </c>
    </row>
    <row r="11" spans="1:10" x14ac:dyDescent="0.2">
      <c r="A11">
        <v>10</v>
      </c>
      <c r="B11" t="s">
        <v>5</v>
      </c>
      <c r="C11" t="b">
        <v>1</v>
      </c>
      <c r="D11" t="s">
        <v>6</v>
      </c>
      <c r="E11">
        <v>53</v>
      </c>
      <c r="F11" t="s">
        <v>9</v>
      </c>
    </row>
    <row r="12" spans="1:10" x14ac:dyDescent="0.2">
      <c r="A12">
        <v>11</v>
      </c>
      <c r="B12" t="s">
        <v>5</v>
      </c>
      <c r="C12" t="b">
        <v>0</v>
      </c>
      <c r="D12" t="s">
        <v>8</v>
      </c>
      <c r="E12">
        <v>57</v>
      </c>
      <c r="F12" t="s">
        <v>7</v>
      </c>
    </row>
    <row r="13" spans="1:10" x14ac:dyDescent="0.2">
      <c r="A13">
        <v>12</v>
      </c>
      <c r="B13" t="s">
        <v>10</v>
      </c>
      <c r="C13" t="b">
        <v>0</v>
      </c>
      <c r="D13" t="s">
        <v>8</v>
      </c>
      <c r="E13">
        <v>56</v>
      </c>
      <c r="F13" t="s">
        <v>7</v>
      </c>
    </row>
    <row r="14" spans="1:10" x14ac:dyDescent="0.2">
      <c r="A14">
        <v>13</v>
      </c>
      <c r="B14" t="s">
        <v>5</v>
      </c>
      <c r="C14" t="b">
        <v>1</v>
      </c>
      <c r="D14" t="s">
        <v>8</v>
      </c>
      <c r="E14">
        <v>56</v>
      </c>
      <c r="F14" t="s">
        <v>9</v>
      </c>
    </row>
    <row r="15" spans="1:10" x14ac:dyDescent="0.2">
      <c r="A15">
        <v>14</v>
      </c>
      <c r="B15" t="s">
        <v>5</v>
      </c>
      <c r="C15" t="b">
        <v>0</v>
      </c>
      <c r="D15" t="s">
        <v>11</v>
      </c>
      <c r="E15">
        <v>44</v>
      </c>
      <c r="F15" t="s">
        <v>7</v>
      </c>
    </row>
    <row r="16" spans="1:10" x14ac:dyDescent="0.2">
      <c r="A16">
        <v>15</v>
      </c>
      <c r="B16" t="s">
        <v>5</v>
      </c>
      <c r="C16" t="b">
        <v>1</v>
      </c>
      <c r="D16" t="s">
        <v>11</v>
      </c>
      <c r="E16">
        <v>52</v>
      </c>
      <c r="F16" t="s">
        <v>7</v>
      </c>
    </row>
    <row r="17" spans="1:6" x14ac:dyDescent="0.2">
      <c r="A17">
        <v>16</v>
      </c>
      <c r="B17" t="s">
        <v>5</v>
      </c>
      <c r="C17" t="b">
        <v>0</v>
      </c>
      <c r="D17" t="s">
        <v>11</v>
      </c>
      <c r="E17">
        <v>57</v>
      </c>
      <c r="F17" t="s">
        <v>7</v>
      </c>
    </row>
    <row r="18" spans="1:6" x14ac:dyDescent="0.2">
      <c r="A18">
        <v>17</v>
      </c>
      <c r="B18" t="s">
        <v>5</v>
      </c>
      <c r="C18" t="b">
        <v>0</v>
      </c>
      <c r="D18" t="s">
        <v>6</v>
      </c>
      <c r="E18">
        <v>48</v>
      </c>
      <c r="F18" t="s">
        <v>9</v>
      </c>
    </row>
    <row r="19" spans="1:6" x14ac:dyDescent="0.2">
      <c r="A19">
        <v>18</v>
      </c>
      <c r="B19" t="s">
        <v>5</v>
      </c>
      <c r="C19" t="b">
        <v>0</v>
      </c>
      <c r="D19" t="s">
        <v>11</v>
      </c>
      <c r="E19">
        <v>54</v>
      </c>
      <c r="F19" t="s">
        <v>7</v>
      </c>
    </row>
    <row r="20" spans="1:6" x14ac:dyDescent="0.2">
      <c r="A20">
        <v>19</v>
      </c>
      <c r="B20" t="s">
        <v>10</v>
      </c>
      <c r="C20" t="b">
        <v>0</v>
      </c>
      <c r="D20" t="s">
        <v>11</v>
      </c>
      <c r="E20">
        <v>48</v>
      </c>
      <c r="F20" t="s">
        <v>7</v>
      </c>
    </row>
    <row r="21" spans="1:6" x14ac:dyDescent="0.2">
      <c r="A21">
        <v>20</v>
      </c>
      <c r="B21" t="s">
        <v>5</v>
      </c>
      <c r="C21" t="b">
        <v>0</v>
      </c>
      <c r="D21" t="s">
        <v>11</v>
      </c>
      <c r="E21">
        <v>49</v>
      </c>
      <c r="F21" t="s">
        <v>7</v>
      </c>
    </row>
    <row r="22" spans="1:6" x14ac:dyDescent="0.2">
      <c r="A22">
        <v>21</v>
      </c>
      <c r="B22" t="s">
        <v>5</v>
      </c>
      <c r="C22" t="b">
        <v>0</v>
      </c>
      <c r="D22" t="s">
        <v>8</v>
      </c>
      <c r="E22">
        <v>64</v>
      </c>
      <c r="F22" t="s">
        <v>7</v>
      </c>
    </row>
    <row r="23" spans="1:6" x14ac:dyDescent="0.2">
      <c r="A23">
        <v>22</v>
      </c>
      <c r="B23" t="s">
        <v>10</v>
      </c>
      <c r="C23" t="b">
        <v>1</v>
      </c>
      <c r="D23" t="s">
        <v>11</v>
      </c>
      <c r="E23">
        <v>58</v>
      </c>
      <c r="F23" t="s">
        <v>7</v>
      </c>
    </row>
    <row r="24" spans="1:6" x14ac:dyDescent="0.2">
      <c r="A24">
        <v>23</v>
      </c>
      <c r="B24" t="s">
        <v>5</v>
      </c>
      <c r="C24" t="b">
        <v>0</v>
      </c>
      <c r="D24" t="s">
        <v>8</v>
      </c>
      <c r="E24">
        <v>58</v>
      </c>
      <c r="F24" t="s">
        <v>9</v>
      </c>
    </row>
    <row r="25" spans="1:6" x14ac:dyDescent="0.2">
      <c r="A25">
        <v>24</v>
      </c>
      <c r="B25" t="s">
        <v>5</v>
      </c>
      <c r="C25" t="b">
        <v>0</v>
      </c>
      <c r="D25" t="s">
        <v>11</v>
      </c>
      <c r="E25">
        <v>58</v>
      </c>
      <c r="F25" t="s">
        <v>9</v>
      </c>
    </row>
    <row r="26" spans="1:6" x14ac:dyDescent="0.2">
      <c r="A26">
        <v>25</v>
      </c>
      <c r="B26" t="s">
        <v>5</v>
      </c>
      <c r="C26" t="b">
        <v>0</v>
      </c>
      <c r="D26" t="s">
        <v>8</v>
      </c>
      <c r="E26">
        <v>60</v>
      </c>
      <c r="F26" t="s">
        <v>9</v>
      </c>
    </row>
    <row r="27" spans="1:6" x14ac:dyDescent="0.2">
      <c r="A27">
        <v>26</v>
      </c>
      <c r="B27" t="s">
        <v>10</v>
      </c>
      <c r="C27" t="b">
        <v>0</v>
      </c>
      <c r="D27" t="s">
        <v>8</v>
      </c>
      <c r="E27">
        <v>50</v>
      </c>
      <c r="F27" t="s">
        <v>7</v>
      </c>
    </row>
    <row r="28" spans="1:6" x14ac:dyDescent="0.2">
      <c r="A28">
        <v>27</v>
      </c>
      <c r="B28" t="s">
        <v>10</v>
      </c>
      <c r="C28" t="b">
        <v>0</v>
      </c>
      <c r="D28" t="s">
        <v>11</v>
      </c>
      <c r="E28">
        <v>58</v>
      </c>
      <c r="F28" t="s">
        <v>7</v>
      </c>
    </row>
    <row r="29" spans="1:6" x14ac:dyDescent="0.2">
      <c r="A29">
        <v>28</v>
      </c>
      <c r="B29" t="s">
        <v>10</v>
      </c>
      <c r="C29" t="b">
        <v>0</v>
      </c>
      <c r="D29" t="s">
        <v>6</v>
      </c>
      <c r="E29">
        <v>66</v>
      </c>
      <c r="F29" t="s">
        <v>7</v>
      </c>
    </row>
    <row r="30" spans="1:6" x14ac:dyDescent="0.2">
      <c r="A30">
        <v>29</v>
      </c>
      <c r="B30" t="s">
        <v>5</v>
      </c>
      <c r="C30" t="b">
        <v>0</v>
      </c>
      <c r="D30" t="s">
        <v>11</v>
      </c>
      <c r="E30">
        <v>43</v>
      </c>
      <c r="F30" t="s">
        <v>7</v>
      </c>
    </row>
    <row r="31" spans="1:6" x14ac:dyDescent="0.2">
      <c r="A31">
        <v>30</v>
      </c>
      <c r="B31" t="s">
        <v>5</v>
      </c>
      <c r="C31" t="b">
        <v>0</v>
      </c>
      <c r="D31" t="s">
        <v>8</v>
      </c>
      <c r="E31">
        <v>40</v>
      </c>
      <c r="F31" t="s">
        <v>9</v>
      </c>
    </row>
    <row r="32" spans="1:6" x14ac:dyDescent="0.2">
      <c r="A32">
        <v>31</v>
      </c>
      <c r="B32" t="s">
        <v>10</v>
      </c>
      <c r="C32" t="b">
        <v>0</v>
      </c>
      <c r="D32" t="s">
        <v>11</v>
      </c>
      <c r="E32">
        <v>69</v>
      </c>
      <c r="F32" t="s">
        <v>7</v>
      </c>
    </row>
    <row r="33" spans="1:6" x14ac:dyDescent="0.2">
      <c r="A33">
        <v>32</v>
      </c>
      <c r="B33" t="s">
        <v>5</v>
      </c>
      <c r="C33" t="b">
        <v>1</v>
      </c>
      <c r="D33" t="s">
        <v>11</v>
      </c>
      <c r="E33">
        <v>60</v>
      </c>
      <c r="F33" t="s">
        <v>9</v>
      </c>
    </row>
    <row r="34" spans="1:6" x14ac:dyDescent="0.2">
      <c r="A34">
        <v>33</v>
      </c>
      <c r="B34" t="s">
        <v>5</v>
      </c>
      <c r="C34" t="b">
        <v>0</v>
      </c>
      <c r="D34" t="s">
        <v>11</v>
      </c>
      <c r="E34">
        <v>64</v>
      </c>
      <c r="F34" t="s">
        <v>9</v>
      </c>
    </row>
    <row r="35" spans="1:6" x14ac:dyDescent="0.2">
      <c r="A35">
        <v>34</v>
      </c>
      <c r="B35" t="s">
        <v>5</v>
      </c>
      <c r="C35" t="b">
        <v>0</v>
      </c>
      <c r="D35" t="s">
        <v>8</v>
      </c>
      <c r="E35">
        <v>59</v>
      </c>
      <c r="F35" t="s">
        <v>7</v>
      </c>
    </row>
    <row r="36" spans="1:6" x14ac:dyDescent="0.2">
      <c r="A36">
        <v>35</v>
      </c>
      <c r="B36" t="s">
        <v>5</v>
      </c>
      <c r="C36" t="b">
        <v>0</v>
      </c>
      <c r="D36" t="s">
        <v>11</v>
      </c>
      <c r="E36">
        <v>44</v>
      </c>
      <c r="F36" t="s">
        <v>7</v>
      </c>
    </row>
    <row r="37" spans="1:6" x14ac:dyDescent="0.2">
      <c r="A37">
        <v>36</v>
      </c>
      <c r="B37" t="s">
        <v>5</v>
      </c>
      <c r="C37" t="b">
        <v>0</v>
      </c>
      <c r="D37" t="s">
        <v>11</v>
      </c>
      <c r="E37">
        <v>42</v>
      </c>
      <c r="F37" t="s">
        <v>7</v>
      </c>
    </row>
    <row r="38" spans="1:6" x14ac:dyDescent="0.2">
      <c r="A38">
        <v>37</v>
      </c>
      <c r="B38" t="s">
        <v>5</v>
      </c>
      <c r="C38" t="b">
        <v>0</v>
      </c>
      <c r="D38" t="s">
        <v>8</v>
      </c>
      <c r="E38">
        <v>43</v>
      </c>
      <c r="F38" t="s">
        <v>9</v>
      </c>
    </row>
    <row r="39" spans="1:6" x14ac:dyDescent="0.2">
      <c r="A39">
        <v>38</v>
      </c>
      <c r="B39" t="s">
        <v>5</v>
      </c>
      <c r="C39" t="b">
        <v>0</v>
      </c>
      <c r="D39" t="s">
        <v>8</v>
      </c>
      <c r="E39">
        <v>57</v>
      </c>
      <c r="F39" t="s">
        <v>9</v>
      </c>
    </row>
    <row r="40" spans="1:6" x14ac:dyDescent="0.2">
      <c r="A40">
        <v>39</v>
      </c>
      <c r="B40" t="s">
        <v>5</v>
      </c>
      <c r="C40" t="b">
        <v>0</v>
      </c>
      <c r="D40" t="s">
        <v>8</v>
      </c>
      <c r="E40">
        <v>55</v>
      </c>
      <c r="F40" t="s">
        <v>9</v>
      </c>
    </row>
    <row r="41" spans="1:6" x14ac:dyDescent="0.2">
      <c r="A41">
        <v>40</v>
      </c>
      <c r="B41" t="s">
        <v>5</v>
      </c>
      <c r="C41" t="b">
        <v>1</v>
      </c>
      <c r="D41" t="s">
        <v>8</v>
      </c>
      <c r="E41">
        <v>61</v>
      </c>
      <c r="F41" t="s">
        <v>7</v>
      </c>
    </row>
    <row r="42" spans="1:6" x14ac:dyDescent="0.2">
      <c r="A42">
        <v>41</v>
      </c>
      <c r="B42" t="s">
        <v>10</v>
      </c>
      <c r="C42" t="b">
        <v>0</v>
      </c>
      <c r="D42" t="s">
        <v>8</v>
      </c>
      <c r="E42">
        <v>65</v>
      </c>
      <c r="F42" t="s">
        <v>9</v>
      </c>
    </row>
    <row r="43" spans="1:6" x14ac:dyDescent="0.2">
      <c r="A43">
        <v>42</v>
      </c>
      <c r="B43" t="s">
        <v>5</v>
      </c>
      <c r="C43" t="b">
        <v>0</v>
      </c>
      <c r="D43" t="s">
        <v>11</v>
      </c>
      <c r="E43">
        <v>40</v>
      </c>
      <c r="F43" t="s">
        <v>7</v>
      </c>
    </row>
    <row r="44" spans="1:6" x14ac:dyDescent="0.2">
      <c r="A44">
        <v>43</v>
      </c>
      <c r="B44" t="s">
        <v>10</v>
      </c>
      <c r="C44" t="b">
        <v>0</v>
      </c>
      <c r="D44" t="s">
        <v>11</v>
      </c>
      <c r="E44">
        <v>71</v>
      </c>
      <c r="F44" t="s">
        <v>7</v>
      </c>
    </row>
    <row r="45" spans="1:6" x14ac:dyDescent="0.2">
      <c r="A45">
        <v>44</v>
      </c>
      <c r="B45" t="s">
        <v>5</v>
      </c>
      <c r="C45" t="b">
        <v>1</v>
      </c>
      <c r="D45" t="s">
        <v>11</v>
      </c>
      <c r="E45">
        <v>59</v>
      </c>
      <c r="F45" t="s">
        <v>7</v>
      </c>
    </row>
    <row r="46" spans="1:6" x14ac:dyDescent="0.2">
      <c r="A46">
        <v>45</v>
      </c>
      <c r="B46" t="s">
        <v>10</v>
      </c>
      <c r="C46" t="b">
        <v>0</v>
      </c>
      <c r="D46" t="s">
        <v>11</v>
      </c>
      <c r="E46">
        <v>61</v>
      </c>
      <c r="F46" t="s">
        <v>9</v>
      </c>
    </row>
    <row r="47" spans="1:6" x14ac:dyDescent="0.2">
      <c r="A47">
        <v>46</v>
      </c>
      <c r="B47" t="s">
        <v>5</v>
      </c>
      <c r="C47" t="b">
        <v>0</v>
      </c>
      <c r="D47" t="s">
        <v>8</v>
      </c>
      <c r="E47">
        <v>58</v>
      </c>
      <c r="F47" t="s">
        <v>9</v>
      </c>
    </row>
    <row r="48" spans="1:6" x14ac:dyDescent="0.2">
      <c r="A48">
        <v>47</v>
      </c>
      <c r="B48" t="s">
        <v>5</v>
      </c>
      <c r="C48" t="b">
        <v>0</v>
      </c>
      <c r="D48" t="s">
        <v>11</v>
      </c>
      <c r="E48">
        <v>51</v>
      </c>
      <c r="F48" t="s">
        <v>7</v>
      </c>
    </row>
    <row r="49" spans="1:6" x14ac:dyDescent="0.2">
      <c r="A49">
        <v>48</v>
      </c>
      <c r="B49" t="s">
        <v>5</v>
      </c>
      <c r="C49" t="b">
        <v>0</v>
      </c>
      <c r="D49" t="s">
        <v>8</v>
      </c>
      <c r="E49">
        <v>50</v>
      </c>
      <c r="F49" t="s">
        <v>9</v>
      </c>
    </row>
    <row r="50" spans="1:6" x14ac:dyDescent="0.2">
      <c r="A50">
        <v>49</v>
      </c>
      <c r="B50" t="s">
        <v>10</v>
      </c>
      <c r="C50" t="b">
        <v>1</v>
      </c>
      <c r="D50" t="s">
        <v>11</v>
      </c>
      <c r="E50">
        <v>65</v>
      </c>
      <c r="F50" t="s">
        <v>7</v>
      </c>
    </row>
    <row r="51" spans="1:6" x14ac:dyDescent="0.2">
      <c r="A51">
        <v>50</v>
      </c>
      <c r="B51" t="s">
        <v>5</v>
      </c>
      <c r="C51" t="b">
        <v>1</v>
      </c>
      <c r="D51" t="s">
        <v>6</v>
      </c>
      <c r="E51">
        <v>53</v>
      </c>
      <c r="F51" t="s">
        <v>7</v>
      </c>
    </row>
    <row r="52" spans="1:6" x14ac:dyDescent="0.2">
      <c r="A52">
        <v>51</v>
      </c>
      <c r="B52" t="s">
        <v>10</v>
      </c>
      <c r="C52" t="b">
        <v>0</v>
      </c>
      <c r="D52" t="s">
        <v>11</v>
      </c>
      <c r="E52">
        <v>41</v>
      </c>
      <c r="F52" t="s">
        <v>7</v>
      </c>
    </row>
    <row r="53" spans="1:6" x14ac:dyDescent="0.2">
      <c r="A53">
        <v>52</v>
      </c>
      <c r="B53" t="s">
        <v>5</v>
      </c>
      <c r="C53" t="b">
        <v>0</v>
      </c>
      <c r="D53" t="s">
        <v>11</v>
      </c>
      <c r="E53">
        <v>65</v>
      </c>
      <c r="F53" t="s">
        <v>7</v>
      </c>
    </row>
    <row r="54" spans="1:6" x14ac:dyDescent="0.2">
      <c r="A54">
        <v>53</v>
      </c>
      <c r="B54" t="s">
        <v>5</v>
      </c>
      <c r="C54" t="b">
        <v>0</v>
      </c>
      <c r="D54" t="s">
        <v>11</v>
      </c>
      <c r="E54">
        <v>44</v>
      </c>
      <c r="F54" t="s">
        <v>9</v>
      </c>
    </row>
    <row r="55" spans="1:6" x14ac:dyDescent="0.2">
      <c r="A55">
        <v>54</v>
      </c>
      <c r="B55" t="s">
        <v>5</v>
      </c>
      <c r="C55" t="b">
        <v>0</v>
      </c>
      <c r="D55" t="s">
        <v>11</v>
      </c>
      <c r="E55">
        <v>44</v>
      </c>
      <c r="F55" t="s">
        <v>7</v>
      </c>
    </row>
    <row r="56" spans="1:6" x14ac:dyDescent="0.2">
      <c r="A56">
        <v>55</v>
      </c>
      <c r="B56" t="s">
        <v>5</v>
      </c>
      <c r="C56" t="b">
        <v>0</v>
      </c>
      <c r="D56" t="s">
        <v>11</v>
      </c>
      <c r="E56">
        <v>60</v>
      </c>
      <c r="F56" t="s">
        <v>9</v>
      </c>
    </row>
    <row r="57" spans="1:6" x14ac:dyDescent="0.2">
      <c r="A57">
        <v>56</v>
      </c>
      <c r="B57" t="s">
        <v>5</v>
      </c>
      <c r="C57" t="b">
        <v>0</v>
      </c>
      <c r="D57" t="s">
        <v>8</v>
      </c>
      <c r="E57">
        <v>54</v>
      </c>
      <c r="F57" t="s">
        <v>9</v>
      </c>
    </row>
    <row r="58" spans="1:6" x14ac:dyDescent="0.2">
      <c r="A58">
        <v>57</v>
      </c>
      <c r="B58" t="s">
        <v>5</v>
      </c>
      <c r="C58" t="b">
        <v>0</v>
      </c>
      <c r="D58" t="s">
        <v>8</v>
      </c>
      <c r="E58">
        <v>50</v>
      </c>
      <c r="F58" t="s">
        <v>9</v>
      </c>
    </row>
    <row r="59" spans="1:6" x14ac:dyDescent="0.2">
      <c r="A59">
        <v>58</v>
      </c>
      <c r="B59" t="s">
        <v>5</v>
      </c>
      <c r="C59" t="b">
        <v>0</v>
      </c>
      <c r="D59" t="s">
        <v>11</v>
      </c>
      <c r="E59">
        <v>41</v>
      </c>
      <c r="F59" t="s">
        <v>9</v>
      </c>
    </row>
    <row r="60" spans="1:6" x14ac:dyDescent="0.2">
      <c r="A60">
        <v>59</v>
      </c>
      <c r="B60" t="s">
        <v>5</v>
      </c>
      <c r="C60" t="b">
        <v>0</v>
      </c>
      <c r="D60" t="s">
        <v>6</v>
      </c>
      <c r="E60">
        <v>54</v>
      </c>
      <c r="F60" t="s">
        <v>7</v>
      </c>
    </row>
    <row r="61" spans="1:6" x14ac:dyDescent="0.2">
      <c r="A61">
        <v>60</v>
      </c>
      <c r="B61" t="s">
        <v>5</v>
      </c>
      <c r="C61" t="b">
        <v>0</v>
      </c>
      <c r="D61" t="s">
        <v>11</v>
      </c>
      <c r="E61">
        <v>51</v>
      </c>
      <c r="F61" t="s">
        <v>7</v>
      </c>
    </row>
    <row r="62" spans="1:6" x14ac:dyDescent="0.2">
      <c r="A62">
        <v>61</v>
      </c>
      <c r="B62" t="s">
        <v>10</v>
      </c>
      <c r="C62" t="b">
        <v>0</v>
      </c>
      <c r="D62" t="s">
        <v>8</v>
      </c>
      <c r="E62">
        <v>51</v>
      </c>
      <c r="F62" t="s">
        <v>9</v>
      </c>
    </row>
    <row r="63" spans="1:6" x14ac:dyDescent="0.2">
      <c r="A63">
        <v>62</v>
      </c>
      <c r="B63" t="s">
        <v>10</v>
      </c>
      <c r="C63" t="b">
        <v>0</v>
      </c>
      <c r="D63" t="s">
        <v>6</v>
      </c>
      <c r="E63">
        <v>46</v>
      </c>
      <c r="F63" t="s">
        <v>7</v>
      </c>
    </row>
    <row r="64" spans="1:6" x14ac:dyDescent="0.2">
      <c r="A64">
        <v>63</v>
      </c>
      <c r="B64" t="s">
        <v>5</v>
      </c>
      <c r="C64" t="b">
        <v>0</v>
      </c>
      <c r="D64" t="s">
        <v>8</v>
      </c>
      <c r="E64">
        <v>58</v>
      </c>
      <c r="F64" t="s">
        <v>9</v>
      </c>
    </row>
    <row r="65" spans="1:6" x14ac:dyDescent="0.2">
      <c r="A65">
        <v>64</v>
      </c>
      <c r="B65" t="s">
        <v>10</v>
      </c>
      <c r="C65" t="b">
        <v>1</v>
      </c>
      <c r="D65" t="s">
        <v>11</v>
      </c>
      <c r="E65">
        <v>54</v>
      </c>
      <c r="F65" t="s">
        <v>7</v>
      </c>
    </row>
    <row r="66" spans="1:6" x14ac:dyDescent="0.2">
      <c r="A66">
        <v>65</v>
      </c>
      <c r="B66" t="s">
        <v>5</v>
      </c>
      <c r="C66" t="b">
        <v>0</v>
      </c>
      <c r="D66" t="s">
        <v>8</v>
      </c>
      <c r="E66">
        <v>54</v>
      </c>
      <c r="F66" t="s">
        <v>9</v>
      </c>
    </row>
    <row r="67" spans="1:6" x14ac:dyDescent="0.2">
      <c r="A67">
        <v>66</v>
      </c>
      <c r="B67" t="s">
        <v>5</v>
      </c>
      <c r="C67" t="b">
        <v>0</v>
      </c>
      <c r="D67" t="s">
        <v>8</v>
      </c>
      <c r="E67">
        <v>60</v>
      </c>
      <c r="F67" t="s">
        <v>9</v>
      </c>
    </row>
    <row r="68" spans="1:6" x14ac:dyDescent="0.2">
      <c r="A68">
        <v>67</v>
      </c>
      <c r="B68" t="s">
        <v>5</v>
      </c>
      <c r="C68" t="b">
        <v>0</v>
      </c>
      <c r="D68" t="s">
        <v>8</v>
      </c>
      <c r="E68">
        <v>60</v>
      </c>
      <c r="F68" t="s">
        <v>9</v>
      </c>
    </row>
    <row r="69" spans="1:6" x14ac:dyDescent="0.2">
      <c r="A69">
        <v>68</v>
      </c>
      <c r="B69" t="s">
        <v>5</v>
      </c>
      <c r="C69" t="b">
        <v>0</v>
      </c>
      <c r="D69" t="s">
        <v>11</v>
      </c>
      <c r="E69">
        <v>54</v>
      </c>
      <c r="F69" t="s">
        <v>7</v>
      </c>
    </row>
    <row r="70" spans="1:6" x14ac:dyDescent="0.2">
      <c r="A70">
        <v>69</v>
      </c>
      <c r="B70" t="s">
        <v>5</v>
      </c>
      <c r="C70" t="b">
        <v>0</v>
      </c>
      <c r="D70" t="s">
        <v>6</v>
      </c>
      <c r="E70">
        <v>59</v>
      </c>
      <c r="F70" t="s">
        <v>9</v>
      </c>
    </row>
    <row r="71" spans="1:6" x14ac:dyDescent="0.2">
      <c r="A71">
        <v>70</v>
      </c>
      <c r="B71" t="s">
        <v>5</v>
      </c>
      <c r="C71" t="b">
        <v>0</v>
      </c>
      <c r="D71" t="s">
        <v>8</v>
      </c>
      <c r="E71">
        <v>46</v>
      </c>
      <c r="F71" t="s">
        <v>9</v>
      </c>
    </row>
    <row r="72" spans="1:6" x14ac:dyDescent="0.2">
      <c r="A72">
        <v>71</v>
      </c>
      <c r="B72" t="s">
        <v>10</v>
      </c>
      <c r="C72" t="b">
        <v>0</v>
      </c>
      <c r="D72" t="s">
        <v>11</v>
      </c>
      <c r="E72">
        <v>65</v>
      </c>
      <c r="F72" t="s">
        <v>7</v>
      </c>
    </row>
    <row r="73" spans="1:6" x14ac:dyDescent="0.2">
      <c r="A73">
        <v>72</v>
      </c>
      <c r="B73" t="s">
        <v>5</v>
      </c>
      <c r="C73" t="b">
        <v>1</v>
      </c>
      <c r="D73" t="s">
        <v>8</v>
      </c>
      <c r="E73">
        <v>67</v>
      </c>
      <c r="F73" t="s">
        <v>9</v>
      </c>
    </row>
    <row r="74" spans="1:6" x14ac:dyDescent="0.2">
      <c r="A74">
        <v>73</v>
      </c>
      <c r="B74" t="s">
        <v>5</v>
      </c>
      <c r="C74" t="b">
        <v>0</v>
      </c>
      <c r="D74" t="s">
        <v>8</v>
      </c>
      <c r="E74">
        <v>62</v>
      </c>
      <c r="F74" t="s">
        <v>9</v>
      </c>
    </row>
    <row r="75" spans="1:6" x14ac:dyDescent="0.2">
      <c r="A75">
        <v>74</v>
      </c>
      <c r="B75" t="s">
        <v>5</v>
      </c>
      <c r="C75" t="b">
        <v>0</v>
      </c>
      <c r="D75" t="s">
        <v>11</v>
      </c>
      <c r="E75">
        <v>65</v>
      </c>
      <c r="F75" t="s">
        <v>9</v>
      </c>
    </row>
    <row r="76" spans="1:6" x14ac:dyDescent="0.2">
      <c r="A76">
        <v>75</v>
      </c>
      <c r="B76" t="s">
        <v>5</v>
      </c>
      <c r="C76" t="b">
        <v>0</v>
      </c>
      <c r="D76" t="s">
        <v>11</v>
      </c>
      <c r="E76">
        <v>44</v>
      </c>
      <c r="F76" t="s">
        <v>9</v>
      </c>
    </row>
    <row r="77" spans="1:6" x14ac:dyDescent="0.2">
      <c r="A77">
        <v>76</v>
      </c>
      <c r="B77" t="s">
        <v>10</v>
      </c>
      <c r="C77" t="b">
        <v>0</v>
      </c>
      <c r="D77" t="s">
        <v>11</v>
      </c>
      <c r="E77">
        <v>65</v>
      </c>
      <c r="F77" t="s">
        <v>7</v>
      </c>
    </row>
    <row r="78" spans="1:6" x14ac:dyDescent="0.2">
      <c r="A78">
        <v>77</v>
      </c>
      <c r="B78" t="s">
        <v>5</v>
      </c>
      <c r="C78" t="b">
        <v>0</v>
      </c>
      <c r="D78" t="s">
        <v>8</v>
      </c>
      <c r="E78">
        <v>60</v>
      </c>
      <c r="F78" t="s">
        <v>9</v>
      </c>
    </row>
    <row r="79" spans="1:6" x14ac:dyDescent="0.2">
      <c r="A79">
        <v>78</v>
      </c>
      <c r="B79" t="s">
        <v>10</v>
      </c>
      <c r="C79" t="b">
        <v>0</v>
      </c>
      <c r="D79" t="s">
        <v>11</v>
      </c>
      <c r="E79">
        <v>51</v>
      </c>
      <c r="F79" t="s">
        <v>7</v>
      </c>
    </row>
    <row r="80" spans="1:6" x14ac:dyDescent="0.2">
      <c r="A80">
        <v>79</v>
      </c>
      <c r="B80" t="s">
        <v>5</v>
      </c>
      <c r="C80" t="b">
        <v>0</v>
      </c>
      <c r="D80" t="s">
        <v>8</v>
      </c>
      <c r="E80">
        <v>48</v>
      </c>
      <c r="F80" t="s">
        <v>7</v>
      </c>
    </row>
    <row r="81" spans="1:6" x14ac:dyDescent="0.2">
      <c r="A81">
        <v>80</v>
      </c>
      <c r="B81" t="s">
        <v>5</v>
      </c>
      <c r="C81" t="b">
        <v>0</v>
      </c>
      <c r="D81" t="s">
        <v>11</v>
      </c>
      <c r="E81">
        <v>58</v>
      </c>
      <c r="F81" t="s">
        <v>9</v>
      </c>
    </row>
    <row r="82" spans="1:6" x14ac:dyDescent="0.2">
      <c r="A82">
        <v>81</v>
      </c>
      <c r="B82" t="s">
        <v>5</v>
      </c>
      <c r="C82" t="b">
        <v>0</v>
      </c>
      <c r="D82" t="s">
        <v>8</v>
      </c>
      <c r="E82">
        <v>45</v>
      </c>
      <c r="F82" t="s">
        <v>7</v>
      </c>
    </row>
    <row r="83" spans="1:6" x14ac:dyDescent="0.2">
      <c r="A83">
        <v>82</v>
      </c>
      <c r="B83" t="s">
        <v>10</v>
      </c>
      <c r="C83" t="b">
        <v>0</v>
      </c>
      <c r="D83" t="s">
        <v>8</v>
      </c>
      <c r="E83">
        <v>53</v>
      </c>
      <c r="F83" t="s">
        <v>7</v>
      </c>
    </row>
    <row r="84" spans="1:6" x14ac:dyDescent="0.2">
      <c r="A84">
        <v>83</v>
      </c>
      <c r="B84" t="s">
        <v>5</v>
      </c>
      <c r="C84" t="b">
        <v>0</v>
      </c>
      <c r="D84" t="s">
        <v>11</v>
      </c>
      <c r="E84">
        <v>39</v>
      </c>
      <c r="F84" t="s">
        <v>7</v>
      </c>
    </row>
    <row r="85" spans="1:6" x14ac:dyDescent="0.2">
      <c r="A85">
        <v>84</v>
      </c>
      <c r="B85" t="s">
        <v>5</v>
      </c>
      <c r="C85" t="b">
        <v>1</v>
      </c>
      <c r="D85" t="s">
        <v>8</v>
      </c>
      <c r="E85">
        <v>68</v>
      </c>
      <c r="F85" t="s">
        <v>9</v>
      </c>
    </row>
    <row r="86" spans="1:6" x14ac:dyDescent="0.2">
      <c r="A86">
        <v>85</v>
      </c>
      <c r="B86" t="s">
        <v>5</v>
      </c>
      <c r="C86" t="b">
        <v>0</v>
      </c>
      <c r="D86" t="s">
        <v>11</v>
      </c>
      <c r="E86">
        <v>52</v>
      </c>
      <c r="F86" t="s">
        <v>7</v>
      </c>
    </row>
    <row r="87" spans="1:6" x14ac:dyDescent="0.2">
      <c r="A87">
        <v>86</v>
      </c>
      <c r="B87" t="s">
        <v>5</v>
      </c>
      <c r="C87" t="b">
        <v>0</v>
      </c>
      <c r="D87" t="s">
        <v>11</v>
      </c>
      <c r="E87">
        <v>44</v>
      </c>
      <c r="F87" t="s">
        <v>7</v>
      </c>
    </row>
    <row r="88" spans="1:6" x14ac:dyDescent="0.2">
      <c r="A88">
        <v>87</v>
      </c>
      <c r="B88" t="s">
        <v>5</v>
      </c>
      <c r="C88" t="b">
        <v>0</v>
      </c>
      <c r="D88" t="s">
        <v>11</v>
      </c>
      <c r="E88">
        <v>47</v>
      </c>
      <c r="F88" t="s">
        <v>7</v>
      </c>
    </row>
    <row r="89" spans="1:6" x14ac:dyDescent="0.2">
      <c r="A89">
        <v>88</v>
      </c>
      <c r="B89" t="s">
        <v>10</v>
      </c>
      <c r="C89" t="b">
        <v>0</v>
      </c>
      <c r="D89" t="s">
        <v>11</v>
      </c>
      <c r="E89">
        <v>53</v>
      </c>
      <c r="F89" t="s">
        <v>7</v>
      </c>
    </row>
    <row r="90" spans="1:6" x14ac:dyDescent="0.2">
      <c r="A90">
        <v>89</v>
      </c>
      <c r="B90" t="s">
        <v>10</v>
      </c>
      <c r="C90" t="b">
        <v>0</v>
      </c>
      <c r="D90" t="s">
        <v>11</v>
      </c>
      <c r="E90">
        <v>53</v>
      </c>
      <c r="F90" t="s">
        <v>7</v>
      </c>
    </row>
    <row r="91" spans="1:6" x14ac:dyDescent="0.2">
      <c r="A91">
        <v>90</v>
      </c>
      <c r="B91" t="s">
        <v>10</v>
      </c>
      <c r="C91" t="b">
        <v>0</v>
      </c>
      <c r="D91" t="s">
        <v>11</v>
      </c>
      <c r="E91">
        <v>51</v>
      </c>
      <c r="F91" t="s">
        <v>7</v>
      </c>
    </row>
    <row r="92" spans="1:6" x14ac:dyDescent="0.2">
      <c r="A92">
        <v>91</v>
      </c>
      <c r="B92" t="s">
        <v>5</v>
      </c>
      <c r="C92" t="b">
        <v>0</v>
      </c>
      <c r="D92" t="s">
        <v>8</v>
      </c>
      <c r="E92">
        <v>66</v>
      </c>
      <c r="F92" t="s">
        <v>7</v>
      </c>
    </row>
    <row r="93" spans="1:6" x14ac:dyDescent="0.2">
      <c r="A93">
        <v>92</v>
      </c>
      <c r="B93" t="s">
        <v>10</v>
      </c>
      <c r="C93" t="b">
        <v>0</v>
      </c>
      <c r="D93" t="s">
        <v>6</v>
      </c>
      <c r="E93">
        <v>62</v>
      </c>
      <c r="F93" t="s">
        <v>9</v>
      </c>
    </row>
    <row r="94" spans="1:6" x14ac:dyDescent="0.2">
      <c r="A94">
        <v>93</v>
      </c>
      <c r="B94" t="s">
        <v>5</v>
      </c>
      <c r="C94" t="b">
        <v>0</v>
      </c>
      <c r="D94" t="s">
        <v>8</v>
      </c>
      <c r="E94">
        <v>62</v>
      </c>
      <c r="F94" t="s">
        <v>7</v>
      </c>
    </row>
    <row r="95" spans="1:6" x14ac:dyDescent="0.2">
      <c r="A95">
        <v>94</v>
      </c>
      <c r="B95" t="s">
        <v>10</v>
      </c>
      <c r="C95" t="b">
        <v>0</v>
      </c>
      <c r="D95" t="s">
        <v>8</v>
      </c>
      <c r="E95">
        <v>44</v>
      </c>
      <c r="F95" t="s">
        <v>7</v>
      </c>
    </row>
    <row r="96" spans="1:6" x14ac:dyDescent="0.2">
      <c r="A96">
        <v>95</v>
      </c>
      <c r="B96" t="s">
        <v>10</v>
      </c>
      <c r="C96" t="b">
        <v>0</v>
      </c>
      <c r="D96" t="s">
        <v>11</v>
      </c>
      <c r="E96">
        <v>63</v>
      </c>
      <c r="F96" t="s">
        <v>7</v>
      </c>
    </row>
    <row r="97" spans="1:6" x14ac:dyDescent="0.2">
      <c r="A97">
        <v>96</v>
      </c>
      <c r="B97" t="s">
        <v>5</v>
      </c>
      <c r="C97" t="b">
        <v>0</v>
      </c>
      <c r="D97" t="s">
        <v>11</v>
      </c>
      <c r="E97">
        <v>52</v>
      </c>
      <c r="F97" t="s">
        <v>9</v>
      </c>
    </row>
    <row r="98" spans="1:6" x14ac:dyDescent="0.2">
      <c r="A98">
        <v>97</v>
      </c>
      <c r="B98" t="s">
        <v>5</v>
      </c>
      <c r="C98" t="b">
        <v>0</v>
      </c>
      <c r="D98" t="s">
        <v>8</v>
      </c>
      <c r="E98">
        <v>59</v>
      </c>
      <c r="F98" t="s">
        <v>9</v>
      </c>
    </row>
    <row r="99" spans="1:6" x14ac:dyDescent="0.2">
      <c r="A99">
        <v>98</v>
      </c>
      <c r="B99" t="s">
        <v>10</v>
      </c>
      <c r="C99" t="b">
        <v>0</v>
      </c>
      <c r="D99" t="s">
        <v>8</v>
      </c>
      <c r="E99">
        <v>60</v>
      </c>
      <c r="F99" t="s">
        <v>9</v>
      </c>
    </row>
    <row r="100" spans="1:6" x14ac:dyDescent="0.2">
      <c r="A100">
        <v>99</v>
      </c>
      <c r="B100" t="s">
        <v>5</v>
      </c>
      <c r="C100" t="b">
        <v>0</v>
      </c>
      <c r="D100" t="s">
        <v>11</v>
      </c>
      <c r="E100">
        <v>52</v>
      </c>
      <c r="F100" t="s">
        <v>7</v>
      </c>
    </row>
    <row r="101" spans="1:6" x14ac:dyDescent="0.2">
      <c r="A101">
        <v>100</v>
      </c>
      <c r="B101" t="s">
        <v>5</v>
      </c>
      <c r="C101" t="b">
        <v>0</v>
      </c>
      <c r="D101" t="s">
        <v>11</v>
      </c>
      <c r="E101">
        <v>48</v>
      </c>
      <c r="F101" t="s">
        <v>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968E-55AE-DC42-929D-DC08BACA4B30}">
  <sheetPr>
    <tabColor rgb="FF7030A0"/>
  </sheetPr>
  <dimension ref="B4:L87"/>
  <sheetViews>
    <sheetView topLeftCell="A30" zoomScale="85" zoomScaleNormal="85" workbookViewId="0">
      <selection activeCell="D39" sqref="D39"/>
    </sheetView>
  </sheetViews>
  <sheetFormatPr baseColWidth="10" defaultColWidth="10.6640625" defaultRowHeight="16" x14ac:dyDescent="0.2"/>
  <cols>
    <col min="3" max="3" width="23.6640625" style="1" bestFit="1" customWidth="1"/>
    <col min="4" max="4" width="15.33203125" style="1" customWidth="1"/>
    <col min="5" max="9" width="10.83203125" style="1"/>
    <col min="10" max="10" width="11.6640625" bestFit="1" customWidth="1"/>
  </cols>
  <sheetData>
    <row r="4" spans="2:11" ht="21" x14ac:dyDescent="0.25">
      <c r="B4" s="3" t="s">
        <v>0</v>
      </c>
    </row>
    <row r="5" spans="2:11" x14ac:dyDescent="0.2">
      <c r="C5" s="4" t="s">
        <v>33</v>
      </c>
      <c r="D5" s="4" t="s">
        <v>7</v>
      </c>
      <c r="E5" s="4" t="s">
        <v>12</v>
      </c>
      <c r="F5" s="4" t="s">
        <v>13</v>
      </c>
      <c r="G5" s="4" t="s">
        <v>9</v>
      </c>
      <c r="H5" s="4" t="s">
        <v>12</v>
      </c>
      <c r="I5" s="4" t="s">
        <v>13</v>
      </c>
      <c r="J5" s="4" t="s">
        <v>14</v>
      </c>
      <c r="K5" s="4" t="s">
        <v>12</v>
      </c>
    </row>
    <row r="6" spans="2:11" x14ac:dyDescent="0.2">
      <c r="C6" s="4" t="s">
        <v>5</v>
      </c>
      <c r="D6" s="5">
        <f>COUNTIFS(dataset!B$2:'dataset'!B$101,"male",dataset!$F$2:'dataset'!$F$101,"absence")</f>
        <v>34</v>
      </c>
      <c r="E6" s="5">
        <f>D6/$J$8</f>
        <v>0.34</v>
      </c>
      <c r="F6" s="5">
        <f>E6</f>
        <v>0.34</v>
      </c>
      <c r="G6" s="5">
        <f>COUNTIFS(dataset!B$2:'dataset'!B$101,"male",dataset!$F$2:'dataset'!$F$101,"presence")</f>
        <v>37</v>
      </c>
      <c r="H6" s="5">
        <f>G6/$J$8</f>
        <v>0.37</v>
      </c>
      <c r="I6" s="5">
        <f>H6</f>
        <v>0.37</v>
      </c>
      <c r="J6" s="5">
        <f t="shared" ref="J6:J7" si="0">SUM(D6,G6)</f>
        <v>71</v>
      </c>
      <c r="K6" s="5">
        <f>J6/$J$8</f>
        <v>0.71</v>
      </c>
    </row>
    <row r="7" spans="2:11" x14ac:dyDescent="0.2">
      <c r="C7" s="4" t="s">
        <v>10</v>
      </c>
      <c r="D7" s="5">
        <f>COUNTIFS(dataset!B$2:'dataset'!B$101,"female",dataset!$F$2:'dataset'!$F$101,"absence")</f>
        <v>23</v>
      </c>
      <c r="E7" s="5">
        <f>D7/$J$8</f>
        <v>0.23</v>
      </c>
      <c r="F7" s="5">
        <f t="shared" ref="F7" si="1">E7</f>
        <v>0.23</v>
      </c>
      <c r="G7" s="5">
        <f>COUNTIFS(dataset!B$2:'dataset'!B$101,"female",dataset!$F$2:'dataset'!$F$101,"presence")</f>
        <v>6</v>
      </c>
      <c r="H7" s="5">
        <f t="shared" ref="H7:H8" si="2">G7/$J$8</f>
        <v>0.06</v>
      </c>
      <c r="I7" s="5">
        <f t="shared" ref="I7" si="3">H7</f>
        <v>0.06</v>
      </c>
      <c r="J7" s="5">
        <f t="shared" si="0"/>
        <v>29</v>
      </c>
      <c r="K7" s="5">
        <f>J7/$J$8</f>
        <v>0.28999999999999998</v>
      </c>
    </row>
    <row r="8" spans="2:11" x14ac:dyDescent="0.2">
      <c r="C8" s="4" t="s">
        <v>14</v>
      </c>
      <c r="D8" s="5">
        <f t="shared" ref="D8" si="4">SUM(D6:D7)</f>
        <v>57</v>
      </c>
      <c r="E8" s="5">
        <f>D8/$J$8</f>
        <v>0.56999999999999995</v>
      </c>
      <c r="F8" s="5"/>
      <c r="G8" s="5">
        <f>SUM(G6:G7)</f>
        <v>43</v>
      </c>
      <c r="H8" s="5">
        <f t="shared" si="2"/>
        <v>0.43</v>
      </c>
      <c r="I8" s="5"/>
      <c r="J8" s="5">
        <f>SUM(D8,G8)</f>
        <v>100</v>
      </c>
      <c r="K8" s="5"/>
    </row>
    <row r="10" spans="2:11" x14ac:dyDescent="0.2">
      <c r="C10" s="1" t="s">
        <v>15</v>
      </c>
      <c r="D10" s="6">
        <f>E6*LOG(F6/(E8*K6),2)</f>
        <v>-8.544815489908221E-2</v>
      </c>
      <c r="F10" s="1" t="s">
        <v>20</v>
      </c>
      <c r="G10" s="6">
        <f>2*LN(2)*J8*D14</f>
        <v>8.7935708088000606</v>
      </c>
    </row>
    <row r="11" spans="2:11" x14ac:dyDescent="0.2">
      <c r="C11" s="1" t="s">
        <v>16</v>
      </c>
      <c r="D11" s="6">
        <f>F7*LOG(E7/(E8*K7),2)</f>
        <v>0.10960584140406754</v>
      </c>
      <c r="F11" s="1" t="s">
        <v>50</v>
      </c>
      <c r="G11" s="1">
        <v>3.8410000000000002</v>
      </c>
    </row>
    <row r="12" spans="2:11" x14ac:dyDescent="0.2">
      <c r="C12" s="1" t="s">
        <v>17</v>
      </c>
      <c r="D12" s="6">
        <f>H6*LOG(I6/(H8*K6),2)</f>
        <v>0.10260014204285103</v>
      </c>
      <c r="F12" s="1" t="s">
        <v>51</v>
      </c>
      <c r="G12" s="1" t="b">
        <f>IF(G10&gt;G11, TRUE, FALSE)</f>
        <v>1</v>
      </c>
    </row>
    <row r="13" spans="2:11" x14ac:dyDescent="0.2">
      <c r="C13" s="1" t="s">
        <v>18</v>
      </c>
      <c r="D13" s="6">
        <f>I7*LOG(H7/(H8*K7),2)</f>
        <v>-6.3325623560027355E-2</v>
      </c>
    </row>
    <row r="14" spans="2:11" x14ac:dyDescent="0.2">
      <c r="C14" s="1" t="s">
        <v>19</v>
      </c>
      <c r="D14" s="6">
        <f>SUM(D10:D13)</f>
        <v>6.3432204987808993E-2</v>
      </c>
    </row>
    <row r="18" spans="2:12" ht="21" x14ac:dyDescent="0.25">
      <c r="B18" s="10"/>
      <c r="C18" s="9"/>
      <c r="D18" s="9"/>
      <c r="E18" s="9"/>
      <c r="F18" s="9"/>
      <c r="G18" s="9"/>
      <c r="H18" s="9"/>
      <c r="I18" s="9"/>
      <c r="J18" s="8"/>
      <c r="K18" s="8"/>
    </row>
    <row r="19" spans="2:12" ht="21" x14ac:dyDescent="0.25">
      <c r="B19" s="3" t="s">
        <v>1</v>
      </c>
      <c r="L19" s="8"/>
    </row>
    <row r="20" spans="2:12" x14ac:dyDescent="0.2">
      <c r="C20" s="4" t="s">
        <v>34</v>
      </c>
      <c r="D20" s="4" t="s">
        <v>7</v>
      </c>
      <c r="E20" s="4" t="s">
        <v>12</v>
      </c>
      <c r="F20" s="4" t="s">
        <v>13</v>
      </c>
      <c r="G20" s="4" t="s">
        <v>9</v>
      </c>
      <c r="H20" s="4" t="s">
        <v>12</v>
      </c>
      <c r="I20" s="4" t="s">
        <v>13</v>
      </c>
      <c r="J20" s="4" t="s">
        <v>14</v>
      </c>
      <c r="K20" s="4" t="s">
        <v>12</v>
      </c>
      <c r="L20" s="8"/>
    </row>
    <row r="21" spans="2:12" x14ac:dyDescent="0.2">
      <c r="C21" s="4" t="b">
        <v>0</v>
      </c>
      <c r="D21" s="5">
        <f>COUNTIFS(dataset!C$2:'dataset'!C$101,"FALSE",dataset!$F$2:'dataset'!$F$101,"absence")</f>
        <v>49</v>
      </c>
      <c r="E21" s="5">
        <f>D21/$J$23</f>
        <v>0.49</v>
      </c>
      <c r="F21" s="5">
        <f>E21</f>
        <v>0.49</v>
      </c>
      <c r="G21" s="5">
        <f>COUNTIFS(dataset!C$2:'dataset'!C$101,"FALSE",dataset!$F$2:'dataset'!$F$101,"presence")</f>
        <v>38</v>
      </c>
      <c r="H21" s="5">
        <f>G21/$J$23</f>
        <v>0.38</v>
      </c>
      <c r="I21" s="5">
        <f>H21</f>
        <v>0.38</v>
      </c>
      <c r="J21" s="5">
        <f t="shared" ref="J21:J22" si="5">SUM(D21,G21)</f>
        <v>87</v>
      </c>
      <c r="K21" s="5">
        <f>J21/$J$8</f>
        <v>0.87</v>
      </c>
      <c r="L21" s="8"/>
    </row>
    <row r="22" spans="2:12" x14ac:dyDescent="0.2">
      <c r="C22" s="4" t="b">
        <v>1</v>
      </c>
      <c r="D22" s="5">
        <f>COUNTIFS(dataset!C$2:'dataset'!C$101,"TRUE",dataset!$F$2:'dataset'!$F$101,"absence")</f>
        <v>8</v>
      </c>
      <c r="E22" s="5">
        <f>D22/$J$23</f>
        <v>0.08</v>
      </c>
      <c r="F22" s="5">
        <f t="shared" ref="F22" si="6">E22</f>
        <v>0.08</v>
      </c>
      <c r="G22" s="5">
        <f>COUNTIFS(dataset!C$2:'dataset'!C$101,"TRUE",dataset!$F$2:'dataset'!$F$101,"presence")</f>
        <v>5</v>
      </c>
      <c r="H22" s="5">
        <f>G22/$J$23</f>
        <v>0.05</v>
      </c>
      <c r="I22" s="5">
        <f t="shared" ref="I22" si="7">H22</f>
        <v>0.05</v>
      </c>
      <c r="J22" s="5">
        <f t="shared" si="5"/>
        <v>13</v>
      </c>
      <c r="K22" s="5">
        <f>J22/$J$8</f>
        <v>0.13</v>
      </c>
      <c r="L22" s="8"/>
    </row>
    <row r="23" spans="2:12" x14ac:dyDescent="0.2">
      <c r="C23" s="4" t="s">
        <v>14</v>
      </c>
      <c r="D23" s="5">
        <f t="shared" ref="D23" si="8">SUM(D21:D22)</f>
        <v>57</v>
      </c>
      <c r="E23" s="5">
        <f>D23/$J$8</f>
        <v>0.56999999999999995</v>
      </c>
      <c r="F23" s="5"/>
      <c r="G23" s="5">
        <f>SUM(G21:G22)</f>
        <v>43</v>
      </c>
      <c r="H23" s="5">
        <f t="shared" ref="H23" si="9">G23/$J$8</f>
        <v>0.43</v>
      </c>
      <c r="I23" s="5"/>
      <c r="J23" s="5">
        <f>SUM(D23,G23)</f>
        <v>100</v>
      </c>
      <c r="K23" s="5"/>
      <c r="L23" s="8"/>
    </row>
    <row r="24" spans="2:12" x14ac:dyDescent="0.2">
      <c r="L24" s="8"/>
    </row>
    <row r="25" spans="2:12" x14ac:dyDescent="0.2">
      <c r="C25" s="1" t="s">
        <v>21</v>
      </c>
      <c r="D25" s="6">
        <f>E21*LOG(F21/(E23*K21),2)</f>
        <v>-8.4610633005330928E-3</v>
      </c>
      <c r="F25" s="1" t="s">
        <v>20</v>
      </c>
      <c r="G25" s="6">
        <f>2*LN(2)*J23*D29</f>
        <v>0.1266679202007881</v>
      </c>
    </row>
    <row r="26" spans="2:12" x14ac:dyDescent="0.2">
      <c r="C26" s="1" t="s">
        <v>23</v>
      </c>
      <c r="D26" s="6">
        <f>F22*LOG(E22/(E23*K22),2)</f>
        <v>8.8421165975112667E-3</v>
      </c>
      <c r="F26" s="1" t="s">
        <v>50</v>
      </c>
      <c r="G26" s="1">
        <v>3.8410000000000002</v>
      </c>
    </row>
    <row r="27" spans="2:12" x14ac:dyDescent="0.2">
      <c r="C27" s="1" t="s">
        <v>22</v>
      </c>
      <c r="D27" s="6">
        <f>H21*LOG(I21/(H23*K21),2)</f>
        <v>8.578672013643953E-3</v>
      </c>
      <c r="F27" s="1" t="s">
        <v>51</v>
      </c>
      <c r="G27" s="1" t="b">
        <f>IF(G25&gt;G26, TRUE, FALSE)</f>
        <v>0</v>
      </c>
    </row>
    <row r="28" spans="2:12" x14ac:dyDescent="0.2">
      <c r="C28" s="1" t="s">
        <v>24</v>
      </c>
      <c r="D28" s="6">
        <f>I22*LOG(H22/(H23*K22),2)</f>
        <v>-8.0460094090551472E-3</v>
      </c>
    </row>
    <row r="29" spans="2:12" x14ac:dyDescent="0.2">
      <c r="C29" s="1" t="s">
        <v>25</v>
      </c>
      <c r="D29" s="6">
        <f>SUM(D25:D28)</f>
        <v>9.1371590156697977E-4</v>
      </c>
    </row>
    <row r="34" spans="2:11" ht="21" x14ac:dyDescent="0.25">
      <c r="B34" s="3" t="s">
        <v>2</v>
      </c>
    </row>
    <row r="35" spans="2:11" x14ac:dyDescent="0.2">
      <c r="C35" s="4" t="s">
        <v>35</v>
      </c>
      <c r="D35" s="4" t="s">
        <v>7</v>
      </c>
      <c r="E35" s="4" t="s">
        <v>12</v>
      </c>
      <c r="F35" s="4" t="s">
        <v>13</v>
      </c>
      <c r="G35" s="4" t="s">
        <v>9</v>
      </c>
      <c r="H35" s="4" t="s">
        <v>12</v>
      </c>
      <c r="I35" s="4" t="s">
        <v>13</v>
      </c>
      <c r="J35" s="4" t="s">
        <v>14</v>
      </c>
      <c r="K35" s="4" t="s">
        <v>12</v>
      </c>
    </row>
    <row r="36" spans="2:11" x14ac:dyDescent="0.2">
      <c r="C36" s="4" t="s">
        <v>11</v>
      </c>
      <c r="D36" s="5">
        <f>COUNTIFS(dataset!D$2:'dataset'!D$101,"upsloping",dataset!$F$2:'dataset'!$F$101,"absence")</f>
        <v>39</v>
      </c>
      <c r="E36" s="5">
        <f>D36/$J$39</f>
        <v>0.39</v>
      </c>
      <c r="F36" s="5">
        <f>E36</f>
        <v>0.39</v>
      </c>
      <c r="G36" s="5">
        <f>COUNTIFS(dataset!D$2:'dataset'!D$101,"upsloping",dataset!$F$2:'dataset'!$F$101,"presence")</f>
        <v>11</v>
      </c>
      <c r="H36" s="5">
        <f>G36/$J$39</f>
        <v>0.11</v>
      </c>
      <c r="I36" s="5">
        <f>H36</f>
        <v>0.11</v>
      </c>
      <c r="J36" s="5">
        <f>SUM(G36,D36)</f>
        <v>50</v>
      </c>
      <c r="K36" s="5">
        <f>J36/$J$8</f>
        <v>0.5</v>
      </c>
    </row>
    <row r="37" spans="2:11" x14ac:dyDescent="0.2">
      <c r="C37" s="4" t="s">
        <v>8</v>
      </c>
      <c r="D37" s="5">
        <f>COUNTIFS(dataset!D$2:'dataset'!D$101,"flat",dataset!$F$2:'dataset'!$F$101,"absence")</f>
        <v>12</v>
      </c>
      <c r="E37" s="5">
        <f>D37/$J$39</f>
        <v>0.12</v>
      </c>
      <c r="F37" s="5">
        <f t="shared" ref="F37:F38" si="10">E37</f>
        <v>0.12</v>
      </c>
      <c r="G37" s="5">
        <f>COUNTIFS(dataset!D$2:'dataset'!D$101,"flat",dataset!$F$2:'dataset'!$F$101,"presence")</f>
        <v>27</v>
      </c>
      <c r="H37" s="5">
        <f t="shared" ref="H37" si="11">G37/$J$39</f>
        <v>0.27</v>
      </c>
      <c r="I37" s="5">
        <f t="shared" ref="I37" si="12">H37</f>
        <v>0.27</v>
      </c>
      <c r="J37" s="5">
        <f>SUM(G37,D37)</f>
        <v>39</v>
      </c>
      <c r="K37" s="5">
        <f>J37/$J$8</f>
        <v>0.39</v>
      </c>
    </row>
    <row r="38" spans="2:11" x14ac:dyDescent="0.2">
      <c r="C38" s="4" t="s">
        <v>6</v>
      </c>
      <c r="D38" s="5">
        <f>COUNTIFS(dataset!D$2:'dataset'!D$101,"downsloping",dataset!$F$2:'dataset'!$F$101,"absence")</f>
        <v>6</v>
      </c>
      <c r="E38" s="5">
        <f t="shared" ref="E38" si="13">D38/$J$39</f>
        <v>0.06</v>
      </c>
      <c r="F38" s="5">
        <f t="shared" si="10"/>
        <v>0.06</v>
      </c>
      <c r="G38" s="5">
        <f>COUNTIFS(dataset!D$2:'dataset'!D$101,"downsloping",dataset!$F$2:'dataset'!$F$101,"presence")</f>
        <v>5</v>
      </c>
      <c r="H38" s="5">
        <f>G38/$J$39</f>
        <v>0.05</v>
      </c>
      <c r="I38" s="5">
        <f>H38</f>
        <v>0.05</v>
      </c>
      <c r="J38" s="5">
        <f>SUM(G38,D38)</f>
        <v>11</v>
      </c>
      <c r="K38" s="5">
        <f>J38/$J$8</f>
        <v>0.11</v>
      </c>
    </row>
    <row r="39" spans="2:11" x14ac:dyDescent="0.2">
      <c r="C39" s="4" t="s">
        <v>14</v>
      </c>
      <c r="D39" s="5">
        <f>SUM(D36:D38)</f>
        <v>57</v>
      </c>
      <c r="E39" s="5">
        <f>D39/$J$8</f>
        <v>0.56999999999999995</v>
      </c>
      <c r="F39" s="5"/>
      <c r="G39" s="5">
        <f>SUM(G36:G38)</f>
        <v>43</v>
      </c>
      <c r="H39" s="5">
        <f t="shared" ref="H39" si="14">G39/$J$8</f>
        <v>0.43</v>
      </c>
      <c r="I39" s="5"/>
      <c r="J39" s="5">
        <f>SUM(G39,D39)</f>
        <v>100</v>
      </c>
      <c r="K39" s="5"/>
    </row>
    <row r="41" spans="2:11" x14ac:dyDescent="0.2">
      <c r="C41" s="1" t="s">
        <v>26</v>
      </c>
      <c r="D41" s="6">
        <f>E36*LOG(F36/(E39*K36),2)</f>
        <v>0.17647975983202771</v>
      </c>
      <c r="F41" s="1" t="s">
        <v>20</v>
      </c>
      <c r="G41" s="6">
        <f>2*LN(2)*J39*D47</f>
        <v>20.669125286242032</v>
      </c>
    </row>
    <row r="42" spans="2:11" x14ac:dyDescent="0.2">
      <c r="C42" s="1" t="s">
        <v>28</v>
      </c>
      <c r="D42" s="6">
        <f>F37*LOG(E37/(E39*K37),2)</f>
        <v>-0.1067368251037331</v>
      </c>
      <c r="F42" s="1" t="s">
        <v>50</v>
      </c>
      <c r="G42" s="1">
        <v>5.9909999999999997</v>
      </c>
    </row>
    <row r="43" spans="2:11" x14ac:dyDescent="0.2">
      <c r="C43" s="1" t="s">
        <v>27</v>
      </c>
      <c r="D43" s="6">
        <f>H36*LOG(I36/(H39*K36),2)</f>
        <v>-0.10635164496712808</v>
      </c>
      <c r="F43" s="1" t="s">
        <v>51</v>
      </c>
      <c r="G43" s="1" t="b">
        <f>IF(G41&gt;G42, TRUE, FALSE)</f>
        <v>1</v>
      </c>
    </row>
    <row r="44" spans="2:11" x14ac:dyDescent="0.2">
      <c r="C44" s="1" t="s">
        <v>29</v>
      </c>
      <c r="D44" s="6">
        <f>I37*LOG(H37/(H39*K37),2)</f>
        <v>0.18551071396093866</v>
      </c>
    </row>
    <row r="45" spans="2:11" x14ac:dyDescent="0.2">
      <c r="C45" s="1" t="s">
        <v>30</v>
      </c>
      <c r="D45" s="6">
        <f>F38*LOG(E38/(E39*K38),2)</f>
        <v>-3.8101765383694729E-3</v>
      </c>
    </row>
    <row r="46" spans="2:11" x14ac:dyDescent="0.2">
      <c r="C46" s="1" t="s">
        <v>31</v>
      </c>
      <c r="D46" s="6">
        <f>I38*LOG(H38/(H39*K38),2)</f>
        <v>4.0043955661345915E-3</v>
      </c>
    </row>
    <row r="47" spans="2:11" x14ac:dyDescent="0.2">
      <c r="C47" s="1" t="s">
        <v>36</v>
      </c>
      <c r="D47" s="6">
        <f>SUM(D41:D46)</f>
        <v>0.14909622274987028</v>
      </c>
    </row>
    <row r="51" spans="2:11" ht="21" x14ac:dyDescent="0.25">
      <c r="B51" s="3" t="s">
        <v>3</v>
      </c>
    </row>
    <row r="52" spans="2:11" x14ac:dyDescent="0.2">
      <c r="C52" s="4" t="s">
        <v>38</v>
      </c>
      <c r="D52" s="4" t="s">
        <v>7</v>
      </c>
      <c r="E52" s="4" t="s">
        <v>12</v>
      </c>
      <c r="F52" s="4" t="s">
        <v>13</v>
      </c>
      <c r="G52" s="4" t="s">
        <v>9</v>
      </c>
      <c r="H52" s="4" t="s">
        <v>12</v>
      </c>
      <c r="I52" s="4" t="s">
        <v>13</v>
      </c>
      <c r="J52" s="4" t="s">
        <v>14</v>
      </c>
      <c r="K52" s="4" t="s">
        <v>12</v>
      </c>
    </row>
    <row r="53" spans="2:11" x14ac:dyDescent="0.2">
      <c r="C53" s="4" t="s">
        <v>32</v>
      </c>
      <c r="D53" s="5">
        <f>COUNTIFS(dataset!E$2:'dataset'!E$101,"&lt;=57",dataset!$F$2:'dataset'!$F$101,"absence")</f>
        <v>40</v>
      </c>
      <c r="E53" s="5">
        <f>D53/$J$55</f>
        <v>0.4</v>
      </c>
      <c r="F53" s="5">
        <f>E53</f>
        <v>0.4</v>
      </c>
      <c r="G53" s="5">
        <f>COUNTIFS(dataset!E$2:'dataset'!E$101,"&lt;=57",dataset!$F$2:'dataset'!$F$101,"presence")</f>
        <v>17</v>
      </c>
      <c r="H53" s="5">
        <f>G53/$J$55</f>
        <v>0.17</v>
      </c>
      <c r="I53" s="5">
        <f>H53</f>
        <v>0.17</v>
      </c>
      <c r="J53" s="5">
        <f t="shared" ref="J53:J54" si="15">SUM(D53,G53)</f>
        <v>57</v>
      </c>
      <c r="K53" s="5">
        <f>J53/$J$8</f>
        <v>0.56999999999999995</v>
      </c>
    </row>
    <row r="54" spans="2:11" x14ac:dyDescent="0.2">
      <c r="C54" s="4" t="s">
        <v>37</v>
      </c>
      <c r="D54" s="5">
        <f>COUNTIFS(dataset!E$2:'dataset'!E$101,"&gt;57",dataset!$F$2:'dataset'!$F$101,"absence")</f>
        <v>17</v>
      </c>
      <c r="E54" s="5">
        <f>D54/$J$55</f>
        <v>0.17</v>
      </c>
      <c r="F54" s="5">
        <f t="shared" ref="F54" si="16">E54</f>
        <v>0.17</v>
      </c>
      <c r="G54" s="5">
        <f>COUNTIFS(dataset!E$2:'dataset'!E$101,"&gt;57",dataset!$F$2:'dataset'!$F$101,"presence")</f>
        <v>26</v>
      </c>
      <c r="H54" s="5">
        <f t="shared" ref="H54:H55" si="17">G54/$J$55</f>
        <v>0.26</v>
      </c>
      <c r="I54" s="5">
        <f t="shared" ref="I54" si="18">H54</f>
        <v>0.26</v>
      </c>
      <c r="J54" s="5">
        <f t="shared" si="15"/>
        <v>43</v>
      </c>
      <c r="K54" s="5">
        <f>J54/$J$8</f>
        <v>0.43</v>
      </c>
    </row>
    <row r="55" spans="2:11" x14ac:dyDescent="0.2">
      <c r="C55" s="4" t="s">
        <v>14</v>
      </c>
      <c r="D55" s="5">
        <f t="shared" ref="D55" si="19">SUM(D53:D54)</f>
        <v>57</v>
      </c>
      <c r="E55" s="5">
        <f>D55/$J$55</f>
        <v>0.56999999999999995</v>
      </c>
      <c r="F55" s="5"/>
      <c r="G55" s="5">
        <f>SUM(G53:G54)</f>
        <v>43</v>
      </c>
      <c r="H55" s="5">
        <f t="shared" si="17"/>
        <v>0.43</v>
      </c>
      <c r="I55" s="5"/>
      <c r="J55" s="5">
        <f>SUM(D55,G55)</f>
        <v>100</v>
      </c>
      <c r="K55" s="5"/>
    </row>
    <row r="57" spans="2:11" x14ac:dyDescent="0.2">
      <c r="C57" s="1" t="s">
        <v>39</v>
      </c>
      <c r="D57" s="6">
        <f>E53*LOG(F53/(E55*K53),2)</f>
        <v>0.1200017025330416</v>
      </c>
      <c r="F57" s="1" t="s">
        <v>20</v>
      </c>
      <c r="G57" s="6">
        <f>2*LN(2)*J55*D61</f>
        <v>9.4818119341027955</v>
      </c>
    </row>
    <row r="58" spans="2:11" x14ac:dyDescent="0.2">
      <c r="C58" s="1" t="s">
        <v>40</v>
      </c>
      <c r="D58" s="6">
        <f>F54*LOG(E54/(E55*K54),2)</f>
        <v>-8.9732075433101827E-2</v>
      </c>
      <c r="F58" s="1" t="s">
        <v>50</v>
      </c>
      <c r="G58" s="7">
        <v>3.8410000000000002</v>
      </c>
    </row>
    <row r="59" spans="2:11" x14ac:dyDescent="0.2">
      <c r="C59" s="1" t="s">
        <v>41</v>
      </c>
      <c r="D59" s="6">
        <f>H53*LOG(I53/(H55*K53),2)</f>
        <v>-8.9732075433101827E-2</v>
      </c>
      <c r="F59" s="1" t="s">
        <v>51</v>
      </c>
      <c r="G59" s="1" t="b">
        <f>IF(G57&gt;G58, TRUE, FALSE)</f>
        <v>1</v>
      </c>
    </row>
    <row r="60" spans="2:11" x14ac:dyDescent="0.2">
      <c r="C60" s="1" t="s">
        <v>42</v>
      </c>
      <c r="D60" s="6">
        <f>I54*LOG(H54/(H55*K54),2)</f>
        <v>0.12785926361302152</v>
      </c>
    </row>
    <row r="61" spans="2:11" x14ac:dyDescent="0.2">
      <c r="C61" s="1" t="s">
        <v>49</v>
      </c>
      <c r="D61" s="6">
        <f>SUM(D57:D60)</f>
        <v>6.8396815279859469E-2</v>
      </c>
    </row>
    <row r="65" spans="2:11" ht="21" x14ac:dyDescent="0.25">
      <c r="B65" s="3" t="s">
        <v>3</v>
      </c>
    </row>
    <row r="66" spans="2:11" x14ac:dyDescent="0.2">
      <c r="C66" s="4" t="s">
        <v>38</v>
      </c>
      <c r="D66" s="4" t="s">
        <v>7</v>
      </c>
      <c r="E66" s="4" t="s">
        <v>12</v>
      </c>
      <c r="F66" s="4" t="s">
        <v>13</v>
      </c>
      <c r="G66" s="4" t="s">
        <v>9</v>
      </c>
      <c r="H66" s="4" t="s">
        <v>12</v>
      </c>
      <c r="I66" s="4" t="s">
        <v>13</v>
      </c>
      <c r="J66" s="4" t="s">
        <v>14</v>
      </c>
      <c r="K66" s="4" t="s">
        <v>12</v>
      </c>
    </row>
    <row r="67" spans="2:11" x14ac:dyDescent="0.2">
      <c r="C67" s="4" t="s">
        <v>43</v>
      </c>
      <c r="D67" s="5">
        <f>COUNTIFS(dataset!E$2:'dataset'!E$101,"&lt;=65",dataset!$F$2:'dataset'!$F$101,"absence")</f>
        <v>53</v>
      </c>
      <c r="E67" s="5">
        <f>D67/$J$55</f>
        <v>0.53</v>
      </c>
      <c r="F67" s="5">
        <f>E67</f>
        <v>0.53</v>
      </c>
      <c r="G67" s="5">
        <f>COUNTIFS(dataset!E$2:'dataset'!E$101,"&lt;=65",dataset!$F$2:'dataset'!$F$101,"presence")</f>
        <v>39</v>
      </c>
      <c r="H67" s="5">
        <f>G67/$J$55</f>
        <v>0.39</v>
      </c>
      <c r="I67" s="5">
        <f>H67</f>
        <v>0.39</v>
      </c>
      <c r="J67" s="5">
        <f t="shared" ref="J67:J68" si="20">SUM(D67,G67)</f>
        <v>92</v>
      </c>
      <c r="K67" s="5">
        <f>J67/$J$8</f>
        <v>0.92</v>
      </c>
    </row>
    <row r="68" spans="2:11" x14ac:dyDescent="0.2">
      <c r="C68" s="4" t="s">
        <v>44</v>
      </c>
      <c r="D68" s="5">
        <f>COUNTIFS(dataset!E$2:'dataset'!E$101,"&gt;65",dataset!$F$2:'dataset'!$F$101,"absence")</f>
        <v>4</v>
      </c>
      <c r="E68" s="5">
        <f>D68/$J$55</f>
        <v>0.04</v>
      </c>
      <c r="F68" s="5">
        <f t="shared" ref="F68" si="21">E68</f>
        <v>0.04</v>
      </c>
      <c r="G68" s="5">
        <f>COUNTIFS(dataset!E$2:'dataset'!E$101,"&gt;65",dataset!$F$2:'dataset'!$F$101,"presence")</f>
        <v>4</v>
      </c>
      <c r="H68" s="5">
        <f t="shared" ref="H68:H69" si="22">G68/$J$55</f>
        <v>0.04</v>
      </c>
      <c r="I68" s="5">
        <f t="shared" ref="I68" si="23">H68</f>
        <v>0.04</v>
      </c>
      <c r="J68" s="5">
        <f t="shared" si="20"/>
        <v>8</v>
      </c>
      <c r="K68" s="5">
        <f>J68/$J$8</f>
        <v>0.08</v>
      </c>
    </row>
    <row r="69" spans="2:11" x14ac:dyDescent="0.2">
      <c r="C69" s="4" t="s">
        <v>14</v>
      </c>
      <c r="D69" s="5">
        <f t="shared" ref="D69" si="24">SUM(D67:D68)</f>
        <v>57</v>
      </c>
      <c r="E69" s="5">
        <f>D69/$J$55</f>
        <v>0.56999999999999995</v>
      </c>
      <c r="F69" s="5"/>
      <c r="G69" s="5">
        <f>SUM(G67:G68)</f>
        <v>43</v>
      </c>
      <c r="H69" s="5">
        <f t="shared" si="22"/>
        <v>0.43</v>
      </c>
      <c r="I69" s="5"/>
      <c r="J69" s="5">
        <f>SUM(D69,G69)</f>
        <v>100</v>
      </c>
      <c r="K69" s="5"/>
    </row>
    <row r="71" spans="2:11" x14ac:dyDescent="0.2">
      <c r="C71" s="1" t="s">
        <v>45</v>
      </c>
      <c r="D71" s="6">
        <f>E67*LOG(F67/(E69*K67),2)</f>
        <v>8.1220772815698873E-3</v>
      </c>
      <c r="F71" s="1" t="s">
        <v>20</v>
      </c>
      <c r="G71" s="6">
        <f>2*LN(2)*J69*D75</f>
        <v>0.1722808834880005</v>
      </c>
    </row>
    <row r="72" spans="2:11" x14ac:dyDescent="0.2">
      <c r="C72" s="1" t="s">
        <v>46</v>
      </c>
      <c r="D72" s="6">
        <f>F68*LOG(E68/(E69*K68),2)</f>
        <v>-7.5613529756006683E-3</v>
      </c>
      <c r="F72" s="1" t="s">
        <v>50</v>
      </c>
      <c r="G72" s="7">
        <v>3.8410000000000002</v>
      </c>
    </row>
    <row r="73" spans="2:11" x14ac:dyDescent="0.2">
      <c r="C73" s="1" t="s">
        <v>47</v>
      </c>
      <c r="D73" s="6">
        <f>H67*LOG(I67/(H69*K67),2)</f>
        <v>-8.0216378276337548E-3</v>
      </c>
      <c r="F73" s="1" t="s">
        <v>51</v>
      </c>
      <c r="G73" s="1" t="b">
        <f>IF(G71&gt;G72, TRUE, FALSE)</f>
        <v>0</v>
      </c>
    </row>
    <row r="74" spans="2:11" x14ac:dyDescent="0.2">
      <c r="C74" s="1" t="s">
        <v>48</v>
      </c>
      <c r="D74" s="6">
        <f>I68*LOG(H68/(H69*K68),2)</f>
        <v>8.7036574029050739E-3</v>
      </c>
    </row>
    <row r="75" spans="2:11" x14ac:dyDescent="0.2">
      <c r="C75" s="1" t="s">
        <v>49</v>
      </c>
      <c r="D75" s="6">
        <f>SUM(D71:D74)</f>
        <v>1.2427438812405382E-3</v>
      </c>
    </row>
    <row r="82" spans="3:4" ht="45" x14ac:dyDescent="0.2">
      <c r="C82" s="14" t="s">
        <v>52</v>
      </c>
      <c r="D82" s="15" t="s">
        <v>53</v>
      </c>
    </row>
    <row r="83" spans="3:4" x14ac:dyDescent="0.2">
      <c r="C83" s="2" t="s">
        <v>54</v>
      </c>
      <c r="D83" s="11">
        <f>IF(G12=TRUE, D14,0)</f>
        <v>6.3432204987808993E-2</v>
      </c>
    </row>
    <row r="84" spans="3:4" x14ac:dyDescent="0.2">
      <c r="C84" s="2" t="s">
        <v>1</v>
      </c>
      <c r="D84" s="11">
        <f>IF(G27=TRUE, D29,0)</f>
        <v>0</v>
      </c>
    </row>
    <row r="85" spans="3:4" x14ac:dyDescent="0.2">
      <c r="C85" s="12" t="s">
        <v>55</v>
      </c>
      <c r="D85" s="13">
        <f>IF(G43=TRUE, D47,0)</f>
        <v>0.14909622274987028</v>
      </c>
    </row>
    <row r="86" spans="3:4" x14ac:dyDescent="0.2">
      <c r="C86" s="2" t="s">
        <v>56</v>
      </c>
      <c r="D86" s="11">
        <f>IF(G59=TRUE, D61,0)</f>
        <v>6.8396815279859469E-2</v>
      </c>
    </row>
    <row r="87" spans="3:4" x14ac:dyDescent="0.2">
      <c r="C87" s="2" t="s">
        <v>57</v>
      </c>
      <c r="D87" s="11">
        <f>IF(G73=TRUE, D75,0)</f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DB8F-7714-E64D-9F13-684DC02F9685}">
  <sheetPr>
    <tabColor rgb="FF00B050"/>
  </sheetPr>
  <dimension ref="B2:AJ88"/>
  <sheetViews>
    <sheetView zoomScaleNormal="100" workbookViewId="0">
      <selection activeCell="C20" sqref="C20"/>
    </sheetView>
  </sheetViews>
  <sheetFormatPr baseColWidth="10" defaultColWidth="10.6640625" defaultRowHeight="16" x14ac:dyDescent="0.2"/>
  <cols>
    <col min="3" max="3" width="37.1640625" style="1" bestFit="1" customWidth="1"/>
    <col min="4" max="4" width="15.33203125" style="1" customWidth="1"/>
    <col min="5" max="9" width="10.83203125" style="1"/>
    <col min="10" max="10" width="11.6640625" bestFit="1" customWidth="1"/>
    <col min="15" max="15" width="37.1640625" bestFit="1" customWidth="1"/>
    <col min="23" max="23" width="11.6640625" bestFit="1" customWidth="1"/>
    <col min="27" max="27" width="13.5" bestFit="1" customWidth="1"/>
    <col min="28" max="28" width="39.1640625" bestFit="1" customWidth="1"/>
    <col min="36" max="36" width="11.6640625" bestFit="1" customWidth="1"/>
  </cols>
  <sheetData>
    <row r="2" spans="2:36" x14ac:dyDescent="0.2">
      <c r="B2">
        <v>100</v>
      </c>
    </row>
    <row r="4" spans="2:36" ht="21" x14ac:dyDescent="0.25">
      <c r="B4" s="3" t="s">
        <v>0</v>
      </c>
      <c r="C4" s="1" t="s">
        <v>58</v>
      </c>
      <c r="N4" s="3" t="s">
        <v>1</v>
      </c>
      <c r="O4" s="1" t="s">
        <v>58</v>
      </c>
      <c r="P4" s="1"/>
      <c r="Q4" s="1"/>
      <c r="R4" s="1"/>
      <c r="S4" s="1"/>
      <c r="T4" s="1"/>
      <c r="U4" s="1"/>
      <c r="AA4" s="3" t="s">
        <v>106</v>
      </c>
      <c r="AB4" s="1" t="s">
        <v>58</v>
      </c>
      <c r="AC4" s="1"/>
      <c r="AD4" s="1"/>
      <c r="AE4" s="1"/>
      <c r="AF4" s="1"/>
      <c r="AG4" s="1"/>
      <c r="AH4" s="1"/>
    </row>
    <row r="5" spans="2:36" x14ac:dyDescent="0.2">
      <c r="C5" s="4" t="s">
        <v>33</v>
      </c>
      <c r="D5" s="4" t="s">
        <v>7</v>
      </c>
      <c r="E5" s="4" t="s">
        <v>12</v>
      </c>
      <c r="F5" s="4" t="s">
        <v>13</v>
      </c>
      <c r="G5" s="4" t="s">
        <v>9</v>
      </c>
      <c r="H5" s="4" t="s">
        <v>12</v>
      </c>
      <c r="I5" s="4" t="s">
        <v>13</v>
      </c>
      <c r="J5" s="4" t="s">
        <v>14</v>
      </c>
      <c r="K5" s="4" t="s">
        <v>12</v>
      </c>
      <c r="O5" s="4" t="s">
        <v>34</v>
      </c>
      <c r="P5" s="4" t="s">
        <v>7</v>
      </c>
      <c r="Q5" s="4" t="s">
        <v>12</v>
      </c>
      <c r="R5" s="4" t="s">
        <v>13</v>
      </c>
      <c r="S5" s="4" t="s">
        <v>9</v>
      </c>
      <c r="T5" s="4" t="s">
        <v>12</v>
      </c>
      <c r="U5" s="4" t="s">
        <v>13</v>
      </c>
      <c r="V5" s="4" t="s">
        <v>14</v>
      </c>
      <c r="W5" s="4" t="s">
        <v>12</v>
      </c>
      <c r="AB5" s="4" t="s">
        <v>38</v>
      </c>
      <c r="AC5" s="4" t="s">
        <v>7</v>
      </c>
      <c r="AD5" s="4" t="s">
        <v>12</v>
      </c>
      <c r="AE5" s="4" t="s">
        <v>13</v>
      </c>
      <c r="AF5" s="4" t="s">
        <v>9</v>
      </c>
      <c r="AG5" s="4" t="s">
        <v>12</v>
      </c>
      <c r="AH5" s="4" t="s">
        <v>13</v>
      </c>
      <c r="AI5" s="4" t="s">
        <v>14</v>
      </c>
      <c r="AJ5" s="4" t="s">
        <v>12</v>
      </c>
    </row>
    <row r="6" spans="2:36" x14ac:dyDescent="0.2">
      <c r="C6" s="4" t="s">
        <v>5</v>
      </c>
      <c r="D6" s="5">
        <f>COUNTIFS(dataset!B$2:'dataset'!B$101,"male",dataset!$F$2:'dataset'!$F$101,"absence", dataset!D$2:'dataset'!D$101,"upsloping")</f>
        <v>22</v>
      </c>
      <c r="E6" s="5">
        <f>D6/$J$8</f>
        <v>0.44</v>
      </c>
      <c r="F6" s="5">
        <f>D6/$B$2</f>
        <v>0.22</v>
      </c>
      <c r="G6" s="5">
        <f>COUNTIFS(dataset!B$2:'dataset'!B$101,"male",dataset!$F$2:'dataset'!$F$101,"presence", dataset!D$2:'dataset'!D$101,"upsloping")</f>
        <v>10</v>
      </c>
      <c r="H6" s="5">
        <f>G6/$J$8</f>
        <v>0.2</v>
      </c>
      <c r="I6" s="5">
        <f>G6/$B$2</f>
        <v>0.1</v>
      </c>
      <c r="J6" s="5">
        <f t="shared" ref="J6:J7" si="0">SUM(D6,G6)</f>
        <v>32</v>
      </c>
      <c r="K6" s="5">
        <f>J6/$J$8</f>
        <v>0.64</v>
      </c>
      <c r="O6" s="4" t="b">
        <v>0</v>
      </c>
      <c r="P6" s="5">
        <f>COUNTIFS(dataset!$C$2:'dataset'!$C$101,"FALSE",dataset!$F$2:'dataset'!$F$101,"absence", dataset!$D$2:'dataset'!$D$101,"upsloping")</f>
        <v>34</v>
      </c>
      <c r="Q6" s="5">
        <f>P6/$V$8</f>
        <v>0.68</v>
      </c>
      <c r="R6" s="5">
        <f>P6/$B$2</f>
        <v>0.34</v>
      </c>
      <c r="S6" s="5">
        <f>COUNTIFS(dataset!$C$2:'dataset'!$C$101,"FALSE",dataset!$F$2:'dataset'!$F$101,"presence", dataset!$D$2:'dataset'!$D$101,"upsloping")</f>
        <v>10</v>
      </c>
      <c r="T6" s="5">
        <f>S6/$V$8</f>
        <v>0.2</v>
      </c>
      <c r="U6" s="5">
        <f>S6/$B$2</f>
        <v>0.1</v>
      </c>
      <c r="V6" s="5">
        <f t="shared" ref="V6:V7" si="1">SUM(P6,S6)</f>
        <v>44</v>
      </c>
      <c r="W6" s="5">
        <f>V6/$V$8</f>
        <v>0.88</v>
      </c>
      <c r="AB6" s="4" t="s">
        <v>32</v>
      </c>
      <c r="AC6" s="5">
        <f>COUNTIFS(dataset!$E$2:'dataset'!$E$101,"&lt;=57",dataset!$F$2:'dataset'!$F$101,"absence", dataset!$D$2:'dataset'!$D$101,"upsloping")</f>
        <v>29</v>
      </c>
      <c r="AD6" s="5">
        <f>AC6/$AI$8</f>
        <v>0.57999999999999996</v>
      </c>
      <c r="AE6" s="5">
        <f>AC6/$B$2</f>
        <v>0.28999999999999998</v>
      </c>
      <c r="AF6" s="5">
        <f>COUNTIFS(dataset!$E$2:'dataset'!$E$101,"&lt;=57",dataset!$F$2:'dataset'!$F$101,"presence", dataset!$D$2:'dataset'!$D$101,"upsloping")</f>
        <v>4</v>
      </c>
      <c r="AG6" s="5">
        <f>AF6/$AI$8</f>
        <v>0.08</v>
      </c>
      <c r="AH6" s="5">
        <f>AF6/$B$2</f>
        <v>0.04</v>
      </c>
      <c r="AI6" s="5">
        <f t="shared" ref="AI6:AI7" si="2">SUM(AC6,AF6)</f>
        <v>33</v>
      </c>
      <c r="AJ6" s="5">
        <f>AI6/$AI$8</f>
        <v>0.66</v>
      </c>
    </row>
    <row r="7" spans="2:36" x14ac:dyDescent="0.2">
      <c r="C7" s="4" t="s">
        <v>10</v>
      </c>
      <c r="D7" s="5">
        <f>COUNTIFS(dataset!B$2:'dataset'!B$101,"female",dataset!$F$2:'dataset'!$F$101,"absence", dataset!D$2:'dataset'!D$101,"upsloping")</f>
        <v>17</v>
      </c>
      <c r="E7" s="5">
        <f>D7/$J$8</f>
        <v>0.34</v>
      </c>
      <c r="F7" s="5">
        <f>D7/$B$2</f>
        <v>0.17</v>
      </c>
      <c r="G7" s="5">
        <f>COUNTIFS(dataset!B$2:'dataset'!B$101,"female",dataset!$F$2:'dataset'!$F$101,"presence", dataset!D$2:'dataset'!D$101,"upsloping")</f>
        <v>1</v>
      </c>
      <c r="H7" s="5">
        <f>G7/$J$8</f>
        <v>0.02</v>
      </c>
      <c r="I7" s="5">
        <f>G7/$B$2</f>
        <v>0.01</v>
      </c>
      <c r="J7" s="5">
        <f t="shared" si="0"/>
        <v>18</v>
      </c>
      <c r="K7" s="5">
        <f>J7/$J$8</f>
        <v>0.36</v>
      </c>
      <c r="O7" s="4" t="b">
        <v>1</v>
      </c>
      <c r="P7" s="5">
        <f>COUNTIFS(dataset!$C$2:'dataset'!$C$101,"TRUE",dataset!$F$2:'dataset'!$F$101,"absence", dataset!$D$2:'dataset'!$D$101,"upsloping")</f>
        <v>5</v>
      </c>
      <c r="Q7" s="5">
        <f t="shared" ref="Q7" si="3">P7/$V$8</f>
        <v>0.1</v>
      </c>
      <c r="R7" s="5">
        <f>P7/$B$2</f>
        <v>0.05</v>
      </c>
      <c r="S7" s="5">
        <f>COUNTIFS(dataset!$C$2:'dataset'!$C$101,"TRUE",dataset!$F$2:'dataset'!$F$101,"presence", dataset!$D$2:'dataset'!$D$101,"upsloping")</f>
        <v>1</v>
      </c>
      <c r="T7" s="5">
        <f t="shared" ref="T7" si="4">S7/$V$8</f>
        <v>0.02</v>
      </c>
      <c r="U7" s="5">
        <f>S7/$B$2</f>
        <v>0.01</v>
      </c>
      <c r="V7" s="5">
        <f t="shared" si="1"/>
        <v>6</v>
      </c>
      <c r="W7" s="5">
        <f>V7/$V$8</f>
        <v>0.12</v>
      </c>
      <c r="AB7" s="4" t="s">
        <v>37</v>
      </c>
      <c r="AC7" s="5">
        <f>COUNTIFS(dataset!$E$2:'dataset'!$E$101,"&gt;57",dataset!$F$2:'dataset'!$F$101,"absence", dataset!$D$2:'dataset'!$D$101,"upsloping")</f>
        <v>10</v>
      </c>
      <c r="AD7" s="5">
        <f t="shared" ref="AD7:AD8" si="5">AC7/$AI$8</f>
        <v>0.2</v>
      </c>
      <c r="AE7" s="5">
        <f>AC7/$B$2</f>
        <v>0.1</v>
      </c>
      <c r="AF7" s="5">
        <f>COUNTIFS(dataset!$E$2:'dataset'!$E$101,"&gt;57",dataset!$F$2:'dataset'!$F$101,"presence", dataset!$D$2:'dataset'!$D$101,"upsloping")</f>
        <v>7</v>
      </c>
      <c r="AG7" s="5">
        <f t="shared" ref="AG7:AG8" si="6">AF7/$AI$8</f>
        <v>0.14000000000000001</v>
      </c>
      <c r="AH7" s="5">
        <f>AF7/$B$2</f>
        <v>7.0000000000000007E-2</v>
      </c>
      <c r="AI7" s="5">
        <f t="shared" si="2"/>
        <v>17</v>
      </c>
      <c r="AJ7" s="5">
        <f>AI7/$AI$8</f>
        <v>0.34</v>
      </c>
    </row>
    <row r="8" spans="2:36" x14ac:dyDescent="0.2">
      <c r="C8" s="4" t="s">
        <v>14</v>
      </c>
      <c r="D8" s="5">
        <f t="shared" ref="D8" si="7">SUM(D6:D7)</f>
        <v>39</v>
      </c>
      <c r="E8" s="5">
        <f>D8/$J$8</f>
        <v>0.78</v>
      </c>
      <c r="F8" s="5"/>
      <c r="G8" s="5">
        <f>SUM(G6:G7)</f>
        <v>11</v>
      </c>
      <c r="H8" s="5">
        <f t="shared" ref="H8" si="8">G8/$J$8</f>
        <v>0.22</v>
      </c>
      <c r="I8" s="5"/>
      <c r="J8" s="5">
        <f>SUM(D8,G8)</f>
        <v>50</v>
      </c>
      <c r="K8" s="5"/>
      <c r="O8" s="4" t="s">
        <v>14</v>
      </c>
      <c r="P8" s="5">
        <f t="shared" ref="P8" si="9">SUM(P6:P7)</f>
        <v>39</v>
      </c>
      <c r="Q8" s="5">
        <f>P8/$V$8</f>
        <v>0.78</v>
      </c>
      <c r="R8" s="5"/>
      <c r="S8" s="5">
        <f>SUM(S6:S7)</f>
        <v>11</v>
      </c>
      <c r="T8" s="5">
        <f>S8/$V$8</f>
        <v>0.22</v>
      </c>
      <c r="U8" s="5"/>
      <c r="V8" s="5">
        <f>SUM(P8,S8)</f>
        <v>50</v>
      </c>
      <c r="W8" s="5"/>
      <c r="AB8" s="4" t="s">
        <v>14</v>
      </c>
      <c r="AC8" s="5">
        <f t="shared" ref="AC8" si="10">SUM(AC6:AC7)</f>
        <v>39</v>
      </c>
      <c r="AD8" s="5">
        <f t="shared" si="5"/>
        <v>0.78</v>
      </c>
      <c r="AE8" s="5"/>
      <c r="AF8" s="5">
        <f>SUM(AF6:AF7)</f>
        <v>11</v>
      </c>
      <c r="AG8" s="5">
        <f t="shared" si="6"/>
        <v>0.22</v>
      </c>
      <c r="AH8" s="5"/>
      <c r="AI8" s="5">
        <f>SUM(AC8,AF8)</f>
        <v>50</v>
      </c>
      <c r="AJ8" s="5"/>
    </row>
    <row r="9" spans="2:36" x14ac:dyDescent="0.2">
      <c r="O9" s="1"/>
      <c r="P9" s="1"/>
      <c r="Q9" s="1"/>
      <c r="R9" s="1"/>
      <c r="S9" s="1"/>
      <c r="T9" s="1"/>
      <c r="U9" s="1"/>
      <c r="AB9" s="1"/>
      <c r="AC9" s="1"/>
      <c r="AD9" s="1"/>
      <c r="AE9" s="1"/>
      <c r="AF9" s="1"/>
      <c r="AG9" s="1"/>
      <c r="AH9" s="1"/>
    </row>
    <row r="10" spans="2:36" x14ac:dyDescent="0.2">
      <c r="C10" s="1" t="s">
        <v>59</v>
      </c>
      <c r="D10" s="6">
        <f>F6*LOG(E6/(E8*K6),2)</f>
        <v>-4.0065170299049817E-2</v>
      </c>
      <c r="F10" s="1" t="s">
        <v>20</v>
      </c>
      <c r="G10" s="6">
        <f>2*LN(2)*$B$2*D14</f>
        <v>5.2171385852517647</v>
      </c>
      <c r="O10" s="1" t="s">
        <v>76</v>
      </c>
      <c r="P10" s="6">
        <f>R6*LOG(Q6/(Q8*W6),2)</f>
        <v>-4.5950342013236622E-3</v>
      </c>
      <c r="Q10" s="1"/>
      <c r="R10" s="1" t="s">
        <v>20</v>
      </c>
      <c r="S10" s="6">
        <f>2*LN(2)*V8*P14</f>
        <v>5.979569285764532E-2</v>
      </c>
      <c r="T10" s="1"/>
      <c r="U10" s="1"/>
      <c r="AB10" s="1" t="s">
        <v>91</v>
      </c>
      <c r="AC10" s="6">
        <f>AE6*LOG(AD6/(AD8*AJ6),2)</f>
        <v>4.9891845537662516E-2</v>
      </c>
      <c r="AD10" s="1"/>
      <c r="AE10" s="1" t="s">
        <v>20</v>
      </c>
      <c r="AF10" s="6">
        <f>2*LN(2)*AI8*AC14</f>
        <v>2.6400001816344507</v>
      </c>
      <c r="AG10" s="1"/>
      <c r="AH10" s="1"/>
    </row>
    <row r="11" spans="2:36" x14ac:dyDescent="0.2">
      <c r="C11" s="1" t="s">
        <v>60</v>
      </c>
      <c r="D11" s="6">
        <f>F7*LOG(E7/(E8*K7),2)</f>
        <v>4.6918607822485595E-2</v>
      </c>
      <c r="F11" s="1" t="s">
        <v>50</v>
      </c>
      <c r="G11" s="1">
        <v>3.8410000000000002</v>
      </c>
      <c r="O11" s="1" t="s">
        <v>77</v>
      </c>
      <c r="P11" s="6">
        <f>R7*LOG(Q7/(Q8*W7),2)</f>
        <v>4.7709782539341258E-3</v>
      </c>
      <c r="Q11" s="1"/>
      <c r="R11" s="1" t="s">
        <v>50</v>
      </c>
      <c r="S11" s="1">
        <v>3.8410000000000002</v>
      </c>
      <c r="T11" s="1"/>
      <c r="U11" s="1"/>
      <c r="AB11" s="1" t="s">
        <v>92</v>
      </c>
      <c r="AC11" s="6">
        <f>AE7*LOG(AD7/(AD8*AJ7),2)</f>
        <v>-4.0708077545050098E-2</v>
      </c>
      <c r="AD11" s="1"/>
      <c r="AE11" s="1" t="s">
        <v>50</v>
      </c>
      <c r="AF11" s="7">
        <v>3.8410000000000002</v>
      </c>
      <c r="AG11" s="1"/>
      <c r="AH11" s="1"/>
    </row>
    <row r="12" spans="2:36" x14ac:dyDescent="0.2">
      <c r="C12" s="1" t="s">
        <v>61</v>
      </c>
      <c r="D12" s="6">
        <f>I6*LOG(H6/(H8*K6),2)</f>
        <v>5.0635266602478982E-2</v>
      </c>
      <c r="F12" s="1" t="s">
        <v>51</v>
      </c>
      <c r="G12" s="1" t="b">
        <f>IF(G10&gt;G11, TRUE, FALSE)</f>
        <v>1</v>
      </c>
      <c r="O12" s="1" t="s">
        <v>78</v>
      </c>
      <c r="P12" s="6">
        <f>U6*LOG(T6/(T8*W6),2)</f>
        <v>4.6921047387492691E-3</v>
      </c>
      <c r="Q12" s="1"/>
      <c r="R12" s="1" t="s">
        <v>51</v>
      </c>
      <c r="S12" s="1" t="b">
        <f>IF(S10&gt;S11, TRUE, FALSE)</f>
        <v>0</v>
      </c>
      <c r="T12" s="1"/>
      <c r="U12" s="1"/>
      <c r="AB12" s="1" t="s">
        <v>93</v>
      </c>
      <c r="AC12" s="6">
        <f>AH6*LOG(AG6/(AG8*AJ6),2)</f>
        <v>-3.4398781928841035E-2</v>
      </c>
      <c r="AD12" s="1"/>
      <c r="AE12" s="1" t="s">
        <v>51</v>
      </c>
      <c r="AF12" s="1" t="b">
        <f>IF(AF10&gt;AF11, TRUE, FALSE)</f>
        <v>0</v>
      </c>
      <c r="AG12" s="1"/>
      <c r="AH12" s="1"/>
    </row>
    <row r="13" spans="2:36" x14ac:dyDescent="0.2">
      <c r="C13" s="1" t="s">
        <v>62</v>
      </c>
      <c r="D13" s="6">
        <f>I7*LOG(H7/(H8*K7),2)</f>
        <v>-1.9855004303048845E-2</v>
      </c>
      <c r="O13" s="1" t="s">
        <v>79</v>
      </c>
      <c r="P13" s="6">
        <f>U7*LOG(T7/(T8*W7),2)</f>
        <v>-4.0053792958372877E-3</v>
      </c>
      <c r="Q13" s="1"/>
      <c r="R13" s="1"/>
      <c r="S13" s="1"/>
      <c r="T13" s="1"/>
      <c r="U13" s="1"/>
      <c r="AB13" s="1" t="s">
        <v>94</v>
      </c>
      <c r="AC13" s="6">
        <f>AH7*LOG(AG7/(AG8*AJ7),2)</f>
        <v>6.3302165636128463E-2</v>
      </c>
      <c r="AD13" s="1"/>
      <c r="AE13" s="1"/>
      <c r="AF13" s="1"/>
      <c r="AG13" s="1"/>
      <c r="AH13" s="1"/>
    </row>
    <row r="14" spans="2:36" x14ac:dyDescent="0.2">
      <c r="C14" s="1" t="s">
        <v>63</v>
      </c>
      <c r="D14" s="6">
        <f>SUM(D10:D13)</f>
        <v>3.7633699822865914E-2</v>
      </c>
      <c r="O14" s="1" t="s">
        <v>80</v>
      </c>
      <c r="P14" s="6">
        <f>SUM(P10:P13)</f>
        <v>8.6266949552244506E-4</v>
      </c>
      <c r="Q14" s="1"/>
      <c r="R14" s="1"/>
      <c r="S14" s="1"/>
      <c r="T14" s="1"/>
      <c r="U14" s="1"/>
      <c r="AB14" s="1" t="s">
        <v>95</v>
      </c>
      <c r="AC14" s="6">
        <f>SUM(AC10:AC13)</f>
        <v>3.8087151699899846E-2</v>
      </c>
      <c r="AD14" s="1"/>
      <c r="AE14" s="1"/>
      <c r="AF14" s="1"/>
      <c r="AG14" s="1"/>
      <c r="AH14" s="1"/>
    </row>
    <row r="18" spans="3:36" x14ac:dyDescent="0.2">
      <c r="C18" s="1" t="s">
        <v>64</v>
      </c>
      <c r="O18" s="1" t="s">
        <v>64</v>
      </c>
      <c r="P18" s="1"/>
      <c r="Q18" s="1"/>
      <c r="R18" s="1"/>
      <c r="S18" s="1"/>
      <c r="T18" s="1"/>
      <c r="U18" s="1"/>
      <c r="AB18" s="1" t="s">
        <v>64</v>
      </c>
      <c r="AC18" s="1"/>
      <c r="AD18" s="1"/>
      <c r="AE18" s="1"/>
      <c r="AF18" s="1"/>
      <c r="AG18" s="1"/>
      <c r="AH18" s="1"/>
    </row>
    <row r="19" spans="3:36" x14ac:dyDescent="0.2">
      <c r="C19" s="4" t="s">
        <v>33</v>
      </c>
      <c r="D19" s="4" t="s">
        <v>7</v>
      </c>
      <c r="E19" s="4" t="s">
        <v>12</v>
      </c>
      <c r="F19" s="4" t="s">
        <v>13</v>
      </c>
      <c r="G19" s="4" t="s">
        <v>9</v>
      </c>
      <c r="H19" s="4" t="s">
        <v>12</v>
      </c>
      <c r="I19" s="4" t="s">
        <v>13</v>
      </c>
      <c r="J19" s="4" t="s">
        <v>14</v>
      </c>
      <c r="K19" s="4" t="s">
        <v>12</v>
      </c>
      <c r="O19" s="4" t="s">
        <v>34</v>
      </c>
      <c r="P19" s="4" t="s">
        <v>7</v>
      </c>
      <c r="Q19" s="4" t="s">
        <v>12</v>
      </c>
      <c r="R19" s="4" t="s">
        <v>13</v>
      </c>
      <c r="S19" s="4" t="s">
        <v>9</v>
      </c>
      <c r="T19" s="4" t="s">
        <v>12</v>
      </c>
      <c r="U19" s="4" t="s">
        <v>13</v>
      </c>
      <c r="V19" s="4" t="s">
        <v>14</v>
      </c>
      <c r="W19" s="4" t="s">
        <v>12</v>
      </c>
      <c r="AB19" s="4" t="s">
        <v>38</v>
      </c>
      <c r="AC19" s="4" t="s">
        <v>7</v>
      </c>
      <c r="AD19" s="4" t="s">
        <v>12</v>
      </c>
      <c r="AE19" s="4" t="s">
        <v>13</v>
      </c>
      <c r="AF19" s="4" t="s">
        <v>9</v>
      </c>
      <c r="AG19" s="4" t="s">
        <v>12</v>
      </c>
      <c r="AH19" s="4" t="s">
        <v>13</v>
      </c>
      <c r="AI19" s="4" t="s">
        <v>14</v>
      </c>
      <c r="AJ19" s="4" t="s">
        <v>12</v>
      </c>
    </row>
    <row r="20" spans="3:36" x14ac:dyDescent="0.2">
      <c r="C20" s="4" t="s">
        <v>5</v>
      </c>
      <c r="D20" s="5">
        <f>COUNTIFS(dataset!B$2:'dataset'!B$101,"male",dataset!$F$2:'dataset'!$F$101,"absence", dataset!D$2:'dataset'!D$101,"flat")</f>
        <v>8</v>
      </c>
      <c r="E20" s="16">
        <f>D20/$J$22</f>
        <v>0.20512820512820512</v>
      </c>
      <c r="F20" s="5">
        <f>D20/$B$2</f>
        <v>0.08</v>
      </c>
      <c r="G20" s="5">
        <f>COUNTIFS(dataset!B$2:'dataset'!B$101,"male",dataset!$F$2:'dataset'!$F$101,"presence", dataset!D$2:'dataset'!D$101,"flat")</f>
        <v>24</v>
      </c>
      <c r="H20" s="16">
        <f>G20/$J$22</f>
        <v>0.61538461538461542</v>
      </c>
      <c r="I20" s="5">
        <f>G20/$B$2</f>
        <v>0.24</v>
      </c>
      <c r="J20" s="5">
        <f t="shared" ref="J20:J21" si="11">SUM(D20,G20)</f>
        <v>32</v>
      </c>
      <c r="K20" s="17">
        <f>J20/$J$22</f>
        <v>0.82051282051282048</v>
      </c>
      <c r="O20" s="4" t="b">
        <v>0</v>
      </c>
      <c r="P20" s="5">
        <f>COUNTIFS(dataset!$C$2:'dataset'!$C$101,"FALSE",dataset!$F$2:'dataset'!$F$101,"absence", dataset!$D$2:'dataset'!$D$101,"flat")</f>
        <v>11</v>
      </c>
      <c r="Q20" s="16">
        <f>P20/$V$22</f>
        <v>0.28205128205128205</v>
      </c>
      <c r="R20" s="5">
        <f>P20/$B$2</f>
        <v>0.11</v>
      </c>
      <c r="S20" s="5">
        <f>COUNTIFS(dataset!$C$2:'dataset'!$C$101,"FALSE",dataset!$F$2:'dataset'!$F$101,"presence", dataset!$D$2:'dataset'!$D$101,"flat")</f>
        <v>24</v>
      </c>
      <c r="T20" s="16">
        <f>S20/$V$22</f>
        <v>0.61538461538461542</v>
      </c>
      <c r="U20" s="5">
        <f>S20/$B$2</f>
        <v>0.24</v>
      </c>
      <c r="V20" s="5">
        <f t="shared" ref="V20:V21" si="12">SUM(P20,S20)</f>
        <v>35</v>
      </c>
      <c r="W20" s="16">
        <f>V20/$V$22</f>
        <v>0.89743589743589747</v>
      </c>
      <c r="AB20" s="4" t="s">
        <v>32</v>
      </c>
      <c r="AC20" s="5">
        <f>COUNTIFS(dataset!$E$2:'dataset'!$E$101,"&lt;=57",dataset!$F$2:'dataset'!$F$101,"absence", dataset!$D$2:'dataset'!$D$101,"flat")</f>
        <v>7</v>
      </c>
      <c r="AD20" s="16">
        <f>AC20/$AI$22</f>
        <v>0.17948717948717949</v>
      </c>
      <c r="AE20" s="5">
        <f>AC20/$B$2</f>
        <v>7.0000000000000007E-2</v>
      </c>
      <c r="AF20" s="5">
        <f>COUNTIFS(dataset!$E$2:'dataset'!$E$101,"&lt;=57",dataset!$F$2:'dataset'!$F$101,"presence", dataset!$D$2:'dataset'!$D$101,"flat")</f>
        <v>11</v>
      </c>
      <c r="AG20" s="16">
        <f>AF20/$AI$22</f>
        <v>0.28205128205128205</v>
      </c>
      <c r="AH20" s="5">
        <f>AF20/$B$2</f>
        <v>0.11</v>
      </c>
      <c r="AI20" s="5">
        <f t="shared" ref="AI20:AI21" si="13">SUM(AC20,AF20)</f>
        <v>18</v>
      </c>
      <c r="AJ20" s="16">
        <f>AI20/$AI$22</f>
        <v>0.46153846153846156</v>
      </c>
    </row>
    <row r="21" spans="3:36" x14ac:dyDescent="0.2">
      <c r="C21" s="4" t="s">
        <v>10</v>
      </c>
      <c r="D21" s="5">
        <f>COUNTIFS(dataset!B$2:'dataset'!B$101,"female",dataset!$F$2:'dataset'!$F$101,"absence", dataset!D$2:'dataset'!D$101,"flat")</f>
        <v>4</v>
      </c>
      <c r="E21" s="16">
        <f t="shared" ref="E21:E22" si="14">D21/$J$22</f>
        <v>0.10256410256410256</v>
      </c>
      <c r="F21" s="5">
        <f>D21/$B$2</f>
        <v>0.04</v>
      </c>
      <c r="G21" s="5">
        <f>COUNTIFS(dataset!B$2:'dataset'!B$101,"female",dataset!$F$2:'dataset'!$F$101,"presence", dataset!D$2:'dataset'!D$101,"flat")</f>
        <v>3</v>
      </c>
      <c r="H21" s="16">
        <f>G21/$J$22</f>
        <v>7.6923076923076927E-2</v>
      </c>
      <c r="I21" s="5">
        <f>G21/$B$2</f>
        <v>0.03</v>
      </c>
      <c r="J21" s="5">
        <f t="shared" si="11"/>
        <v>7</v>
      </c>
      <c r="K21" s="17">
        <f>J21/$J$22</f>
        <v>0.17948717948717949</v>
      </c>
      <c r="O21" s="4" t="b">
        <v>1</v>
      </c>
      <c r="P21" s="5">
        <f>COUNTIFS(dataset!$C$2:'dataset'!$C$101,"TRUE",dataset!$F$2:'dataset'!$F$101,"absence", dataset!$D$2:'dataset'!$D$101,"flat")</f>
        <v>1</v>
      </c>
      <c r="Q21" s="16">
        <f t="shared" ref="Q21:Q22" si="15">P21/$V$22</f>
        <v>2.564102564102564E-2</v>
      </c>
      <c r="R21" s="5">
        <f>P21/$B$2</f>
        <v>0.01</v>
      </c>
      <c r="S21" s="5">
        <f>COUNTIFS(dataset!$C$2:'dataset'!$C$101,"TRUE",dataset!$F$2:'dataset'!$F$101,"presence", dataset!$D$2:'dataset'!$D$101,"flat")</f>
        <v>3</v>
      </c>
      <c r="T21" s="16">
        <f t="shared" ref="T21:T22" si="16">S21/$V$22</f>
        <v>7.6923076923076927E-2</v>
      </c>
      <c r="U21" s="5">
        <f>S21/$B$2</f>
        <v>0.03</v>
      </c>
      <c r="V21" s="5">
        <f t="shared" si="12"/>
        <v>4</v>
      </c>
      <c r="W21" s="16">
        <f>V21/$V$22</f>
        <v>0.10256410256410256</v>
      </c>
      <c r="AB21" s="4" t="s">
        <v>37</v>
      </c>
      <c r="AC21" s="5">
        <f>COUNTIFS(dataset!$E$2:'dataset'!$E$101,"&gt;57",dataset!$F$2:'dataset'!$F$101,"absence", dataset!$D$2:'dataset'!$D$101,"flat")</f>
        <v>5</v>
      </c>
      <c r="AD21" s="16">
        <f t="shared" ref="AD21:AD22" si="17">AC21/$AI$22</f>
        <v>0.12820512820512819</v>
      </c>
      <c r="AE21" s="5">
        <f>AC21/$B$2</f>
        <v>0.05</v>
      </c>
      <c r="AF21" s="5">
        <f>COUNTIFS(dataset!$E$2:'dataset'!$E$101,"&gt;57",dataset!$F$2:'dataset'!$F$101,"presence", dataset!$D$2:'dataset'!$D$101,"flat")</f>
        <v>16</v>
      </c>
      <c r="AG21" s="16">
        <f t="shared" ref="AG21:AG22" si="18">AF21/$AI$22</f>
        <v>0.41025641025641024</v>
      </c>
      <c r="AH21" s="5">
        <f>AF21/$B$2</f>
        <v>0.16</v>
      </c>
      <c r="AI21" s="5">
        <f t="shared" si="13"/>
        <v>21</v>
      </c>
      <c r="AJ21" s="16">
        <f>AI21/$AI$22</f>
        <v>0.53846153846153844</v>
      </c>
    </row>
    <row r="22" spans="3:36" x14ac:dyDescent="0.2">
      <c r="C22" s="4" t="s">
        <v>14</v>
      </c>
      <c r="D22" s="5">
        <f t="shared" ref="D22" si="19">SUM(D20:D21)</f>
        <v>12</v>
      </c>
      <c r="E22" s="16">
        <f t="shared" si="14"/>
        <v>0.30769230769230771</v>
      </c>
      <c r="F22" s="5"/>
      <c r="G22" s="5">
        <f>SUM(G20:G21)</f>
        <v>27</v>
      </c>
      <c r="H22" s="16">
        <f>G22/$J$22</f>
        <v>0.69230769230769229</v>
      </c>
      <c r="I22" s="5"/>
      <c r="J22" s="5">
        <f>SUM(D22,G22)</f>
        <v>39</v>
      </c>
      <c r="K22" s="5"/>
      <c r="O22" s="4" t="s">
        <v>14</v>
      </c>
      <c r="P22" s="5">
        <f t="shared" ref="P22" si="20">SUM(P20:P21)</f>
        <v>12</v>
      </c>
      <c r="Q22" s="16">
        <f t="shared" si="15"/>
        <v>0.30769230769230771</v>
      </c>
      <c r="R22" s="5"/>
      <c r="S22" s="5">
        <f>SUM(S20:S21)</f>
        <v>27</v>
      </c>
      <c r="T22" s="16">
        <f t="shared" si="16"/>
        <v>0.69230769230769229</v>
      </c>
      <c r="U22" s="5"/>
      <c r="V22" s="5">
        <f>SUM(P22,S22)</f>
        <v>39</v>
      </c>
      <c r="W22" s="5"/>
      <c r="AB22" s="4" t="s">
        <v>14</v>
      </c>
      <c r="AC22" s="5">
        <f t="shared" ref="AC22" si="21">SUM(AC20:AC21)</f>
        <v>12</v>
      </c>
      <c r="AD22" s="16">
        <f t="shared" si="17"/>
        <v>0.30769230769230771</v>
      </c>
      <c r="AE22" s="5"/>
      <c r="AF22" s="5">
        <f>SUM(AF20:AF21)</f>
        <v>27</v>
      </c>
      <c r="AG22" s="16">
        <f t="shared" si="18"/>
        <v>0.69230769230769229</v>
      </c>
      <c r="AH22" s="5"/>
      <c r="AI22" s="5">
        <f>SUM(AC22,AF22)</f>
        <v>39</v>
      </c>
      <c r="AJ22" s="5"/>
    </row>
    <row r="23" spans="3:36" x14ac:dyDescent="0.2">
      <c r="O23" s="1"/>
      <c r="P23" s="1"/>
      <c r="Q23" s="1"/>
      <c r="R23" s="1"/>
      <c r="S23" s="1"/>
      <c r="T23" s="1"/>
      <c r="U23" s="1"/>
      <c r="AB23" s="1"/>
      <c r="AC23" s="1"/>
      <c r="AD23" s="1"/>
      <c r="AE23" s="1"/>
      <c r="AF23" s="1"/>
      <c r="AG23" s="1"/>
      <c r="AH23" s="1"/>
    </row>
    <row r="24" spans="3:36" x14ac:dyDescent="0.2">
      <c r="C24" s="1" t="s">
        <v>65</v>
      </c>
      <c r="D24" s="6">
        <f>F20*LOG(E20/(E22*K20),2)</f>
        <v>-2.3964822548712645E-2</v>
      </c>
      <c r="F24" s="1" t="s">
        <v>20</v>
      </c>
      <c r="G24" s="6">
        <f>2*LN(2)*$B$2*D28</f>
        <v>2.5946953175563015</v>
      </c>
      <c r="O24" s="1" t="s">
        <v>81</v>
      </c>
      <c r="P24" s="6">
        <f>R20*LOG(Q20/(Q22*W20),2)</f>
        <v>3.364715181676514E-3</v>
      </c>
      <c r="Q24" s="1"/>
      <c r="R24" s="1" t="s">
        <v>20</v>
      </c>
      <c r="S24" s="6">
        <f>2*LN(2)*V22*P28</f>
        <v>2.8116050048878724E-2</v>
      </c>
      <c r="T24" s="1"/>
      <c r="U24" s="1"/>
      <c r="AB24" s="1" t="s">
        <v>96</v>
      </c>
      <c r="AC24" s="6">
        <f>AE20*LOG(AD20/(AD22*AJ20),2)</f>
        <v>2.3650874712946874E-2</v>
      </c>
      <c r="AD24" s="1"/>
      <c r="AE24" s="1" t="s">
        <v>20</v>
      </c>
      <c r="AF24" s="6">
        <f>2*LN(2)*AI22*AC28</f>
        <v>0.40372359092266191</v>
      </c>
      <c r="AG24" s="1"/>
      <c r="AH24" s="1"/>
    </row>
    <row r="25" spans="3:36" x14ac:dyDescent="0.2">
      <c r="C25" s="1" t="s">
        <v>66</v>
      </c>
      <c r="D25" s="6">
        <f>F21*LOG(E21/(E22*K21),2)</f>
        <v>3.5723391843339523E-2</v>
      </c>
      <c r="F25" s="1" t="s">
        <v>50</v>
      </c>
      <c r="G25" s="1">
        <v>3.8410000000000002</v>
      </c>
      <c r="O25" s="1" t="s">
        <v>82</v>
      </c>
      <c r="P25" s="6">
        <f>R21*LOG(Q21/(Q22*W21),2)</f>
        <v>-2.9956028185890806E-3</v>
      </c>
      <c r="Q25" s="1"/>
      <c r="R25" s="1" t="s">
        <v>50</v>
      </c>
      <c r="S25" s="1">
        <v>3.8410000000000002</v>
      </c>
      <c r="T25" s="1"/>
      <c r="U25" s="1"/>
      <c r="AB25" s="1" t="s">
        <v>97</v>
      </c>
      <c r="AC25" s="6">
        <f>AE21*LOG(AD21/(AD22*AJ21),2)</f>
        <v>-1.8497480487515299E-2</v>
      </c>
      <c r="AD25" s="1"/>
      <c r="AE25" s="1" t="s">
        <v>50</v>
      </c>
      <c r="AF25" s="7">
        <v>3.8410000000000002</v>
      </c>
      <c r="AG25" s="1"/>
      <c r="AH25" s="1"/>
    </row>
    <row r="26" spans="3:36" x14ac:dyDescent="0.2">
      <c r="C26" s="1" t="s">
        <v>67</v>
      </c>
      <c r="D26" s="6">
        <f>I20*LOG(H20/(H22*K20),2)</f>
        <v>2.7714532180784613E-2</v>
      </c>
      <c r="F26" s="1" t="s">
        <v>51</v>
      </c>
      <c r="G26" s="1" t="b">
        <f>IF(G24&gt;G25, TRUE, FALSE)</f>
        <v>0</v>
      </c>
      <c r="O26" s="1" t="s">
        <v>83</v>
      </c>
      <c r="P26" s="6">
        <f>U20*LOG(T20/(T22*W20),2)</f>
        <v>-3.3133918860072634E-3</v>
      </c>
      <c r="Q26" s="1"/>
      <c r="R26" s="1" t="s">
        <v>51</v>
      </c>
      <c r="S26" s="1" t="b">
        <f>IF(S24&gt;S25, TRUE, FALSE)</f>
        <v>0</v>
      </c>
      <c r="T26" s="1"/>
      <c r="U26" s="1"/>
      <c r="AB26" s="1" t="s">
        <v>98</v>
      </c>
      <c r="AC26" s="6">
        <f>AH20*LOG(AG20/(AG22*AJ20),2)</f>
        <v>-1.9797653271685898E-2</v>
      </c>
      <c r="AD26" s="1"/>
      <c r="AE26" s="1" t="s">
        <v>51</v>
      </c>
      <c r="AF26" s="1" t="b">
        <f>IF(AF24&gt;AF25, TRUE, FALSE)</f>
        <v>0</v>
      </c>
      <c r="AG26" s="1"/>
      <c r="AH26" s="1"/>
    </row>
    <row r="27" spans="3:36" x14ac:dyDescent="0.2">
      <c r="C27" s="1" t="s">
        <v>68</v>
      </c>
      <c r="D27" s="6">
        <f>I21*LOG(H21/(H22*K21),2)</f>
        <v>-2.075633113913004E-2</v>
      </c>
      <c r="O27" s="1" t="s">
        <v>84</v>
      </c>
      <c r="P27" s="6">
        <f>U21*LOG(T21/(T22*W21),2)</f>
        <v>3.4643165225980766E-3</v>
      </c>
      <c r="Q27" s="1"/>
      <c r="R27" s="1"/>
      <c r="S27" s="1"/>
      <c r="T27" s="1"/>
      <c r="U27" s="1"/>
      <c r="AB27" s="1" t="s">
        <v>99</v>
      </c>
      <c r="AC27" s="6">
        <f>AH21*LOG(AG21/(AG22*AJ21),2)</f>
        <v>2.2111567027203155E-2</v>
      </c>
      <c r="AD27" s="1"/>
      <c r="AE27" s="1"/>
      <c r="AF27" s="1"/>
      <c r="AG27" s="1"/>
      <c r="AH27" s="1"/>
    </row>
    <row r="28" spans="3:36" x14ac:dyDescent="0.2">
      <c r="C28" s="1" t="s">
        <v>69</v>
      </c>
      <c r="D28" s="6">
        <f>SUM(D24:D27)</f>
        <v>1.8716770336281451E-2</v>
      </c>
      <c r="O28" s="1" t="s">
        <v>85</v>
      </c>
      <c r="P28" s="6">
        <f>SUM(P24:P27)</f>
        <v>5.2003699967824663E-4</v>
      </c>
      <c r="Q28" s="1"/>
      <c r="R28" s="1"/>
      <c r="S28" s="1"/>
      <c r="T28" s="1"/>
      <c r="U28" s="1"/>
      <c r="AB28" s="1" t="s">
        <v>100</v>
      </c>
      <c r="AC28" s="6">
        <f>SUM(AC24:AC27)</f>
        <v>7.467307980948832E-3</v>
      </c>
      <c r="AD28" s="1"/>
      <c r="AE28" s="1"/>
      <c r="AF28" s="1"/>
      <c r="AG28" s="1"/>
      <c r="AH28" s="1"/>
    </row>
    <row r="32" spans="3:36" x14ac:dyDescent="0.2">
      <c r="C32" s="1" t="s">
        <v>70</v>
      </c>
      <c r="O32" s="1" t="s">
        <v>70</v>
      </c>
      <c r="P32" s="1"/>
      <c r="Q32" s="1"/>
      <c r="R32" s="1"/>
      <c r="S32" s="1"/>
      <c r="T32" s="1"/>
      <c r="U32" s="1"/>
      <c r="AB32" s="1" t="s">
        <v>70</v>
      </c>
      <c r="AC32" s="1"/>
      <c r="AD32" s="1"/>
      <c r="AE32" s="1"/>
      <c r="AF32" s="1"/>
      <c r="AG32" s="1"/>
      <c r="AH32" s="1"/>
    </row>
    <row r="33" spans="2:36" x14ac:dyDescent="0.2">
      <c r="C33" s="4" t="s">
        <v>33</v>
      </c>
      <c r="D33" s="4" t="s">
        <v>7</v>
      </c>
      <c r="E33" s="4" t="s">
        <v>12</v>
      </c>
      <c r="F33" s="4" t="s">
        <v>13</v>
      </c>
      <c r="G33" s="4" t="s">
        <v>9</v>
      </c>
      <c r="H33" s="4" t="s">
        <v>12</v>
      </c>
      <c r="I33" s="4" t="s">
        <v>13</v>
      </c>
      <c r="J33" s="4" t="s">
        <v>14</v>
      </c>
      <c r="K33" s="4" t="s">
        <v>12</v>
      </c>
      <c r="O33" s="4" t="s">
        <v>34</v>
      </c>
      <c r="P33" s="4" t="s">
        <v>7</v>
      </c>
      <c r="Q33" s="4" t="s">
        <v>12</v>
      </c>
      <c r="R33" s="4" t="s">
        <v>13</v>
      </c>
      <c r="S33" s="4" t="s">
        <v>9</v>
      </c>
      <c r="T33" s="4" t="s">
        <v>12</v>
      </c>
      <c r="U33" s="4" t="s">
        <v>13</v>
      </c>
      <c r="V33" s="4" t="s">
        <v>14</v>
      </c>
      <c r="W33" s="4" t="s">
        <v>12</v>
      </c>
      <c r="AB33" s="4" t="s">
        <v>38</v>
      </c>
      <c r="AC33" s="4" t="s">
        <v>7</v>
      </c>
      <c r="AD33" s="4" t="s">
        <v>12</v>
      </c>
      <c r="AE33" s="4" t="s">
        <v>13</v>
      </c>
      <c r="AF33" s="4" t="s">
        <v>9</v>
      </c>
      <c r="AG33" s="4" t="s">
        <v>12</v>
      </c>
      <c r="AH33" s="4" t="s">
        <v>13</v>
      </c>
      <c r="AI33" s="4" t="s">
        <v>14</v>
      </c>
      <c r="AJ33" s="4" t="s">
        <v>12</v>
      </c>
    </row>
    <row r="34" spans="2:36" x14ac:dyDescent="0.2">
      <c r="C34" s="4" t="s">
        <v>5</v>
      </c>
      <c r="D34" s="5">
        <f>COUNTIFS(dataset!B$2:'dataset'!B$101,"male",dataset!$F$2:'dataset'!$F$101,"absence", dataset!D$2:'dataset'!D$101,"downsloping")</f>
        <v>4</v>
      </c>
      <c r="E34" s="16">
        <f>D34/$J$36</f>
        <v>0.36363636363636365</v>
      </c>
      <c r="F34" s="5">
        <f>D34/$B$2</f>
        <v>0.04</v>
      </c>
      <c r="G34" s="5">
        <f>COUNTIFS(dataset!B$2:'dataset'!B$101,"male",dataset!$F$2:'dataset'!$F$101,"presence", dataset!D$2:'dataset'!D$101,"downsloping")</f>
        <v>3</v>
      </c>
      <c r="H34" s="16">
        <f>G34/$J$36</f>
        <v>0.27272727272727271</v>
      </c>
      <c r="I34" s="5">
        <f>G34/$B$2</f>
        <v>0.03</v>
      </c>
      <c r="J34" s="5">
        <f t="shared" ref="J34:J35" si="22">SUM(D34,G34)</f>
        <v>7</v>
      </c>
      <c r="K34" s="17">
        <f>J34/$J$36</f>
        <v>0.63636363636363635</v>
      </c>
      <c r="O34" s="4" t="b">
        <v>0</v>
      </c>
      <c r="P34" s="5">
        <f>COUNTIFS(dataset!$C$2:'dataset'!$C$101,"FALSE",dataset!$F$2:'dataset'!$F$101,"absence", dataset!$D$2:'dataset'!$D$101,"downsloping")</f>
        <v>4</v>
      </c>
      <c r="Q34" s="16">
        <f>P34/$V$36</f>
        <v>0.36363636363636365</v>
      </c>
      <c r="R34" s="5">
        <f>P34/$B$2</f>
        <v>0.04</v>
      </c>
      <c r="S34" s="5">
        <f>COUNTIFS(dataset!$C$2:'dataset'!$C$101,"FALSE",dataset!$F$2:'dataset'!$F$101,"presence", dataset!$D$2:'dataset'!$D$101,"downsloping")</f>
        <v>4</v>
      </c>
      <c r="T34" s="16">
        <f>S34/$V$36</f>
        <v>0.36363636363636365</v>
      </c>
      <c r="U34" s="5">
        <f>S34/$B$2</f>
        <v>0.04</v>
      </c>
      <c r="V34" s="5">
        <f t="shared" ref="V34:V35" si="23">SUM(P34,S34)</f>
        <v>8</v>
      </c>
      <c r="W34" s="16">
        <f>V34/$V$22</f>
        <v>0.20512820512820512</v>
      </c>
      <c r="AB34" s="4" t="s">
        <v>32</v>
      </c>
      <c r="AC34" s="5">
        <f>COUNTIFS(dataset!$E$2:'dataset'!$E$101,"&lt;=57",dataset!$F$2:'dataset'!$F$101,"absence", dataset!$D$2:'dataset'!$D$101,"downsloping")</f>
        <v>4</v>
      </c>
      <c r="AD34" s="16">
        <f>AC34/$AI$36</f>
        <v>0.36363636363636365</v>
      </c>
      <c r="AE34" s="5">
        <f>AC34/$B$2</f>
        <v>0.04</v>
      </c>
      <c r="AF34" s="5">
        <f>COUNTIFS(dataset!$E$2:'dataset'!$E$101,"&lt;=57",dataset!$F$2:'dataset'!$F$101,"presence", dataset!$D$2:'dataset'!$D$101,"downsloping")</f>
        <v>2</v>
      </c>
      <c r="AG34" s="16">
        <f>AF34/$AI$36</f>
        <v>0.18181818181818182</v>
      </c>
      <c r="AH34" s="5">
        <f>AF34/$B$2</f>
        <v>0.02</v>
      </c>
      <c r="AI34" s="5">
        <f t="shared" ref="AI34:AI35" si="24">SUM(AC34,AF34)</f>
        <v>6</v>
      </c>
      <c r="AJ34" s="16">
        <f>AI34/$AI$36</f>
        <v>0.54545454545454541</v>
      </c>
    </row>
    <row r="35" spans="2:36" x14ac:dyDescent="0.2">
      <c r="C35" s="4" t="s">
        <v>10</v>
      </c>
      <c r="D35" s="5">
        <f>COUNTIFS(dataset!B$2:'dataset'!B$101,"female",dataset!$F$2:'dataset'!$F$101,"absence", dataset!D$2:'dataset'!D$101,"downsloping")</f>
        <v>2</v>
      </c>
      <c r="E35" s="16">
        <f t="shared" ref="E35:E36" si="25">D35/$J$36</f>
        <v>0.18181818181818182</v>
      </c>
      <c r="F35" s="5">
        <f>D35/$B$2</f>
        <v>0.02</v>
      </c>
      <c r="G35" s="5">
        <f>COUNTIFS(dataset!B$2:'dataset'!B$101,"female",dataset!$F$2:'dataset'!$F$101,"presence", dataset!D$2:'dataset'!D$101,"downsloping")</f>
        <v>2</v>
      </c>
      <c r="H35" s="16">
        <f t="shared" ref="H35:H36" si="26">G35/$J$36</f>
        <v>0.18181818181818182</v>
      </c>
      <c r="I35" s="5">
        <f>G35/$B$2</f>
        <v>0.02</v>
      </c>
      <c r="J35" s="5">
        <f t="shared" si="22"/>
        <v>4</v>
      </c>
      <c r="K35" s="17">
        <f>J35/$J$36</f>
        <v>0.36363636363636365</v>
      </c>
      <c r="O35" s="4" t="b">
        <v>1</v>
      </c>
      <c r="P35" s="5">
        <f>COUNTIFS(dataset!$C$2:'dataset'!$C$101,"TRUE",dataset!$F$2:'dataset'!$F$101,"absence", dataset!$D$2:'dataset'!$D$101,"downsloping")</f>
        <v>2</v>
      </c>
      <c r="Q35" s="16">
        <f t="shared" ref="Q35:Q36" si="27">P35/$V$36</f>
        <v>0.18181818181818182</v>
      </c>
      <c r="R35" s="5">
        <f>P35/$B$2</f>
        <v>0.02</v>
      </c>
      <c r="S35" s="5">
        <f>COUNTIFS(dataset!$C$2:'dataset'!$C$101,"TRUE",dataset!$F$2:'dataset'!$F$101,"presence", dataset!$D$2:'dataset'!$D$101,"downsloping")</f>
        <v>1</v>
      </c>
      <c r="T35" s="16">
        <f t="shared" ref="T35:T36" si="28">S35/$V$36</f>
        <v>9.0909090909090912E-2</v>
      </c>
      <c r="U35" s="5">
        <f>S35/$B$2</f>
        <v>0.01</v>
      </c>
      <c r="V35" s="5">
        <f t="shared" si="23"/>
        <v>3</v>
      </c>
      <c r="W35" s="16">
        <f>V35/$V$22</f>
        <v>7.6923076923076927E-2</v>
      </c>
      <c r="AB35" s="4" t="s">
        <v>37</v>
      </c>
      <c r="AC35" s="5">
        <f>COUNTIFS(dataset!$E$2:'dataset'!$E$101,"&gt;57",dataset!$F$2:'dataset'!$F$101,"absence", dataset!$D$2:'dataset'!$D$101,"downsloping")</f>
        <v>2</v>
      </c>
      <c r="AD35" s="16">
        <f t="shared" ref="AD35:AD36" si="29">AC35/$AI$36</f>
        <v>0.18181818181818182</v>
      </c>
      <c r="AE35" s="5">
        <f>AC35/$B$2</f>
        <v>0.02</v>
      </c>
      <c r="AF35" s="5">
        <f>COUNTIFS(dataset!$E$2:'dataset'!$E$101,"&gt;57",dataset!$F$2:'dataset'!$F$101,"presence", dataset!$D$2:'dataset'!$D$101,"downsloping")</f>
        <v>3</v>
      </c>
      <c r="AG35" s="16">
        <f t="shared" ref="AG35:AG36" si="30">AF35/$AI$36</f>
        <v>0.27272727272727271</v>
      </c>
      <c r="AH35" s="5">
        <f>AF35/$B$2</f>
        <v>0.03</v>
      </c>
      <c r="AI35" s="5">
        <f t="shared" si="24"/>
        <v>5</v>
      </c>
      <c r="AJ35" s="16">
        <f>AI35/$AI$36</f>
        <v>0.45454545454545453</v>
      </c>
    </row>
    <row r="36" spans="2:36" x14ac:dyDescent="0.2">
      <c r="C36" s="4" t="s">
        <v>14</v>
      </c>
      <c r="D36" s="5">
        <f t="shared" ref="D36" si="31">SUM(D34:D35)</f>
        <v>6</v>
      </c>
      <c r="E36" s="16">
        <f t="shared" si="25"/>
        <v>0.54545454545454541</v>
      </c>
      <c r="F36" s="5"/>
      <c r="G36" s="5">
        <f>SUM(G34:G35)</f>
        <v>5</v>
      </c>
      <c r="H36" s="16">
        <f t="shared" si="26"/>
        <v>0.45454545454545453</v>
      </c>
      <c r="I36" s="5"/>
      <c r="J36" s="5">
        <f>SUM(D36,G36)</f>
        <v>11</v>
      </c>
      <c r="K36" s="5"/>
      <c r="O36" s="4" t="s">
        <v>14</v>
      </c>
      <c r="P36" s="5">
        <f t="shared" ref="P36" si="32">SUM(P34:P35)</f>
        <v>6</v>
      </c>
      <c r="Q36" s="16">
        <f t="shared" si="27"/>
        <v>0.54545454545454541</v>
      </c>
      <c r="R36" s="5"/>
      <c r="S36" s="5">
        <f>SUM(S34:S35)</f>
        <v>5</v>
      </c>
      <c r="T36" s="16">
        <f t="shared" si="28"/>
        <v>0.45454545454545453</v>
      </c>
      <c r="U36" s="5"/>
      <c r="V36" s="5">
        <f>SUM(P36,S36)</f>
        <v>11</v>
      </c>
      <c r="W36" s="5"/>
      <c r="AB36" s="4" t="s">
        <v>14</v>
      </c>
      <c r="AC36" s="5">
        <f t="shared" ref="AC36" si="33">SUM(AC34:AC35)</f>
        <v>6</v>
      </c>
      <c r="AD36" s="16">
        <f t="shared" si="29"/>
        <v>0.54545454545454541</v>
      </c>
      <c r="AE36" s="5"/>
      <c r="AF36" s="5">
        <f>SUM(AF34:AF35)</f>
        <v>5</v>
      </c>
      <c r="AG36" s="16">
        <f t="shared" si="30"/>
        <v>0.45454545454545453</v>
      </c>
      <c r="AH36" s="5"/>
      <c r="AI36" s="5">
        <f>SUM(AC36,AF36)</f>
        <v>11</v>
      </c>
      <c r="AJ36" s="5"/>
    </row>
    <row r="37" spans="2:36" x14ac:dyDescent="0.2">
      <c r="O37" s="1"/>
      <c r="P37" s="1"/>
      <c r="Q37" s="1"/>
      <c r="R37" s="1"/>
      <c r="S37" s="1"/>
      <c r="T37" s="1"/>
      <c r="U37" s="1"/>
      <c r="AB37" s="1"/>
      <c r="AC37" s="1"/>
      <c r="AD37" s="1"/>
      <c r="AE37" s="1"/>
      <c r="AF37" s="1"/>
      <c r="AG37" s="1"/>
      <c r="AH37" s="1"/>
    </row>
    <row r="38" spans="2:36" x14ac:dyDescent="0.2">
      <c r="C38" s="1" t="s">
        <v>71</v>
      </c>
      <c r="D38" s="6">
        <f>F34*LOG(E34/(E36*K34),2)</f>
        <v>2.684567834341494E-3</v>
      </c>
      <c r="F38" s="1" t="s">
        <v>20</v>
      </c>
      <c r="G38" s="6">
        <f>2*LN(2)*$B$2*D42</f>
        <v>5.231233620032516E-2</v>
      </c>
      <c r="O38" s="1" t="s">
        <v>86</v>
      </c>
      <c r="P38" s="6">
        <f>R34*LOG(Q34/(Q36*W34),2)</f>
        <v>6.8017588725643688E-2</v>
      </c>
      <c r="Q38" s="1"/>
      <c r="R38" s="1" t="s">
        <v>20</v>
      </c>
      <c r="S38" s="6">
        <f>2*LN(2)*V36*P42</f>
        <v>3.0902765917151216</v>
      </c>
      <c r="T38" s="1"/>
      <c r="U38" s="1"/>
      <c r="AB38" s="1" t="s">
        <v>101</v>
      </c>
      <c r="AC38" s="6">
        <f>AE34*LOG(AD34/(AD36*AJ34),2)</f>
        <v>1.1580264687799411E-2</v>
      </c>
      <c r="AD38" s="1"/>
      <c r="AE38" s="1" t="s">
        <v>20</v>
      </c>
      <c r="AF38" s="6">
        <f>2*LN(2)*AI36*AC42</f>
        <v>8.689082125417906E-2</v>
      </c>
      <c r="AG38" s="1"/>
      <c r="AH38" s="1"/>
    </row>
    <row r="39" spans="2:36" x14ac:dyDescent="0.2">
      <c r="C39" s="1" t="s">
        <v>72</v>
      </c>
      <c r="D39" s="6">
        <f>F35*LOG(E35/(E36*K35),2)</f>
        <v>-2.5106176416771764E-3</v>
      </c>
      <c r="F39" s="1" t="s">
        <v>50</v>
      </c>
      <c r="G39" s="1">
        <v>3.8410000000000002</v>
      </c>
      <c r="O39" s="1" t="s">
        <v>87</v>
      </c>
      <c r="P39" s="6">
        <f>R35*LOG(Q35/(Q36*W35),2)</f>
        <v>4.2309544348398724E-2</v>
      </c>
      <c r="Q39" s="1"/>
      <c r="R39" s="1" t="s">
        <v>50</v>
      </c>
      <c r="S39" s="1">
        <v>3.8410000000000002</v>
      </c>
      <c r="T39" s="1"/>
      <c r="U39" s="1"/>
      <c r="AB39" s="1" t="s">
        <v>102</v>
      </c>
      <c r="AC39" s="6">
        <f>AE35*LOG(AD35/(AD36*AJ35),2)</f>
        <v>-8.9491795394244233E-3</v>
      </c>
      <c r="AD39" s="1"/>
      <c r="AE39" s="1" t="s">
        <v>50</v>
      </c>
      <c r="AF39" s="7">
        <v>3.8410000000000002</v>
      </c>
      <c r="AG39" s="1"/>
      <c r="AH39" s="1"/>
    </row>
    <row r="40" spans="2:36" x14ac:dyDescent="0.2">
      <c r="C40" s="1" t="s">
        <v>73</v>
      </c>
      <c r="D40" s="6">
        <f>I34*LOG(H34/(H36*K34),2)</f>
        <v>-2.5466669275953915E-3</v>
      </c>
      <c r="F40" s="1" t="s">
        <v>51</v>
      </c>
      <c r="G40" s="1" t="b">
        <f>IF(G38&gt;G39, TRUE, FALSE)</f>
        <v>0</v>
      </c>
      <c r="O40" s="1" t="s">
        <v>88</v>
      </c>
      <c r="P40" s="6">
        <f>U34*LOG(T34/(T36*W34),2)</f>
        <v>7.8538964958995455E-2</v>
      </c>
      <c r="Q40" s="1"/>
      <c r="R40" s="1" t="s">
        <v>51</v>
      </c>
      <c r="S40" s="1" t="b">
        <f>IF(S38&gt;S39, TRUE, FALSE)</f>
        <v>0</v>
      </c>
      <c r="T40" s="1"/>
      <c r="U40" s="1"/>
      <c r="AB40" s="1" t="s">
        <v>103</v>
      </c>
      <c r="AC40" s="6">
        <f>AH34*LOG(AG34/(AG36*AJ34),2)</f>
        <v>-8.9491795394244233E-3</v>
      </c>
      <c r="AD40" s="1"/>
      <c r="AE40" s="1" t="s">
        <v>51</v>
      </c>
      <c r="AF40" s="1" t="b">
        <f>IF(AF38&gt;AF39, TRUE, FALSE)</f>
        <v>0</v>
      </c>
      <c r="AG40" s="1"/>
      <c r="AH40" s="1"/>
    </row>
    <row r="41" spans="2:36" ht="21" x14ac:dyDescent="0.25">
      <c r="B41" s="10"/>
      <c r="C41" s="1" t="s">
        <v>74</v>
      </c>
      <c r="D41" s="6">
        <f>I35*LOG(H35/(H36*K35),2)</f>
        <v>2.7500704749987004E-3</v>
      </c>
      <c r="O41" s="1" t="s">
        <v>89</v>
      </c>
      <c r="P41" s="6">
        <f>U35*LOG(T35/(T36*W35),2)</f>
        <v>1.3785116232537298E-2</v>
      </c>
      <c r="Q41" s="1"/>
      <c r="R41" s="1"/>
      <c r="S41" s="1"/>
      <c r="T41" s="1"/>
      <c r="U41" s="1"/>
      <c r="AB41" s="1" t="s">
        <v>104</v>
      </c>
      <c r="AC41" s="6">
        <f>AH35*LOG(AG35/(AG36*AJ35),2)</f>
        <v>1.2016137887511866E-2</v>
      </c>
      <c r="AD41" s="1"/>
      <c r="AE41" s="1"/>
      <c r="AF41" s="1"/>
      <c r="AG41" s="1"/>
      <c r="AH41" s="1"/>
    </row>
    <row r="42" spans="2:36" x14ac:dyDescent="0.2">
      <c r="C42" s="1" t="s">
        <v>75</v>
      </c>
      <c r="D42" s="18">
        <f>SUM(D38:D41)</f>
        <v>3.7735374006762652E-4</v>
      </c>
      <c r="O42" s="1" t="s">
        <v>90</v>
      </c>
      <c r="P42" s="6">
        <f>SUM(P38:P41)</f>
        <v>0.20265121426557517</v>
      </c>
      <c r="Q42" s="1"/>
      <c r="R42" s="1"/>
      <c r="S42" s="1"/>
      <c r="T42" s="1"/>
      <c r="U42" s="1"/>
      <c r="AB42" s="1" t="s">
        <v>105</v>
      </c>
      <c r="AC42" s="6">
        <f>SUM(AC38:AC41)</f>
        <v>5.6980434964624301E-3</v>
      </c>
      <c r="AD42" s="1"/>
      <c r="AE42" s="1"/>
      <c r="AF42" s="1"/>
      <c r="AG42" s="1"/>
      <c r="AH42" s="1"/>
    </row>
    <row r="45" spans="2:36" ht="21" x14ac:dyDescent="0.25">
      <c r="AA45" s="3" t="s">
        <v>107</v>
      </c>
      <c r="AB45" s="1" t="s">
        <v>58</v>
      </c>
      <c r="AC45" s="1"/>
      <c r="AD45" s="1"/>
      <c r="AE45" s="1"/>
      <c r="AF45" s="1"/>
      <c r="AG45" s="1"/>
      <c r="AH45" s="1"/>
    </row>
    <row r="46" spans="2:36" ht="21" x14ac:dyDescent="0.25">
      <c r="B46" s="10"/>
      <c r="C46" s="9"/>
      <c r="D46" s="9"/>
      <c r="E46" s="9"/>
      <c r="F46" s="9"/>
      <c r="G46" s="9"/>
      <c r="H46" s="9"/>
      <c r="I46" s="9"/>
      <c r="J46" s="8"/>
      <c r="K46" s="8"/>
      <c r="AB46" s="4" t="s">
        <v>38</v>
      </c>
      <c r="AC46" s="4" t="s">
        <v>7</v>
      </c>
      <c r="AD46" s="4" t="s">
        <v>12</v>
      </c>
      <c r="AE46" s="4" t="s">
        <v>13</v>
      </c>
      <c r="AF46" s="4" t="s">
        <v>9</v>
      </c>
      <c r="AG46" s="4" t="s">
        <v>12</v>
      </c>
      <c r="AH46" s="4" t="s">
        <v>13</v>
      </c>
      <c r="AI46" s="4" t="s">
        <v>14</v>
      </c>
      <c r="AJ46" s="4" t="s">
        <v>12</v>
      </c>
    </row>
    <row r="47" spans="2:36" x14ac:dyDescent="0.2">
      <c r="B47" s="8"/>
      <c r="C47" s="20"/>
      <c r="D47" s="20"/>
      <c r="E47" s="20"/>
      <c r="F47" s="20"/>
      <c r="G47" s="20"/>
      <c r="H47" s="20"/>
      <c r="I47" s="20"/>
      <c r="J47" s="20"/>
      <c r="K47" s="20"/>
      <c r="AB47" s="4" t="s">
        <v>43</v>
      </c>
      <c r="AC47" s="5">
        <f>COUNTIFS(dataset!$E$2:'dataset'!$E$101,"&lt;=65",dataset!$F$2:'dataset'!$F$101,"absence", dataset!$D$2:'dataset'!$D$101,"upsloping")</f>
        <v>37</v>
      </c>
      <c r="AD47" s="5">
        <f>AC47/$AI$49</f>
        <v>0.74</v>
      </c>
      <c r="AE47" s="5">
        <f>AC47/$B$2</f>
        <v>0.37</v>
      </c>
      <c r="AF47" s="5">
        <f>COUNTIFS(dataset!$E$2:'dataset'!$E$101,"&lt;=65",dataset!$F$2:'dataset'!$F$101,"presence", dataset!$D$2:'dataset'!$D$101,"upsloping")</f>
        <v>11</v>
      </c>
      <c r="AG47" s="5">
        <f>AF47/$AI$49</f>
        <v>0.22</v>
      </c>
      <c r="AH47" s="5">
        <f>AF47/$B$2</f>
        <v>0.11</v>
      </c>
      <c r="AI47" s="5">
        <f t="shared" ref="AI47:AI48" si="34">SUM(AC47,AF47)</f>
        <v>48</v>
      </c>
      <c r="AJ47" s="5">
        <f>AI47/$AI$49</f>
        <v>0.96</v>
      </c>
    </row>
    <row r="48" spans="2:36" x14ac:dyDescent="0.2">
      <c r="B48" s="8"/>
      <c r="C48" s="20"/>
      <c r="D48" s="21"/>
      <c r="E48" s="21"/>
      <c r="F48" s="21"/>
      <c r="G48" s="21"/>
      <c r="H48" s="21"/>
      <c r="I48" s="21"/>
      <c r="J48" s="21"/>
      <c r="K48" s="21"/>
      <c r="AB48" s="4" t="s">
        <v>44</v>
      </c>
      <c r="AC48" s="5">
        <f>COUNTIFS(dataset!$E$2:'dataset'!$E$101,"&gt;65",dataset!$F$2:'dataset'!$F$101,"absence", dataset!$D$2:'dataset'!$D$101,"upsloping")</f>
        <v>2</v>
      </c>
      <c r="AD48" s="5">
        <f t="shared" ref="AD48:AD49" si="35">AC48/$AI$49</f>
        <v>0.04</v>
      </c>
      <c r="AE48" s="5">
        <f>AC48/$B$2</f>
        <v>0.02</v>
      </c>
      <c r="AF48" s="5">
        <f>COUNTIFS(dataset!$E$2:'dataset'!$E$101,"&gt;65",dataset!$F$2:'dataset'!$F$101,"presence", dataset!$D$2:'dataset'!$D$101,"upsloping")</f>
        <v>0</v>
      </c>
      <c r="AG48" s="5">
        <f t="shared" ref="AG48:AG49" si="36">AF48/$AI$49</f>
        <v>0</v>
      </c>
      <c r="AH48" s="5">
        <f>AF48/$B$2</f>
        <v>0</v>
      </c>
      <c r="AI48" s="5">
        <f t="shared" si="34"/>
        <v>2</v>
      </c>
      <c r="AJ48" s="5">
        <f>AI48/$AI$49</f>
        <v>0.04</v>
      </c>
    </row>
    <row r="49" spans="2:36" x14ac:dyDescent="0.2">
      <c r="B49" s="8"/>
      <c r="C49" s="20"/>
      <c r="D49" s="21"/>
      <c r="E49" s="21"/>
      <c r="F49" s="21"/>
      <c r="G49" s="21"/>
      <c r="H49" s="21"/>
      <c r="I49" s="21"/>
      <c r="J49" s="21"/>
      <c r="K49" s="21"/>
      <c r="AB49" s="4" t="s">
        <v>14</v>
      </c>
      <c r="AC49" s="5">
        <f t="shared" ref="AC49" si="37">SUM(AC47:AC48)</f>
        <v>39</v>
      </c>
      <c r="AD49" s="5">
        <f t="shared" si="35"/>
        <v>0.78</v>
      </c>
      <c r="AE49" s="5"/>
      <c r="AF49" s="5">
        <f>SUM(AF47:AF48)</f>
        <v>11</v>
      </c>
      <c r="AG49" s="5">
        <f t="shared" si="36"/>
        <v>0.22</v>
      </c>
      <c r="AH49" s="5"/>
      <c r="AI49" s="5">
        <f>SUM(AC49,AF49)</f>
        <v>50</v>
      </c>
      <c r="AJ49" s="5"/>
    </row>
    <row r="50" spans="2:36" x14ac:dyDescent="0.2">
      <c r="B50" s="8"/>
      <c r="C50" s="20"/>
      <c r="D50" s="21"/>
      <c r="E50" s="21"/>
      <c r="F50" s="21"/>
      <c r="G50" s="21"/>
      <c r="H50" s="21"/>
      <c r="I50" s="21"/>
      <c r="J50" s="21"/>
      <c r="K50" s="21"/>
      <c r="AB50" s="1"/>
      <c r="AC50" s="1"/>
      <c r="AD50" s="1"/>
      <c r="AE50" s="1"/>
      <c r="AF50" s="1"/>
      <c r="AG50" s="1"/>
      <c r="AH50" s="1"/>
    </row>
    <row r="51" spans="2:36" ht="45" x14ac:dyDescent="0.2">
      <c r="B51" s="8"/>
      <c r="C51" s="14" t="s">
        <v>52</v>
      </c>
      <c r="D51" s="15" t="s">
        <v>53</v>
      </c>
      <c r="E51" s="21"/>
      <c r="F51" s="21"/>
      <c r="G51" s="21"/>
      <c r="H51" s="21"/>
      <c r="I51" s="21"/>
      <c r="J51" s="21"/>
      <c r="K51" s="21"/>
      <c r="AB51" s="1" t="s">
        <v>108</v>
      </c>
      <c r="AC51" s="6">
        <f>AE47*LOG(AD47/(AD49*AJ47),2)</f>
        <v>-6.3104107465001549E-3</v>
      </c>
      <c r="AD51" s="1"/>
      <c r="AE51" s="1" t="s">
        <v>20</v>
      </c>
      <c r="AF51" s="6">
        <f>2*LN(2)*AI49*AC55</f>
        <v>0.50856031660863021</v>
      </c>
      <c r="AG51" s="1"/>
      <c r="AH51" s="1"/>
    </row>
    <row r="52" spans="2:36" x14ac:dyDescent="0.2">
      <c r="B52" s="23"/>
      <c r="C52" s="24" t="s">
        <v>54</v>
      </c>
      <c r="D52" s="25">
        <f>SUM(D14,D28,D42)</f>
        <v>5.6727823899214991E-2</v>
      </c>
      <c r="E52" s="9"/>
      <c r="F52" s="9"/>
      <c r="G52" s="9"/>
      <c r="H52" s="9"/>
      <c r="I52" s="9"/>
      <c r="J52" s="8"/>
      <c r="K52" s="8"/>
      <c r="AB52" s="1" t="s">
        <v>109</v>
      </c>
      <c r="AC52" s="6">
        <f>AE48*LOG(AD48/(AD49*AJ48),2)</f>
        <v>7.1690794182495254E-3</v>
      </c>
      <c r="AD52" s="1"/>
      <c r="AE52" s="1" t="s">
        <v>50</v>
      </c>
      <c r="AF52" s="7">
        <v>3.8410000000000002</v>
      </c>
      <c r="AG52" s="1"/>
      <c r="AH52" s="1"/>
    </row>
    <row r="53" spans="2:36" x14ac:dyDescent="0.2">
      <c r="B53" s="8"/>
      <c r="C53" s="2" t="s">
        <v>1</v>
      </c>
      <c r="D53" s="11">
        <v>0</v>
      </c>
      <c r="E53" s="9"/>
      <c r="F53" s="9"/>
      <c r="G53" s="22"/>
      <c r="H53" s="9"/>
      <c r="I53" s="9"/>
      <c r="J53" s="8"/>
      <c r="K53" s="8"/>
      <c r="AB53" s="1" t="s">
        <v>110</v>
      </c>
      <c r="AC53" s="6">
        <f>AH47*LOG(AG47/(AG49*AJ47),2)</f>
        <v>6.4783057958925482E-3</v>
      </c>
      <c r="AD53" s="1"/>
      <c r="AE53" s="1" t="s">
        <v>51</v>
      </c>
      <c r="AF53" s="1" t="b">
        <f>IF(AF51&gt;AF52, TRUE, FALSE)</f>
        <v>0</v>
      </c>
      <c r="AG53" s="1"/>
      <c r="AH53" s="1"/>
    </row>
    <row r="54" spans="2:36" x14ac:dyDescent="0.2">
      <c r="B54" s="8"/>
      <c r="C54" s="2" t="s">
        <v>56</v>
      </c>
      <c r="D54" s="11">
        <f>IF(G71=TRUE, D73,0)</f>
        <v>0</v>
      </c>
      <c r="E54" s="9"/>
      <c r="F54" s="9"/>
      <c r="G54" s="9"/>
      <c r="H54" s="9"/>
      <c r="I54" s="9"/>
      <c r="J54" s="8"/>
      <c r="K54" s="8"/>
      <c r="AB54" s="1" t="s">
        <v>111</v>
      </c>
      <c r="AC54" s="6">
        <f>AH48*0</f>
        <v>0</v>
      </c>
      <c r="AD54" s="1"/>
      <c r="AE54" s="1"/>
      <c r="AF54" s="1"/>
      <c r="AG54" s="1"/>
      <c r="AH54" s="1"/>
    </row>
    <row r="55" spans="2:36" x14ac:dyDescent="0.2">
      <c r="B55" s="8"/>
      <c r="C55" s="2" t="s">
        <v>57</v>
      </c>
      <c r="D55" s="11">
        <v>0</v>
      </c>
      <c r="E55" s="9"/>
      <c r="F55" s="9"/>
      <c r="G55" s="9"/>
      <c r="H55" s="9"/>
      <c r="I55" s="9"/>
      <c r="J55" s="8"/>
      <c r="K55" s="8"/>
      <c r="AB55" s="1" t="s">
        <v>95</v>
      </c>
      <c r="AC55" s="6">
        <f>SUM(AC51:AC54)</f>
        <v>7.3369744676419187E-3</v>
      </c>
      <c r="AD55" s="1"/>
      <c r="AE55" s="1"/>
      <c r="AF55" s="1"/>
      <c r="AG55" s="1"/>
      <c r="AH55" s="1"/>
    </row>
    <row r="56" spans="2:36" x14ac:dyDescent="0.2">
      <c r="B56" s="8"/>
      <c r="E56" s="9"/>
      <c r="F56" s="9"/>
      <c r="G56" s="9"/>
      <c r="H56" s="9"/>
      <c r="I56" s="9"/>
      <c r="J56" s="8"/>
      <c r="K56" s="8"/>
    </row>
    <row r="57" spans="2:36" x14ac:dyDescent="0.2">
      <c r="B57" s="8"/>
      <c r="C57" s="9"/>
      <c r="D57" s="22"/>
      <c r="E57" s="9"/>
      <c r="F57" s="9"/>
      <c r="G57" s="9"/>
      <c r="H57" s="9"/>
      <c r="I57" s="9"/>
      <c r="J57" s="8"/>
      <c r="K57" s="8"/>
    </row>
    <row r="58" spans="2:36" x14ac:dyDescent="0.2">
      <c r="B58" s="8"/>
      <c r="C58" s="9"/>
      <c r="D58" s="22"/>
      <c r="E58" s="9"/>
      <c r="F58" s="9"/>
      <c r="G58" s="9"/>
      <c r="H58" s="9"/>
      <c r="I58" s="9"/>
      <c r="J58" s="8"/>
      <c r="K58" s="8"/>
    </row>
    <row r="59" spans="2:36" x14ac:dyDescent="0.2">
      <c r="B59" s="8"/>
      <c r="C59" s="9"/>
      <c r="D59" s="22"/>
      <c r="E59" s="9"/>
      <c r="F59" s="9"/>
      <c r="G59" s="9"/>
      <c r="H59" s="9"/>
      <c r="I59" s="9"/>
      <c r="J59" s="8"/>
      <c r="K59" s="8"/>
      <c r="AB59" s="1" t="s">
        <v>64</v>
      </c>
      <c r="AC59" s="1"/>
      <c r="AD59" s="1"/>
      <c r="AE59" s="1"/>
      <c r="AF59" s="1"/>
      <c r="AG59" s="1"/>
      <c r="AH59" s="1"/>
    </row>
    <row r="60" spans="2:36" x14ac:dyDescent="0.2">
      <c r="B60" s="8"/>
      <c r="C60" s="9"/>
      <c r="D60" s="9"/>
      <c r="E60" s="9"/>
      <c r="F60" s="9"/>
      <c r="G60" s="9"/>
      <c r="H60" s="9"/>
      <c r="I60" s="9"/>
      <c r="J60" s="8"/>
      <c r="K60" s="8"/>
      <c r="AB60" s="4" t="s">
        <v>38</v>
      </c>
      <c r="AC60" s="4" t="s">
        <v>7</v>
      </c>
      <c r="AD60" s="4" t="s">
        <v>12</v>
      </c>
      <c r="AE60" s="4" t="s">
        <v>13</v>
      </c>
      <c r="AF60" s="4" t="s">
        <v>9</v>
      </c>
      <c r="AG60" s="4" t="s">
        <v>12</v>
      </c>
      <c r="AH60" s="4" t="s">
        <v>13</v>
      </c>
      <c r="AI60" s="4" t="s">
        <v>14</v>
      </c>
      <c r="AJ60" s="4" t="s">
        <v>12</v>
      </c>
    </row>
    <row r="61" spans="2:36" x14ac:dyDescent="0.2">
      <c r="AB61" s="4" t="s">
        <v>43</v>
      </c>
      <c r="AC61" s="5">
        <f>COUNTIFS(dataset!$E$2:'dataset'!$E$101,"&lt;=65",dataset!$F$2:'dataset'!$F$101,"absence", dataset!$D$2:'dataset'!$D$101,"flat")</f>
        <v>11</v>
      </c>
      <c r="AD61" s="16">
        <f>AC61/$AI$63</f>
        <v>0.28205128205128205</v>
      </c>
      <c r="AE61" s="5">
        <f>AC61/$B$2</f>
        <v>0.11</v>
      </c>
      <c r="AF61" s="5">
        <f>COUNTIFS(dataset!$E$2:'dataset'!$E$101,"&lt;=65",dataset!$F$2:'dataset'!$F$101,"presence", dataset!$D$2:'dataset'!$D$101,"flat")</f>
        <v>23</v>
      </c>
      <c r="AG61" s="16">
        <f>AF61/$AI$63</f>
        <v>0.58974358974358976</v>
      </c>
      <c r="AH61" s="5">
        <f>AF61/$B$2</f>
        <v>0.23</v>
      </c>
      <c r="AI61" s="5">
        <f t="shared" ref="AI61:AI62" si="38">SUM(AC61,AF61)</f>
        <v>34</v>
      </c>
      <c r="AJ61" s="16">
        <f>AI61/$AI$63</f>
        <v>0.87179487179487181</v>
      </c>
    </row>
    <row r="62" spans="2:36" x14ac:dyDescent="0.2">
      <c r="AB62" s="4" t="s">
        <v>44</v>
      </c>
      <c r="AC62" s="5">
        <f>COUNTIFS(dataset!$E$2:'dataset'!$E$101,"&gt;65",dataset!$F$2:'dataset'!$F$101,"absence", dataset!$D$2:'dataset'!$D$101,"flat")</f>
        <v>1</v>
      </c>
      <c r="AD62" s="16">
        <f t="shared" ref="AD62:AD63" si="39">AC62/$AI$63</f>
        <v>2.564102564102564E-2</v>
      </c>
      <c r="AE62" s="5">
        <f>AC62/$B$2</f>
        <v>0.01</v>
      </c>
      <c r="AF62" s="5">
        <f>COUNTIFS(dataset!$E$2:'dataset'!$E$101,"&gt;65",dataset!$F$2:'dataset'!$F$101,"presence", dataset!$D$2:'dataset'!$D$101,"flat")</f>
        <v>4</v>
      </c>
      <c r="AG62" s="16">
        <f t="shared" ref="AG62:AG63" si="40">AF62/$AI$63</f>
        <v>0.10256410256410256</v>
      </c>
      <c r="AH62" s="5">
        <f>AF62/$B$2</f>
        <v>0.04</v>
      </c>
      <c r="AI62" s="5">
        <f t="shared" si="38"/>
        <v>5</v>
      </c>
      <c r="AJ62" s="16">
        <f>AI62/$AI$63</f>
        <v>0.12820512820512819</v>
      </c>
    </row>
    <row r="63" spans="2:36" ht="21" x14ac:dyDescent="0.25">
      <c r="B63" s="10"/>
      <c r="C63" s="9"/>
      <c r="D63" s="9"/>
      <c r="E63" s="9"/>
      <c r="F63" s="9"/>
      <c r="G63" s="9"/>
      <c r="H63" s="9"/>
      <c r="I63" s="9"/>
      <c r="J63" s="8"/>
      <c r="K63" s="8"/>
      <c r="AB63" s="4" t="s">
        <v>14</v>
      </c>
      <c r="AC63" s="5">
        <f t="shared" ref="AC63" si="41">SUM(AC61:AC62)</f>
        <v>12</v>
      </c>
      <c r="AD63" s="16">
        <f t="shared" si="39"/>
        <v>0.30769230769230771</v>
      </c>
      <c r="AE63" s="5"/>
      <c r="AF63" s="5">
        <f>SUM(AF61:AF62)</f>
        <v>27</v>
      </c>
      <c r="AG63" s="16">
        <f t="shared" si="40"/>
        <v>0.69230769230769229</v>
      </c>
      <c r="AH63" s="5"/>
      <c r="AI63" s="5">
        <f>SUM(AC63,AF63)</f>
        <v>39</v>
      </c>
      <c r="AJ63" s="5"/>
    </row>
    <row r="64" spans="2:36" x14ac:dyDescent="0.2">
      <c r="B64" s="8"/>
      <c r="C64" s="20"/>
      <c r="D64" s="20"/>
      <c r="E64" s="20"/>
      <c r="F64" s="20"/>
      <c r="G64" s="20"/>
      <c r="H64" s="20"/>
      <c r="I64" s="20"/>
      <c r="J64" s="20"/>
      <c r="K64" s="20"/>
      <c r="AB64" s="1"/>
      <c r="AC64" s="1"/>
      <c r="AD64" s="1"/>
      <c r="AE64" s="1"/>
      <c r="AF64" s="1"/>
      <c r="AG64" s="1"/>
      <c r="AH64" s="1"/>
    </row>
    <row r="65" spans="2:36" x14ac:dyDescent="0.2">
      <c r="B65" s="8"/>
      <c r="C65" s="20"/>
      <c r="D65" s="21"/>
      <c r="E65" s="21"/>
      <c r="F65" s="21"/>
      <c r="G65" s="21"/>
      <c r="H65" s="21"/>
      <c r="I65" s="21"/>
      <c r="J65" s="21"/>
      <c r="K65" s="21"/>
      <c r="AB65" s="1" t="s">
        <v>112</v>
      </c>
      <c r="AC65" s="6">
        <f>AE61*LOG(AD61/(AD63*AJ61),2)</f>
        <v>7.9649345080854729E-3</v>
      </c>
      <c r="AD65" s="1"/>
      <c r="AE65" s="1" t="s">
        <v>20</v>
      </c>
      <c r="AF65" s="6">
        <f>2*LN(2)*AI63*AC69</f>
        <v>0.13055174495642338</v>
      </c>
      <c r="AG65" s="1"/>
      <c r="AH65" s="1"/>
    </row>
    <row r="66" spans="2:36" x14ac:dyDescent="0.2">
      <c r="B66" s="8"/>
      <c r="C66" s="20"/>
      <c r="D66" s="21"/>
      <c r="E66" s="21"/>
      <c r="F66" s="21"/>
      <c r="G66" s="21"/>
      <c r="H66" s="21"/>
      <c r="I66" s="21"/>
      <c r="J66" s="21"/>
      <c r="K66" s="21"/>
      <c r="AB66" s="1" t="s">
        <v>113</v>
      </c>
      <c r="AC66" s="6">
        <f>AE62*LOG(AD62/(AD63*AJ62),2)</f>
        <v>-6.2148837674627011E-3</v>
      </c>
      <c r="AD66" s="1"/>
      <c r="AE66" s="1" t="s">
        <v>50</v>
      </c>
      <c r="AF66" s="7">
        <v>3.8410000000000002</v>
      </c>
      <c r="AG66" s="1"/>
      <c r="AH66" s="1"/>
    </row>
    <row r="67" spans="2:36" x14ac:dyDescent="0.2">
      <c r="B67" s="8"/>
      <c r="C67" s="20"/>
      <c r="D67" s="21"/>
      <c r="E67" s="21"/>
      <c r="F67" s="21"/>
      <c r="G67" s="21"/>
      <c r="H67" s="21"/>
      <c r="I67" s="21"/>
      <c r="J67" s="21"/>
      <c r="K67" s="21"/>
      <c r="AB67" s="1" t="s">
        <v>114</v>
      </c>
      <c r="AC67" s="6">
        <f>AH61*LOG(AG61/(AG63*AJ61),2)</f>
        <v>-7.6788187537457225E-3</v>
      </c>
      <c r="AD67" s="1"/>
      <c r="AE67" s="1" t="s">
        <v>51</v>
      </c>
      <c r="AF67" s="1" t="b">
        <f>IF(AF65&gt;AF66, TRUE, FALSE)</f>
        <v>0</v>
      </c>
      <c r="AG67" s="1"/>
      <c r="AH67" s="1"/>
    </row>
    <row r="68" spans="2:36" x14ac:dyDescent="0.2">
      <c r="B68" s="8"/>
      <c r="C68" s="9"/>
      <c r="D68" s="9"/>
      <c r="E68" s="9"/>
      <c r="F68" s="9"/>
      <c r="G68" s="9"/>
      <c r="H68" s="9"/>
      <c r="I68" s="9"/>
      <c r="J68" s="8"/>
      <c r="K68" s="8"/>
      <c r="AB68" s="1" t="s">
        <v>115</v>
      </c>
      <c r="AC68" s="6">
        <f>AH62*LOG(AG62/(AG63*AJ62),2)</f>
        <v>8.3434648724567042E-3</v>
      </c>
      <c r="AD68" s="1"/>
      <c r="AE68" s="1"/>
      <c r="AF68" s="1"/>
      <c r="AG68" s="1"/>
      <c r="AH68" s="1"/>
    </row>
    <row r="69" spans="2:36" x14ac:dyDescent="0.2">
      <c r="B69" s="8"/>
      <c r="C69" s="9"/>
      <c r="D69" s="22"/>
      <c r="E69" s="9"/>
      <c r="F69" s="9"/>
      <c r="G69" s="22"/>
      <c r="H69" s="9"/>
      <c r="I69" s="9"/>
      <c r="J69" s="8"/>
      <c r="K69" s="8"/>
      <c r="AB69" s="1" t="s">
        <v>100</v>
      </c>
      <c r="AC69" s="6">
        <f>SUM(AC65:AC68)</f>
        <v>2.4146968593337535E-3</v>
      </c>
      <c r="AD69" s="1"/>
      <c r="AE69" s="1"/>
      <c r="AF69" s="1"/>
      <c r="AG69" s="1"/>
      <c r="AH69" s="1"/>
    </row>
    <row r="70" spans="2:36" x14ac:dyDescent="0.2">
      <c r="B70" s="8"/>
      <c r="C70" s="9"/>
      <c r="D70" s="22"/>
      <c r="E70" s="9"/>
      <c r="F70" s="9"/>
      <c r="G70" s="19"/>
      <c r="H70" s="9"/>
      <c r="I70" s="9"/>
      <c r="J70" s="8"/>
      <c r="K70" s="8"/>
    </row>
    <row r="71" spans="2:36" x14ac:dyDescent="0.2">
      <c r="B71" s="8"/>
      <c r="C71" s="9"/>
      <c r="D71" s="22"/>
      <c r="E71" s="9"/>
      <c r="F71" s="9"/>
      <c r="G71" s="9"/>
      <c r="H71" s="9"/>
      <c r="I71" s="9"/>
      <c r="J71" s="8"/>
      <c r="K71" s="8"/>
    </row>
    <row r="72" spans="2:36" x14ac:dyDescent="0.2">
      <c r="B72" s="8"/>
      <c r="C72" s="9"/>
      <c r="D72" s="22"/>
      <c r="E72" s="9"/>
      <c r="F72" s="9"/>
      <c r="G72" s="9"/>
      <c r="H72" s="9"/>
      <c r="I72" s="9"/>
      <c r="J72" s="8"/>
      <c r="K72" s="8"/>
    </row>
    <row r="73" spans="2:36" x14ac:dyDescent="0.2">
      <c r="B73" s="8"/>
      <c r="C73" s="9"/>
      <c r="D73" s="22"/>
      <c r="E73" s="9"/>
      <c r="F73" s="9"/>
      <c r="G73" s="9"/>
      <c r="H73" s="9"/>
      <c r="I73" s="9"/>
      <c r="J73" s="8"/>
      <c r="K73" s="8"/>
      <c r="AB73" s="1" t="s">
        <v>70</v>
      </c>
      <c r="AC73" s="1"/>
      <c r="AD73" s="1"/>
      <c r="AE73" s="1"/>
      <c r="AF73" s="1"/>
      <c r="AG73" s="1"/>
      <c r="AH73" s="1"/>
    </row>
    <row r="74" spans="2:36" x14ac:dyDescent="0.2">
      <c r="B74" s="8"/>
      <c r="C74" s="9"/>
      <c r="D74" s="9"/>
      <c r="E74" s="9"/>
      <c r="F74" s="9"/>
      <c r="G74" s="9"/>
      <c r="H74" s="9"/>
      <c r="I74" s="9"/>
      <c r="J74" s="8"/>
      <c r="K74" s="8"/>
      <c r="AB74" s="4" t="s">
        <v>38</v>
      </c>
      <c r="AC74" s="4" t="s">
        <v>7</v>
      </c>
      <c r="AD74" s="4" t="s">
        <v>12</v>
      </c>
      <c r="AE74" s="4" t="s">
        <v>13</v>
      </c>
      <c r="AF74" s="4" t="s">
        <v>9</v>
      </c>
      <c r="AG74" s="4" t="s">
        <v>12</v>
      </c>
      <c r="AH74" s="4" t="s">
        <v>13</v>
      </c>
      <c r="AI74" s="4" t="s">
        <v>14</v>
      </c>
      <c r="AJ74" s="4" t="s">
        <v>12</v>
      </c>
    </row>
    <row r="75" spans="2:36" x14ac:dyDescent="0.2">
      <c r="AB75" s="4" t="s">
        <v>43</v>
      </c>
      <c r="AC75" s="5">
        <f>COUNTIFS(dataset!$E$2:'dataset'!$E$101,"&lt;=65",dataset!$F$2:'dataset'!$F$101,"absence", dataset!$D$2:'dataset'!$D$101,"downsloping")</f>
        <v>5</v>
      </c>
      <c r="AD75" s="16">
        <f>AC75/$AI$77</f>
        <v>0.45454545454545453</v>
      </c>
      <c r="AE75" s="5">
        <f>AC75/$B$2</f>
        <v>0.05</v>
      </c>
      <c r="AF75" s="5">
        <f>COUNTIFS(dataset!$E$2:'dataset'!$E$101,"&lt;=65",dataset!$F$2:'dataset'!$F$101,"presence", dataset!$D$2:'dataset'!$D$101,"downsloping")</f>
        <v>5</v>
      </c>
      <c r="AG75" s="16">
        <f>AF75/$AI$77</f>
        <v>0.45454545454545453</v>
      </c>
      <c r="AH75" s="5">
        <f>AF75/$B$2</f>
        <v>0.05</v>
      </c>
      <c r="AI75" s="5">
        <f t="shared" ref="AI75:AI76" si="42">SUM(AC75,AF75)</f>
        <v>10</v>
      </c>
      <c r="AJ75" s="16">
        <f>AI75/$AI$77</f>
        <v>0.90909090909090906</v>
      </c>
    </row>
    <row r="76" spans="2:36" x14ac:dyDescent="0.2">
      <c r="AB76" s="4" t="s">
        <v>44</v>
      </c>
      <c r="AC76" s="5">
        <f>COUNTIFS(dataset!$E$2:'dataset'!$E$101,"&gt;65",dataset!$F$2:'dataset'!$F$101,"absence", dataset!$D$2:'dataset'!$D$101,"downsloping")</f>
        <v>1</v>
      </c>
      <c r="AD76" s="16">
        <f t="shared" ref="AD76:AD77" si="43">AC76/$AI$77</f>
        <v>9.0909090909090912E-2</v>
      </c>
      <c r="AE76" s="5">
        <f>AC76/$B$2</f>
        <v>0.01</v>
      </c>
      <c r="AF76" s="5">
        <f>COUNTIFS(dataset!$E$2:'dataset'!$E$101,"&gt;65",dataset!$F$2:'dataset'!$F$101,"presence", dataset!$D$2:'dataset'!$D$101,"downsloping")</f>
        <v>0</v>
      </c>
      <c r="AG76" s="16">
        <f t="shared" ref="AG76:AG77" si="44">AF76/$AI$77</f>
        <v>0</v>
      </c>
      <c r="AH76" s="5">
        <f>AF76/$B$2</f>
        <v>0</v>
      </c>
      <c r="AI76" s="5">
        <f t="shared" si="42"/>
        <v>1</v>
      </c>
      <c r="AJ76" s="16">
        <f>AI76/$AI$77</f>
        <v>9.0909090909090912E-2</v>
      </c>
    </row>
    <row r="77" spans="2:36" x14ac:dyDescent="0.2">
      <c r="AB77" s="4" t="s">
        <v>14</v>
      </c>
      <c r="AC77" s="5">
        <f t="shared" ref="AC77" si="45">SUM(AC75:AC76)</f>
        <v>6</v>
      </c>
      <c r="AD77" s="16">
        <f t="shared" si="43"/>
        <v>0.54545454545454541</v>
      </c>
      <c r="AE77" s="5"/>
      <c r="AF77" s="5">
        <f>SUM(AF75:AF76)</f>
        <v>5</v>
      </c>
      <c r="AG77" s="16">
        <f t="shared" si="44"/>
        <v>0.45454545454545453</v>
      </c>
      <c r="AH77" s="5"/>
      <c r="AI77" s="5">
        <f>SUM(AC77,AF77)</f>
        <v>11</v>
      </c>
      <c r="AJ77" s="5"/>
    </row>
    <row r="78" spans="2:36" x14ac:dyDescent="0.2">
      <c r="AB78" s="1"/>
      <c r="AC78" s="1"/>
      <c r="AD78" s="1"/>
      <c r="AE78" s="1"/>
      <c r="AF78" s="1"/>
      <c r="AG78" s="1"/>
      <c r="AH78" s="1"/>
    </row>
    <row r="79" spans="2:36" x14ac:dyDescent="0.2">
      <c r="AB79" s="1" t="s">
        <v>116</v>
      </c>
      <c r="AC79" s="6">
        <f>AE75*LOG(AD75/(AD77*AJ75),2)</f>
        <v>-6.276544104192941E-3</v>
      </c>
      <c r="AD79" s="1"/>
      <c r="AE79" s="1" t="s">
        <v>20</v>
      </c>
      <c r="AF79" s="6">
        <f>2*LN(2)*AI77*AC83</f>
        <v>0.14247855988163421</v>
      </c>
      <c r="AG79" s="1"/>
      <c r="AH79" s="1"/>
    </row>
    <row r="80" spans="2:36" x14ac:dyDescent="0.2">
      <c r="AB80" s="1" t="s">
        <v>117</v>
      </c>
      <c r="AC80" s="6">
        <f>AE76*LOG(AD76/(AD77*AJ76),2)</f>
        <v>8.744691179161412E-3</v>
      </c>
      <c r="AD80" s="1"/>
      <c r="AE80" s="1" t="s">
        <v>50</v>
      </c>
      <c r="AF80" s="7">
        <v>3.8410000000000002</v>
      </c>
      <c r="AG80" s="1"/>
      <c r="AH80" s="1"/>
    </row>
    <row r="81" spans="2:36" x14ac:dyDescent="0.2">
      <c r="AB81" s="1" t="s">
        <v>118</v>
      </c>
      <c r="AC81" s="6">
        <f>AH75*LOG(AG75/(AG77*AJ75),2)</f>
        <v>6.875176187496751E-3</v>
      </c>
      <c r="AD81" s="1"/>
      <c r="AE81" s="1" t="s">
        <v>51</v>
      </c>
      <c r="AF81" s="1" t="b">
        <f>IF(AF79&gt;AF80, TRUE, FALSE)</f>
        <v>0</v>
      </c>
      <c r="AG81" s="1"/>
      <c r="AH81" s="1"/>
    </row>
    <row r="82" spans="2:36" x14ac:dyDescent="0.2">
      <c r="AB82" s="1" t="s">
        <v>119</v>
      </c>
      <c r="AC82" s="6">
        <f>AH76*0</f>
        <v>0</v>
      </c>
      <c r="AD82" s="1"/>
      <c r="AE82" s="1"/>
      <c r="AF82" s="1"/>
      <c r="AG82" s="1"/>
      <c r="AH82" s="1"/>
    </row>
    <row r="83" spans="2:36" s="1" customFormat="1" x14ac:dyDescent="0.2">
      <c r="B83"/>
      <c r="J83"/>
      <c r="K83"/>
      <c r="L83"/>
      <c r="AA83"/>
      <c r="AB83" s="1" t="s">
        <v>105</v>
      </c>
      <c r="AC83" s="6">
        <f>SUM(AC79:AC82)</f>
        <v>9.343323262465222E-3</v>
      </c>
      <c r="AI83"/>
      <c r="AJ83"/>
    </row>
    <row r="84" spans="2:36" s="1" customFormat="1" x14ac:dyDescent="0.2">
      <c r="B84"/>
      <c r="J84"/>
      <c r="K84"/>
      <c r="L84"/>
    </row>
    <row r="85" spans="2:36" s="1" customFormat="1" x14ac:dyDescent="0.2">
      <c r="B85"/>
      <c r="J85"/>
      <c r="K85"/>
      <c r="L85"/>
    </row>
    <row r="86" spans="2:36" s="1" customFormat="1" x14ac:dyDescent="0.2">
      <c r="B86"/>
      <c r="J86"/>
      <c r="K86"/>
      <c r="L86"/>
    </row>
    <row r="87" spans="2:36" s="1" customFormat="1" x14ac:dyDescent="0.2">
      <c r="B87"/>
      <c r="J87"/>
      <c r="K87"/>
      <c r="L87"/>
    </row>
    <row r="88" spans="2:36" s="1" customFormat="1" x14ac:dyDescent="0.2">
      <c r="B88"/>
      <c r="J88"/>
      <c r="K88"/>
      <c r="L88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9F24-FF6D-7045-A5F2-37EC1AF82C8D}">
  <sheetPr>
    <tabColor rgb="FF0070C0"/>
  </sheetPr>
  <dimension ref="B2:AL105"/>
  <sheetViews>
    <sheetView topLeftCell="A23" zoomScale="190" zoomScaleNormal="135" workbookViewId="0">
      <selection activeCell="D52" sqref="D52"/>
    </sheetView>
  </sheetViews>
  <sheetFormatPr baseColWidth="10" defaultColWidth="10.6640625" defaultRowHeight="16" x14ac:dyDescent="0.2"/>
  <cols>
    <col min="4" max="4" width="47" bestFit="1" customWidth="1"/>
    <col min="12" max="12" width="11.6640625" bestFit="1" customWidth="1"/>
    <col min="16" max="16" width="13.5" bestFit="1" customWidth="1"/>
    <col min="17" max="17" width="50.1640625" bestFit="1" customWidth="1"/>
    <col min="25" max="25" width="11.6640625" bestFit="1" customWidth="1"/>
    <col min="29" max="29" width="13.5" bestFit="1" customWidth="1"/>
    <col min="30" max="30" width="51.83203125" bestFit="1" customWidth="1"/>
    <col min="31" max="31" width="11.6640625" customWidth="1"/>
  </cols>
  <sheetData>
    <row r="2" spans="2:38" x14ac:dyDescent="0.2">
      <c r="B2">
        <v>100</v>
      </c>
    </row>
    <row r="4" spans="2:38" ht="21" x14ac:dyDescent="0.25">
      <c r="B4" s="10"/>
      <c r="C4" s="3" t="s">
        <v>1</v>
      </c>
      <c r="D4" s="1" t="s">
        <v>120</v>
      </c>
      <c r="E4" s="1"/>
      <c r="F4" s="1"/>
      <c r="G4" s="1"/>
      <c r="H4" s="1"/>
      <c r="I4" s="1"/>
      <c r="J4" s="1"/>
      <c r="P4" s="3" t="s">
        <v>106</v>
      </c>
      <c r="Q4" s="1" t="s">
        <v>132</v>
      </c>
      <c r="R4" s="1"/>
      <c r="S4" s="1"/>
      <c r="T4" s="1"/>
      <c r="U4" s="1"/>
      <c r="V4" s="1"/>
      <c r="W4" s="1"/>
      <c r="AC4" s="3" t="s">
        <v>107</v>
      </c>
      <c r="AD4" s="1" t="s">
        <v>132</v>
      </c>
      <c r="AE4" s="1"/>
      <c r="AF4" s="1"/>
      <c r="AG4" s="1"/>
      <c r="AH4" s="1"/>
      <c r="AI4" s="1"/>
      <c r="AJ4" s="1"/>
    </row>
    <row r="5" spans="2:38" x14ac:dyDescent="0.2">
      <c r="B5" s="8"/>
      <c r="D5" s="4" t="s">
        <v>34</v>
      </c>
      <c r="E5" s="4" t="s">
        <v>7</v>
      </c>
      <c r="F5" s="4" t="s">
        <v>12</v>
      </c>
      <c r="G5" s="4" t="s">
        <v>13</v>
      </c>
      <c r="H5" s="4" t="s">
        <v>9</v>
      </c>
      <c r="I5" s="4" t="s">
        <v>12</v>
      </c>
      <c r="J5" s="4" t="s">
        <v>13</v>
      </c>
      <c r="K5" s="4" t="s">
        <v>14</v>
      </c>
      <c r="L5" s="4" t="s">
        <v>12</v>
      </c>
      <c r="Q5" s="4" t="s">
        <v>38</v>
      </c>
      <c r="R5" s="4" t="s">
        <v>7</v>
      </c>
      <c r="S5" s="4" t="s">
        <v>12</v>
      </c>
      <c r="T5" s="4" t="s">
        <v>13</v>
      </c>
      <c r="U5" s="4" t="s">
        <v>9</v>
      </c>
      <c r="V5" s="4" t="s">
        <v>12</v>
      </c>
      <c r="W5" s="4" t="s">
        <v>13</v>
      </c>
      <c r="X5" s="4" t="s">
        <v>14</v>
      </c>
      <c r="Y5" s="4" t="s">
        <v>12</v>
      </c>
      <c r="AD5" s="4" t="s">
        <v>38</v>
      </c>
      <c r="AE5" s="4" t="s">
        <v>7</v>
      </c>
      <c r="AF5" s="4" t="s">
        <v>12</v>
      </c>
      <c r="AG5" s="4" t="s">
        <v>13</v>
      </c>
      <c r="AH5" s="4" t="s">
        <v>9</v>
      </c>
      <c r="AI5" s="4" t="s">
        <v>12</v>
      </c>
      <c r="AJ5" s="4" t="s">
        <v>13</v>
      </c>
      <c r="AK5" s="4" t="s">
        <v>14</v>
      </c>
      <c r="AL5" s="4" t="s">
        <v>12</v>
      </c>
    </row>
    <row r="6" spans="2:38" x14ac:dyDescent="0.2">
      <c r="B6" s="8"/>
      <c r="D6" s="4" t="b">
        <v>0</v>
      </c>
      <c r="E6" s="5">
        <f>COUNTIFS(dataset!$C$2:'dataset'!$C$101,"FALSE",dataset!$F$2:'dataset'!$F$101,"absence", dataset!$D$2:'dataset'!$D$101,"upsloping",dataset!$B$2:'dataset'!$B$101,"male")</f>
        <v>20</v>
      </c>
      <c r="F6" s="5">
        <f>E6/$K$8</f>
        <v>0.625</v>
      </c>
      <c r="G6" s="5">
        <f>E6/$B$2</f>
        <v>0.2</v>
      </c>
      <c r="H6" s="5">
        <f>COUNTIFS(dataset!$C$2:'dataset'!$C$101,"FALSE",dataset!$F$2:'dataset'!$F$101,"presence", dataset!$D$2:'dataset'!$D$101,"upsloping",dataset!$B$2:'dataset'!$B$101,"male")</f>
        <v>9</v>
      </c>
      <c r="I6" s="16">
        <f>H6/$K$8</f>
        <v>0.28125</v>
      </c>
      <c r="J6" s="5">
        <f>H6/$B$2</f>
        <v>0.09</v>
      </c>
      <c r="K6" s="5">
        <f t="shared" ref="K6:K7" si="0">SUM(E6,H6)</f>
        <v>29</v>
      </c>
      <c r="L6" s="16">
        <f>K6/$K$8</f>
        <v>0.90625</v>
      </c>
      <c r="Q6" s="4" t="s">
        <v>32</v>
      </c>
      <c r="R6" s="5">
        <f>COUNTIFS(dataset!$E$2:'dataset'!$E$101,"&lt;=57",dataset!$F$2:'dataset'!$F$101,"absence", dataset!$D$2:'dataset'!$D$101,"upsloping",dataset!$B$2:'dataset'!$B$101,"male")</f>
        <v>20</v>
      </c>
      <c r="S6" s="5">
        <f>R6/$X$8</f>
        <v>0.625</v>
      </c>
      <c r="T6" s="5">
        <f>R6/$B$2</f>
        <v>0.2</v>
      </c>
      <c r="U6" s="5">
        <f>COUNTIFS(dataset!$E$2:'dataset'!$E$101,"&lt;=57",dataset!$F$2:'dataset'!$F$101,"presence", dataset!$D$2:'dataset'!$D$101,"upsloping",dataset!$B$2:'dataset'!$B$101,"male")</f>
        <v>4</v>
      </c>
      <c r="V6" s="5">
        <f>U6/$X$8</f>
        <v>0.125</v>
      </c>
      <c r="W6" s="5">
        <f>U6/$B$2</f>
        <v>0.04</v>
      </c>
      <c r="X6" s="5">
        <f t="shared" ref="X6:X7" si="1">SUM(R6,U6)</f>
        <v>24</v>
      </c>
      <c r="Y6" s="17">
        <f>X6/$X$8</f>
        <v>0.75</v>
      </c>
      <c r="AD6" s="4" t="s">
        <v>43</v>
      </c>
      <c r="AE6" s="5">
        <f>COUNTIFS(dataset!$E$2:'dataset'!$E$101,"&lt;=65",dataset!$F$2:'dataset'!$F$101,"absence", dataset!$D$2:'dataset'!$D$101,"upsloping",dataset!$B$2:'dataset'!$B$101,"male")</f>
        <v>22</v>
      </c>
      <c r="AF6" s="16">
        <f>AE6/$AK$8</f>
        <v>0.6875</v>
      </c>
      <c r="AG6" s="5">
        <f>AE6/$B$2</f>
        <v>0.22</v>
      </c>
      <c r="AH6" s="5">
        <f>COUNTIFS(dataset!$E$2:'dataset'!$E$101,"&lt;=65",dataset!$F$2:'dataset'!$F$101,"presence", dataset!$D$2:'dataset'!$D$101,"upsloping",dataset!$B$2:'dataset'!$B$101,"male")</f>
        <v>10</v>
      </c>
      <c r="AI6" s="16">
        <f>AH6/$AK$8</f>
        <v>0.3125</v>
      </c>
      <c r="AJ6" s="5">
        <f>AH6/$B$2</f>
        <v>0.1</v>
      </c>
      <c r="AK6" s="5">
        <f t="shared" ref="AK6:AK7" si="2">SUM(AE6,AH6)</f>
        <v>32</v>
      </c>
      <c r="AL6" s="17">
        <f>AK6/$AK$8</f>
        <v>1</v>
      </c>
    </row>
    <row r="7" spans="2:38" x14ac:dyDescent="0.2">
      <c r="B7" s="8"/>
      <c r="D7" s="4" t="b">
        <v>1</v>
      </c>
      <c r="E7" s="5">
        <f>COUNTIFS(dataset!$C$2:'dataset'!$C$101,"TRUE",dataset!$F$2:'dataset'!$F$101,"absence", dataset!$D$2:'dataset'!$D$101,"upsloping",dataset!$B$2:'dataset'!$B$101,"male")</f>
        <v>2</v>
      </c>
      <c r="F7" s="16">
        <f t="shared" ref="F7" si="3">E7/$K$8</f>
        <v>6.25E-2</v>
      </c>
      <c r="G7" s="5">
        <f>E7/$B$2</f>
        <v>0.02</v>
      </c>
      <c r="H7" s="5">
        <f>COUNTIFS(dataset!$C$2:'dataset'!$C$101,"TRUE",dataset!$F$2:'dataset'!$F$101,"presence", dataset!$D$2:'dataset'!$D$101,"upsloping",dataset!$B$2:'dataset'!$B$101,"male")</f>
        <v>1</v>
      </c>
      <c r="I7" s="16">
        <f t="shared" ref="I7" si="4">H7/$K$8</f>
        <v>3.125E-2</v>
      </c>
      <c r="J7" s="5">
        <f>H7/$B$2</f>
        <v>0.01</v>
      </c>
      <c r="K7" s="5">
        <f t="shared" si="0"/>
        <v>3</v>
      </c>
      <c r="L7" s="16">
        <f>K7/$K$8</f>
        <v>9.375E-2</v>
      </c>
      <c r="Q7" s="4" t="s">
        <v>37</v>
      </c>
      <c r="R7" s="5">
        <f>COUNTIFS(dataset!$E$2:'dataset'!$E$101,"&gt;57",dataset!$F$2:'dataset'!$F$101,"absence", dataset!$D$2:'dataset'!$D$101,"upsloping",dataset!$B$2:'dataset'!$B$101,"male")</f>
        <v>2</v>
      </c>
      <c r="S7" s="16">
        <f t="shared" ref="S7:S8" si="5">R7/$X$8</f>
        <v>6.25E-2</v>
      </c>
      <c r="T7" s="5">
        <f>R7/$B$2</f>
        <v>0.02</v>
      </c>
      <c r="U7" s="5">
        <f>COUNTIFS(dataset!$E$2:'dataset'!$E$101,"&gt;57",dataset!$F$2:'dataset'!$F$101,"presence", dataset!$D$2:'dataset'!$D$101,"upsloping",dataset!$B$2:'dataset'!$B$101,"male")</f>
        <v>6</v>
      </c>
      <c r="V7" s="16">
        <f t="shared" ref="V7:V8" si="6">U7/$X$8</f>
        <v>0.1875</v>
      </c>
      <c r="W7" s="5">
        <f>U7/$B$2</f>
        <v>0.06</v>
      </c>
      <c r="X7" s="5">
        <f t="shared" si="1"/>
        <v>8</v>
      </c>
      <c r="Y7" s="17">
        <f>X7/$X$8</f>
        <v>0.25</v>
      </c>
      <c r="AD7" s="4" t="s">
        <v>44</v>
      </c>
      <c r="AE7" s="5">
        <f>COUNTIFS(dataset!$E$2:'dataset'!$E$101,"&gt;65",dataset!$F$2:'dataset'!$F$101,"absence", dataset!$D$2:'dataset'!$D$101,"upsloping",dataset!$B$2:'dataset'!$B$101,"male")</f>
        <v>0</v>
      </c>
      <c r="AF7" s="16">
        <f>AE7/$AK$8</f>
        <v>0</v>
      </c>
      <c r="AG7" s="5">
        <f>AE7/$B$2</f>
        <v>0</v>
      </c>
      <c r="AH7" s="5">
        <f>COUNTIFS(dataset!$E$2:'dataset'!$E$101,"&gt;65",dataset!$F$2:'dataset'!$F$101,"presence", dataset!$D$2:'dataset'!$D$101,"upsloping",dataset!$B$2:'dataset'!$B$101,"male")</f>
        <v>0</v>
      </c>
      <c r="AI7" s="16">
        <f t="shared" ref="AI7:AI8" si="7">AH7/$AK$8</f>
        <v>0</v>
      </c>
      <c r="AJ7" s="5">
        <f>AH7/$B$2</f>
        <v>0</v>
      </c>
      <c r="AK7" s="5">
        <f t="shared" si="2"/>
        <v>0</v>
      </c>
      <c r="AL7" s="17">
        <f>AK7/$AK$8</f>
        <v>0</v>
      </c>
    </row>
    <row r="8" spans="2:38" x14ac:dyDescent="0.2">
      <c r="B8" s="8"/>
      <c r="D8" s="4" t="s">
        <v>14</v>
      </c>
      <c r="E8" s="5">
        <f t="shared" ref="E8" si="8">SUM(E6:E7)</f>
        <v>22</v>
      </c>
      <c r="F8" s="16">
        <f>E8/$K$8</f>
        <v>0.6875</v>
      </c>
      <c r="G8" s="5"/>
      <c r="H8" s="5">
        <f>SUM(H6:H7)</f>
        <v>10</v>
      </c>
      <c r="I8" s="16">
        <f>H8/$K$8</f>
        <v>0.3125</v>
      </c>
      <c r="J8" s="5"/>
      <c r="K8" s="5">
        <f>SUM(E8,H8)</f>
        <v>32</v>
      </c>
      <c r="L8" s="5"/>
      <c r="Q8" s="4" t="s">
        <v>14</v>
      </c>
      <c r="R8" s="5">
        <f t="shared" ref="R8" si="9">SUM(R6:R7)</f>
        <v>22</v>
      </c>
      <c r="S8" s="16">
        <f t="shared" si="5"/>
        <v>0.6875</v>
      </c>
      <c r="T8" s="5"/>
      <c r="U8" s="5">
        <f>SUM(U6:U7)</f>
        <v>10</v>
      </c>
      <c r="V8" s="16">
        <f t="shared" si="6"/>
        <v>0.3125</v>
      </c>
      <c r="W8" s="5"/>
      <c r="X8" s="5">
        <f>SUM(R8,U8)</f>
        <v>32</v>
      </c>
      <c r="Y8" s="5"/>
      <c r="AD8" s="4" t="s">
        <v>14</v>
      </c>
      <c r="AE8" s="5">
        <f t="shared" ref="AE8" si="10">SUM(AE6:AE7)</f>
        <v>22</v>
      </c>
      <c r="AF8" s="16">
        <f>AE8/$AK$8</f>
        <v>0.6875</v>
      </c>
      <c r="AG8" s="5"/>
      <c r="AH8" s="5">
        <f>SUM(AH6:AH7)</f>
        <v>10</v>
      </c>
      <c r="AI8" s="16">
        <f t="shared" si="7"/>
        <v>0.3125</v>
      </c>
      <c r="AJ8" s="5"/>
      <c r="AK8" s="5">
        <f>SUM(AE8,AH8)</f>
        <v>32</v>
      </c>
      <c r="AL8" s="5"/>
    </row>
    <row r="9" spans="2:38" x14ac:dyDescent="0.2">
      <c r="B9" s="8"/>
      <c r="D9" s="1"/>
      <c r="E9" s="1"/>
      <c r="F9" s="1"/>
      <c r="G9" s="1"/>
      <c r="H9" s="1"/>
      <c r="I9" s="1"/>
      <c r="J9" s="1"/>
      <c r="Q9" s="1"/>
      <c r="R9" s="1"/>
      <c r="S9" s="1"/>
      <c r="T9" s="1"/>
      <c r="U9" s="1"/>
      <c r="V9" s="1"/>
      <c r="W9" s="1"/>
      <c r="AD9" s="1"/>
      <c r="AE9" s="1"/>
      <c r="AF9" s="1"/>
      <c r="AG9" s="1"/>
      <c r="AH9" s="1"/>
      <c r="AI9" s="1"/>
      <c r="AJ9" s="1"/>
    </row>
    <row r="10" spans="2:38" x14ac:dyDescent="0.2">
      <c r="B10" s="8"/>
      <c r="D10" s="1" t="s">
        <v>121</v>
      </c>
      <c r="E10" s="6">
        <f>G6*LOG(F6/(F8*L6),2)</f>
        <v>9.0309622449856713E-4</v>
      </c>
      <c r="F10" s="1"/>
      <c r="G10" s="1" t="s">
        <v>20</v>
      </c>
      <c r="H10" s="6">
        <f>2*LN(2)*K8*E14</f>
        <v>2.1178101641286485E-3</v>
      </c>
      <c r="I10" s="1"/>
      <c r="J10" s="1"/>
      <c r="Q10" s="1" t="s">
        <v>133</v>
      </c>
      <c r="R10" s="6">
        <f>T6*LOG(S6/(S8*Y6),2)</f>
        <v>5.5506795105781798E-2</v>
      </c>
      <c r="S10" s="1"/>
      <c r="T10" s="1" t="s">
        <v>20</v>
      </c>
      <c r="U10" s="6">
        <f>2*LN(2)*X8*R14</f>
        <v>2.9200728422566811</v>
      </c>
      <c r="V10" s="1"/>
      <c r="W10" s="1"/>
      <c r="AD10" s="1" t="s">
        <v>144</v>
      </c>
      <c r="AE10" s="6">
        <f>AG6*LOG(AF6/(AF8*AL6),2)</f>
        <v>0</v>
      </c>
      <c r="AF10" s="1"/>
      <c r="AG10" s="1" t="s">
        <v>20</v>
      </c>
      <c r="AH10" s="6">
        <f>2*LN(2)*AK8*AE14</f>
        <v>0</v>
      </c>
      <c r="AI10" s="1"/>
      <c r="AJ10" s="1"/>
    </row>
    <row r="11" spans="2:38" x14ac:dyDescent="0.2">
      <c r="B11" s="8"/>
      <c r="D11" s="1" t="s">
        <v>122</v>
      </c>
      <c r="E11" s="6">
        <f>G7*LOG(F7/(F8*L7),2)</f>
        <v>-8.8788238716906796E-4</v>
      </c>
      <c r="F11" s="1"/>
      <c r="G11" s="1" t="s">
        <v>50</v>
      </c>
      <c r="H11" s="1">
        <v>3.8410000000000002</v>
      </c>
      <c r="I11" s="1"/>
      <c r="J11" s="1"/>
      <c r="Q11" s="1" t="s">
        <v>134</v>
      </c>
      <c r="R11" s="6">
        <f>T7*LOG(S7/(S8*Y7),2)</f>
        <v>-2.9188632372745948E-2</v>
      </c>
      <c r="S11" s="1"/>
      <c r="T11" s="1" t="s">
        <v>50</v>
      </c>
      <c r="U11" s="7">
        <v>3.8410000000000002</v>
      </c>
      <c r="V11" s="1"/>
      <c r="W11" s="1"/>
      <c r="AD11" s="1" t="s">
        <v>145</v>
      </c>
      <c r="AE11" s="6">
        <f>AG7*0</f>
        <v>0</v>
      </c>
      <c r="AF11" s="1"/>
      <c r="AG11" s="1" t="s">
        <v>50</v>
      </c>
      <c r="AH11" s="7">
        <v>3.8410000000000002</v>
      </c>
      <c r="AI11" s="1"/>
      <c r="AJ11" s="1"/>
    </row>
    <row r="12" spans="2:38" x14ac:dyDescent="0.2">
      <c r="B12" s="8"/>
      <c r="D12" s="1" t="s">
        <v>123</v>
      </c>
      <c r="E12" s="6">
        <f>J6*LOG(I6/(I8*L6),2)</f>
        <v>-8.9856797153599127E-4</v>
      </c>
      <c r="F12" s="1"/>
      <c r="G12" s="1" t="s">
        <v>51</v>
      </c>
      <c r="H12" s="1" t="b">
        <f>IF(H10&gt;H11, TRUE, FALSE)</f>
        <v>0</v>
      </c>
      <c r="I12" s="1"/>
      <c r="J12" s="1"/>
      <c r="Q12" s="1" t="s">
        <v>135</v>
      </c>
      <c r="R12" s="6">
        <f>W6*LOG(V6/(V8*Y6),2)</f>
        <v>-3.6275623824340748E-2</v>
      </c>
      <c r="S12" s="1"/>
      <c r="T12" s="1" t="s">
        <v>51</v>
      </c>
      <c r="U12" s="1" t="b">
        <f>IF(U10&gt;U11, TRUE, FALSE)</f>
        <v>0</v>
      </c>
      <c r="V12" s="1"/>
      <c r="W12" s="1"/>
      <c r="AD12" s="1" t="s">
        <v>146</v>
      </c>
      <c r="AE12" s="6">
        <f>AJ6*LOG(AI6/(AI8*AL6),2)</f>
        <v>0</v>
      </c>
      <c r="AF12" s="1"/>
      <c r="AG12" s="1" t="s">
        <v>51</v>
      </c>
      <c r="AH12" s="1" t="b">
        <f>IF(AH10&gt;AH11, TRUE, FALSE)</f>
        <v>0</v>
      </c>
      <c r="AI12" s="1"/>
      <c r="AJ12" s="1"/>
    </row>
    <row r="13" spans="2:38" x14ac:dyDescent="0.2">
      <c r="B13" s="8"/>
      <c r="D13" s="1" t="s">
        <v>124</v>
      </c>
      <c r="E13" s="6">
        <f>J7*LOG(I7/(I8*L7),2)</f>
        <v>9.3109404391481464E-4</v>
      </c>
      <c r="F13" s="1"/>
      <c r="G13" s="1"/>
      <c r="H13" s="1"/>
      <c r="I13" s="1"/>
      <c r="J13" s="1"/>
      <c r="Q13" s="1" t="s">
        <v>136</v>
      </c>
      <c r="R13" s="6">
        <f>W7*LOG(V7/(V8*Y7),2)</f>
        <v>7.5782064350027614E-2</v>
      </c>
      <c r="S13" s="1"/>
      <c r="T13" s="1"/>
      <c r="U13" s="1"/>
      <c r="V13" s="1"/>
      <c r="W13" s="1"/>
      <c r="AD13" s="1" t="s">
        <v>147</v>
      </c>
      <c r="AE13" s="6">
        <f>AJ7*0</f>
        <v>0</v>
      </c>
      <c r="AF13" s="1"/>
      <c r="AG13" s="1"/>
      <c r="AH13" s="1"/>
      <c r="AI13" s="1"/>
      <c r="AJ13" s="1"/>
    </row>
    <row r="14" spans="2:38" x14ac:dyDescent="0.2">
      <c r="B14" s="8"/>
      <c r="D14" s="1" t="s">
        <v>125</v>
      </c>
      <c r="E14" s="27">
        <f>SUM(E10:E13)</f>
        <v>4.7739909708322545E-5</v>
      </c>
      <c r="F14" s="1"/>
      <c r="G14" s="1"/>
      <c r="H14" s="1"/>
      <c r="I14" s="1"/>
      <c r="J14" s="1"/>
      <c r="Q14" s="1" t="s">
        <v>137</v>
      </c>
      <c r="R14" s="6">
        <f>SUM(R10:R13)</f>
        <v>6.5824603258722719E-2</v>
      </c>
      <c r="S14" s="1"/>
      <c r="T14" s="1"/>
      <c r="U14" s="1"/>
      <c r="V14" s="1"/>
      <c r="W14" s="1"/>
      <c r="AD14" s="1" t="s">
        <v>137</v>
      </c>
      <c r="AE14" s="6">
        <f>SUM(AE10:AE13)</f>
        <v>0</v>
      </c>
      <c r="AF14" s="1"/>
      <c r="AG14" s="1"/>
      <c r="AH14" s="1"/>
      <c r="AI14" s="1"/>
      <c r="AJ14" s="1"/>
    </row>
    <row r="15" spans="2:38" x14ac:dyDescent="0.2">
      <c r="B15" s="8"/>
    </row>
    <row r="16" spans="2:38" x14ac:dyDescent="0.2">
      <c r="B16" s="8"/>
    </row>
    <row r="17" spans="2:38" x14ac:dyDescent="0.2">
      <c r="B17" s="8"/>
    </row>
    <row r="18" spans="2:38" x14ac:dyDescent="0.2">
      <c r="B18" s="8"/>
      <c r="D18" s="1" t="s">
        <v>126</v>
      </c>
      <c r="E18" s="1"/>
      <c r="F18" s="1"/>
      <c r="G18" s="1"/>
      <c r="H18" s="1"/>
      <c r="I18" s="1"/>
      <c r="J18" s="1"/>
      <c r="Q18" s="1" t="s">
        <v>138</v>
      </c>
      <c r="R18" s="1"/>
      <c r="S18" s="1"/>
      <c r="T18" s="1"/>
      <c r="U18" s="1"/>
      <c r="V18" s="1"/>
      <c r="W18" s="1"/>
      <c r="AD18" s="1" t="s">
        <v>138</v>
      </c>
      <c r="AE18" s="1"/>
      <c r="AF18" s="1"/>
      <c r="AG18" s="1"/>
      <c r="AH18" s="1"/>
      <c r="AI18" s="1"/>
      <c r="AJ18" s="1"/>
    </row>
    <row r="19" spans="2:38" x14ac:dyDescent="0.2">
      <c r="B19" s="8"/>
      <c r="D19" s="4" t="s">
        <v>34</v>
      </c>
      <c r="E19" s="4" t="s">
        <v>7</v>
      </c>
      <c r="F19" s="4" t="s">
        <v>12</v>
      </c>
      <c r="G19" s="4" t="s">
        <v>13</v>
      </c>
      <c r="H19" s="4" t="s">
        <v>9</v>
      </c>
      <c r="I19" s="4" t="s">
        <v>12</v>
      </c>
      <c r="J19" s="4" t="s">
        <v>13</v>
      </c>
      <c r="K19" s="4" t="s">
        <v>14</v>
      </c>
      <c r="L19" s="4" t="s">
        <v>12</v>
      </c>
      <c r="Q19" s="4" t="s">
        <v>38</v>
      </c>
      <c r="R19" s="4" t="s">
        <v>7</v>
      </c>
      <c r="S19" s="4" t="s">
        <v>12</v>
      </c>
      <c r="T19" s="4" t="s">
        <v>13</v>
      </c>
      <c r="U19" s="4" t="s">
        <v>9</v>
      </c>
      <c r="V19" s="4" t="s">
        <v>12</v>
      </c>
      <c r="W19" s="4" t="s">
        <v>13</v>
      </c>
      <c r="X19" s="4" t="s">
        <v>14</v>
      </c>
      <c r="Y19" s="4" t="s">
        <v>12</v>
      </c>
      <c r="AD19" s="4" t="s">
        <v>38</v>
      </c>
      <c r="AE19" s="4" t="s">
        <v>7</v>
      </c>
      <c r="AF19" s="4" t="s">
        <v>12</v>
      </c>
      <c r="AG19" s="4" t="s">
        <v>13</v>
      </c>
      <c r="AH19" s="4" t="s">
        <v>9</v>
      </c>
      <c r="AI19" s="4" t="s">
        <v>12</v>
      </c>
      <c r="AJ19" s="4" t="s">
        <v>13</v>
      </c>
      <c r="AK19" s="4" t="s">
        <v>14</v>
      </c>
      <c r="AL19" s="4" t="s">
        <v>12</v>
      </c>
    </row>
    <row r="20" spans="2:38" x14ac:dyDescent="0.2">
      <c r="B20" s="8"/>
      <c r="D20" s="4" t="b">
        <v>0</v>
      </c>
      <c r="E20" s="5">
        <f>COUNTIFS(dataset!$C$2:'dataset'!$C$101,"FALSE",dataset!$F$2:'dataset'!$F$101,"absence", dataset!$D$2:'dataset'!$D$101,"upsloping",dataset!$B$2:'dataset'!$B$101,"female")</f>
        <v>14</v>
      </c>
      <c r="F20" s="16">
        <f>E20/$K$22</f>
        <v>0.77777777777777779</v>
      </c>
      <c r="G20" s="5">
        <f>E20/$B$2</f>
        <v>0.14000000000000001</v>
      </c>
      <c r="H20" s="5">
        <f>COUNTIFS(dataset!$C$2:'dataset'!$C$101,"FALSE",dataset!$F$2:'dataset'!$F$101,"presence", dataset!$D$2:'dataset'!$D$101,"upsloping",dataset!$B$2:'dataset'!$B$101,"female")</f>
        <v>1</v>
      </c>
      <c r="I20" s="16">
        <f>H20/$K$22</f>
        <v>5.5555555555555552E-2</v>
      </c>
      <c r="J20" s="5">
        <f>H20/$B$2</f>
        <v>0.01</v>
      </c>
      <c r="K20" s="5">
        <f t="shared" ref="K20:K21" si="11">SUM(E20,H20)</f>
        <v>15</v>
      </c>
      <c r="L20" s="16">
        <f>K20/$K$22</f>
        <v>0.83333333333333337</v>
      </c>
      <c r="Q20" s="4" t="s">
        <v>32</v>
      </c>
      <c r="R20" s="5">
        <f>COUNTIFS(dataset!$E$2:'dataset'!$E$101,"&lt;=57",dataset!$F$2:'dataset'!$F$101,"absence", dataset!$D$2:'dataset'!$D$101,"upsloping",dataset!$B$2:'dataset'!$B$101,"female")</f>
        <v>9</v>
      </c>
      <c r="S20" s="5">
        <f>R20/$X$22</f>
        <v>0.5</v>
      </c>
      <c r="T20" s="5">
        <f>R20/$B$2</f>
        <v>0.09</v>
      </c>
      <c r="U20" s="5">
        <f>COUNTIFS(dataset!$E$2:'dataset'!$E$101,"&lt;=57",dataset!$F$2:'dataset'!$F$101,"presence", dataset!$D$2:'dataset'!$D$101,"upsloping",dataset!$B$2:'dataset'!$B$101,"female")</f>
        <v>0</v>
      </c>
      <c r="V20" s="5">
        <f>U20/$X$22</f>
        <v>0</v>
      </c>
      <c r="W20" s="5">
        <f>U20/$B$2</f>
        <v>0</v>
      </c>
      <c r="X20" s="5">
        <f t="shared" ref="X20:X21" si="12">SUM(R20,U20)</f>
        <v>9</v>
      </c>
      <c r="Y20" s="17">
        <f>X20/$X$22</f>
        <v>0.5</v>
      </c>
      <c r="AD20" s="4" t="s">
        <v>43</v>
      </c>
      <c r="AE20" s="5">
        <f>COUNTIFS(dataset!$E$2:'dataset'!$E$101,"&lt;=65",dataset!$F$2:'dataset'!$F$101,"absence", dataset!$D$2:'dataset'!$D$101,"upsloping",dataset!$B$2:'dataset'!$B$101,"female")</f>
        <v>15</v>
      </c>
      <c r="AF20" s="16">
        <f>AE20/$AK$22</f>
        <v>0.83333333333333337</v>
      </c>
      <c r="AG20" s="5">
        <f>AE20/$B$2</f>
        <v>0.15</v>
      </c>
      <c r="AH20" s="5">
        <f>COUNTIFS(dataset!$E$2:'dataset'!$E$101,"&lt;=65",dataset!$F$2:'dataset'!$F$101,"presence", dataset!$D$2:'dataset'!$D$101,"upsloping",dataset!$B$2:'dataset'!$B$101,"female")</f>
        <v>1</v>
      </c>
      <c r="AI20" s="16">
        <f>AH20/$AK$22</f>
        <v>5.5555555555555552E-2</v>
      </c>
      <c r="AJ20" s="5">
        <f>AH20/$B$2</f>
        <v>0.01</v>
      </c>
      <c r="AK20" s="5">
        <f t="shared" ref="AK20:AK21" si="13">SUM(AE20,AH20)</f>
        <v>16</v>
      </c>
      <c r="AL20" s="17">
        <f>AK20/$AK$22</f>
        <v>0.88888888888888884</v>
      </c>
    </row>
    <row r="21" spans="2:38" x14ac:dyDescent="0.2">
      <c r="B21" s="8"/>
      <c r="D21" s="4" t="b">
        <v>1</v>
      </c>
      <c r="E21" s="5">
        <f>COUNTIFS(dataset!$C$2:'dataset'!$C$101,"TRUE",dataset!$F$2:'dataset'!$F$101,"absence", dataset!$D$2:'dataset'!$D$101,"upsloping",dataset!$B$2:'dataset'!$B$101,"female")</f>
        <v>3</v>
      </c>
      <c r="F21" s="16">
        <f t="shared" ref="F21:F22" si="14">E21/$K$22</f>
        <v>0.16666666666666666</v>
      </c>
      <c r="G21" s="5">
        <f>E21/$B$2</f>
        <v>0.03</v>
      </c>
      <c r="H21" s="5">
        <f>COUNTIFS(dataset!$C$2:'dataset'!$C$101,"TRUE",dataset!$F$2:'dataset'!$F$101,"presence", dataset!$D$2:'dataset'!$D$101,"upsloping",dataset!$B$2:'dataset'!$B$101,"female")</f>
        <v>0</v>
      </c>
      <c r="I21" s="16">
        <f t="shared" ref="I21:I22" si="15">H21/$K$22</f>
        <v>0</v>
      </c>
      <c r="J21" s="5">
        <f>H21/$B$2</f>
        <v>0</v>
      </c>
      <c r="K21" s="5">
        <f t="shared" si="11"/>
        <v>3</v>
      </c>
      <c r="L21" s="16">
        <f>K21/$K$22</f>
        <v>0.16666666666666666</v>
      </c>
      <c r="Q21" s="4" t="s">
        <v>37</v>
      </c>
      <c r="R21" s="5">
        <f>COUNTIFS(dataset!$E$2:'dataset'!$E$101,"&gt;57",dataset!$F$2:'dataset'!$F$101,"absence", dataset!$D$2:'dataset'!$D$101,"upsloping",dataset!$B$2:'dataset'!$B$101,"female")</f>
        <v>8</v>
      </c>
      <c r="S21" s="16">
        <f t="shared" ref="S21:S22" si="16">R21/$X$22</f>
        <v>0.44444444444444442</v>
      </c>
      <c r="T21" s="5">
        <f>R21/$B$2</f>
        <v>0.08</v>
      </c>
      <c r="U21" s="5">
        <f>COUNTIFS(dataset!$E$2:'dataset'!$E$101,"&gt;57",dataset!$F$2:'dataset'!$F$101,"presence", dataset!$D$2:'dataset'!$D$101,"upsloping",dataset!$B$2:'dataset'!$B$101,"female")</f>
        <v>1</v>
      </c>
      <c r="V21" s="16">
        <f t="shared" ref="V21:V22" si="17">U21/$X$22</f>
        <v>5.5555555555555552E-2</v>
      </c>
      <c r="W21" s="5">
        <f>U21/$B$2</f>
        <v>0.01</v>
      </c>
      <c r="X21" s="5">
        <f t="shared" si="12"/>
        <v>9</v>
      </c>
      <c r="Y21" s="17">
        <f>X21/$X$22</f>
        <v>0.5</v>
      </c>
      <c r="AD21" s="4" t="s">
        <v>44</v>
      </c>
      <c r="AE21" s="5">
        <f>COUNTIFS(dataset!$E$2:'dataset'!$E$101,"&gt;65",dataset!$F$2:'dataset'!$F$101,"absence", dataset!$D$2:'dataset'!$D$101,"upsloping",dataset!$B$2:'dataset'!$B$101,"female")</f>
        <v>2</v>
      </c>
      <c r="AF21" s="16">
        <f t="shared" ref="AF21:AF22" si="18">AE21/$AK$22</f>
        <v>0.1111111111111111</v>
      </c>
      <c r="AG21" s="5">
        <f>AE21/$B$2</f>
        <v>0.02</v>
      </c>
      <c r="AH21" s="5">
        <f>COUNTIFS(dataset!$E$2:'dataset'!$E$101,"&gt;65",dataset!$F$2:'dataset'!$F$101,"presence", dataset!$D$2:'dataset'!$D$101,"upsloping",dataset!$B$2:'dataset'!$B$101,"female")</f>
        <v>0</v>
      </c>
      <c r="AI21" s="16">
        <f t="shared" ref="AI21:AI22" si="19">AH21/$AK$22</f>
        <v>0</v>
      </c>
      <c r="AJ21" s="5">
        <f>AH21/$B$2</f>
        <v>0</v>
      </c>
      <c r="AK21" s="5">
        <f t="shared" si="13"/>
        <v>2</v>
      </c>
      <c r="AL21" s="17">
        <f>AK21/$AK$22</f>
        <v>0.1111111111111111</v>
      </c>
    </row>
    <row r="22" spans="2:38" x14ac:dyDescent="0.2">
      <c r="B22" s="8"/>
      <c r="D22" s="4" t="s">
        <v>14</v>
      </c>
      <c r="E22" s="5">
        <f t="shared" ref="E22" si="20">SUM(E20:E21)</f>
        <v>17</v>
      </c>
      <c r="F22" s="16">
        <f t="shared" si="14"/>
        <v>0.94444444444444442</v>
      </c>
      <c r="G22" s="5"/>
      <c r="H22" s="5">
        <f>SUM(H20:H21)</f>
        <v>1</v>
      </c>
      <c r="I22" s="16">
        <f t="shared" si="15"/>
        <v>5.5555555555555552E-2</v>
      </c>
      <c r="J22" s="5"/>
      <c r="K22" s="5">
        <f>SUM(E22,H22)</f>
        <v>18</v>
      </c>
      <c r="L22" s="5"/>
      <c r="Q22" s="4" t="s">
        <v>14</v>
      </c>
      <c r="R22" s="5">
        <f t="shared" ref="R22" si="21">SUM(R20:R21)</f>
        <v>17</v>
      </c>
      <c r="S22" s="16">
        <f t="shared" si="16"/>
        <v>0.94444444444444442</v>
      </c>
      <c r="T22" s="5"/>
      <c r="U22" s="5">
        <f>SUM(U20:U21)</f>
        <v>1</v>
      </c>
      <c r="V22" s="16">
        <f t="shared" si="17"/>
        <v>5.5555555555555552E-2</v>
      </c>
      <c r="W22" s="5"/>
      <c r="X22" s="5">
        <f>SUM(R22,U22)</f>
        <v>18</v>
      </c>
      <c r="Y22" s="5"/>
      <c r="AD22" s="4" t="s">
        <v>14</v>
      </c>
      <c r="AE22" s="5">
        <f t="shared" ref="AE22" si="22">SUM(AE20:AE21)</f>
        <v>17</v>
      </c>
      <c r="AF22" s="16">
        <f t="shared" si="18"/>
        <v>0.94444444444444442</v>
      </c>
      <c r="AG22" s="5"/>
      <c r="AH22" s="5">
        <f>SUM(AH20:AH21)</f>
        <v>1</v>
      </c>
      <c r="AI22" s="16">
        <f t="shared" si="19"/>
        <v>5.5555555555555552E-2</v>
      </c>
      <c r="AJ22" s="5"/>
      <c r="AK22" s="5">
        <f>SUM(AE22,AH22)</f>
        <v>18</v>
      </c>
      <c r="AL22" s="5"/>
    </row>
    <row r="23" spans="2:38" x14ac:dyDescent="0.2">
      <c r="B23" s="8"/>
      <c r="D23" s="1"/>
      <c r="E23" s="1"/>
      <c r="F23" s="1"/>
      <c r="G23" s="1"/>
      <c r="H23" s="1"/>
      <c r="I23" s="1"/>
      <c r="J23" s="1"/>
      <c r="Q23" s="1"/>
      <c r="R23" s="1"/>
      <c r="S23" s="1"/>
      <c r="T23" s="1"/>
      <c r="U23" s="1"/>
      <c r="V23" s="1"/>
      <c r="W23" s="1"/>
      <c r="AD23" s="1"/>
      <c r="AE23" s="1"/>
      <c r="AF23" s="1"/>
      <c r="AG23" s="1"/>
      <c r="AH23" s="1"/>
      <c r="AI23" s="1"/>
      <c r="AJ23" s="1"/>
    </row>
    <row r="24" spans="2:38" x14ac:dyDescent="0.2">
      <c r="B24" s="8"/>
      <c r="D24" s="1" t="s">
        <v>127</v>
      </c>
      <c r="E24" s="6">
        <f>G20*LOG(F20/(F22*L20),2)</f>
        <v>-2.3902918702518199E-3</v>
      </c>
      <c r="F24" s="1"/>
      <c r="G24" s="1" t="s">
        <v>20</v>
      </c>
      <c r="H24" s="6">
        <f>2*LN(2)*K22*E28</f>
        <v>6.7721180852073487E-2</v>
      </c>
      <c r="I24" s="1"/>
      <c r="J24" s="1"/>
      <c r="Q24" s="1" t="s">
        <v>139</v>
      </c>
      <c r="R24" s="6">
        <f>T20*LOG(S20/(S22*Y20),2)</f>
        <v>7.4215944172775668E-3</v>
      </c>
      <c r="S24" s="1"/>
      <c r="T24" s="1" t="s">
        <v>20</v>
      </c>
      <c r="U24" s="6">
        <f>2*LN(2)*X22*R28</f>
        <v>0.26012733501168145</v>
      </c>
      <c r="V24" s="1"/>
      <c r="W24" s="1"/>
      <c r="AD24" s="1" t="s">
        <v>148</v>
      </c>
      <c r="AE24" s="6">
        <f>AG20*LOG(AF20/(AF22*AL20),2)</f>
        <v>-1.5970866299262476E-3</v>
      </c>
      <c r="AF24" s="1"/>
      <c r="AG24" s="1" t="s">
        <v>20</v>
      </c>
      <c r="AH24" s="6">
        <f>2*LN(2)*AK22*AE28</f>
        <v>4.370337139389998E-2</v>
      </c>
      <c r="AI24" s="1"/>
      <c r="AJ24" s="1"/>
    </row>
    <row r="25" spans="2:38" x14ac:dyDescent="0.2">
      <c r="B25" s="8"/>
      <c r="D25" s="1" t="s">
        <v>128</v>
      </c>
      <c r="E25" s="6">
        <f>G21*LOG(F21/(F22*L21),2)</f>
        <v>2.4738648057591891E-3</v>
      </c>
      <c r="F25" s="1"/>
      <c r="G25" s="1" t="s">
        <v>50</v>
      </c>
      <c r="H25" s="1">
        <v>3.8410000000000002</v>
      </c>
      <c r="I25" s="1"/>
      <c r="J25" s="1"/>
      <c r="Q25" s="1" t="s">
        <v>140</v>
      </c>
      <c r="R25" s="6">
        <f>T21*LOG(S21/(S22*Y21),2)</f>
        <v>-6.9970273000271544E-3</v>
      </c>
      <c r="S25" s="1"/>
      <c r="T25" s="1" t="s">
        <v>50</v>
      </c>
      <c r="U25" s="7">
        <v>3.8410000000000002</v>
      </c>
      <c r="V25" s="1"/>
      <c r="W25" s="1"/>
      <c r="AD25" s="1" t="s">
        <v>149</v>
      </c>
      <c r="AE25" s="6">
        <f>AG21*LOG(AF21/(AF22*AL21),2)</f>
        <v>1.6492432038394595E-3</v>
      </c>
      <c r="AF25" s="1"/>
      <c r="AG25" s="1" t="s">
        <v>50</v>
      </c>
      <c r="AH25" s="7">
        <v>3.8410000000000002</v>
      </c>
      <c r="AI25" s="1"/>
      <c r="AJ25" s="1"/>
    </row>
    <row r="26" spans="2:38" x14ac:dyDescent="0.2">
      <c r="B26" s="8"/>
      <c r="D26" s="1" t="s">
        <v>129</v>
      </c>
      <c r="E26" s="6">
        <f>J20*LOG(I20/(I22*L20),2)</f>
        <v>2.630344058337938E-3</v>
      </c>
      <c r="F26" s="1"/>
      <c r="G26" s="1" t="s">
        <v>51</v>
      </c>
      <c r="H26" s="1" t="b">
        <f>IF(H24&gt;H25, TRUE, FALSE)</f>
        <v>0</v>
      </c>
      <c r="I26" s="1"/>
      <c r="J26" s="1"/>
      <c r="Q26" s="1" t="s">
        <v>141</v>
      </c>
      <c r="R26" s="6">
        <f>W20*0</f>
        <v>0</v>
      </c>
      <c r="S26" s="1"/>
      <c r="T26" s="1" t="s">
        <v>51</v>
      </c>
      <c r="U26" s="1" t="b">
        <f>IF(U24&gt;U25, TRUE, FALSE)</f>
        <v>0</v>
      </c>
      <c r="V26" s="1"/>
      <c r="W26" s="1"/>
      <c r="AD26" s="1" t="s">
        <v>150</v>
      </c>
      <c r="AE26" s="6">
        <f>AJ20*LOG(AI20/(AI22*AL20),2)</f>
        <v>1.6992500144231237E-3</v>
      </c>
      <c r="AF26" s="1"/>
      <c r="AG26" s="1" t="s">
        <v>51</v>
      </c>
      <c r="AH26" s="1" t="b">
        <f>IF(AH24&gt;AH25, TRUE, FALSE)</f>
        <v>0</v>
      </c>
      <c r="AI26" s="1"/>
      <c r="AJ26" s="1"/>
    </row>
    <row r="27" spans="2:38" x14ac:dyDescent="0.2">
      <c r="B27" s="8"/>
      <c r="D27" s="1" t="s">
        <v>130</v>
      </c>
      <c r="E27" s="6">
        <f>J21*0</f>
        <v>0</v>
      </c>
      <c r="F27" s="1"/>
      <c r="G27" s="1"/>
      <c r="H27" s="1"/>
      <c r="I27" s="1"/>
      <c r="J27" s="1"/>
      <c r="Q27" s="1" t="s">
        <v>142</v>
      </c>
      <c r="R27" s="6">
        <f>W21*LOG(V21/(V22*Y21),2)</f>
        <v>0.01</v>
      </c>
      <c r="S27" s="1"/>
      <c r="T27" s="1"/>
      <c r="U27" s="1"/>
      <c r="V27" s="1"/>
      <c r="W27" s="1"/>
      <c r="AD27" s="1" t="s">
        <v>151</v>
      </c>
      <c r="AE27" s="6">
        <f>AJ21*0</f>
        <v>0</v>
      </c>
      <c r="AF27" s="1"/>
      <c r="AG27" s="1"/>
      <c r="AH27" s="1"/>
      <c r="AI27" s="1"/>
      <c r="AJ27" s="1"/>
    </row>
    <row r="28" spans="2:38" x14ac:dyDescent="0.2">
      <c r="B28" s="8"/>
      <c r="D28" s="1" t="s">
        <v>131</v>
      </c>
      <c r="E28" s="6">
        <f>SUM(E24:E27)</f>
        <v>2.7139169938453071E-3</v>
      </c>
      <c r="F28" s="1"/>
      <c r="G28" s="1"/>
      <c r="H28" s="1"/>
      <c r="I28" s="1"/>
      <c r="J28" s="1"/>
      <c r="Q28" s="1" t="s">
        <v>143</v>
      </c>
      <c r="R28" s="6">
        <f>SUM(R24:R27)</f>
        <v>1.0424567117250413E-2</v>
      </c>
      <c r="S28" s="1"/>
      <c r="T28" s="1"/>
      <c r="U28" s="1"/>
      <c r="V28" s="1"/>
      <c r="W28" s="1"/>
      <c r="AD28" s="1" t="s">
        <v>143</v>
      </c>
      <c r="AE28" s="6">
        <f>SUM(AE24:AE27)</f>
        <v>1.7514065883363357E-3</v>
      </c>
      <c r="AF28" s="1"/>
      <c r="AG28" s="1"/>
      <c r="AH28" s="1"/>
      <c r="AI28" s="1"/>
      <c r="AJ28" s="1"/>
    </row>
    <row r="29" spans="2:38" x14ac:dyDescent="0.2">
      <c r="B29" s="8"/>
    </row>
    <row r="30" spans="2:38" x14ac:dyDescent="0.2">
      <c r="B30" s="8"/>
    </row>
    <row r="31" spans="2:38" x14ac:dyDescent="0.2">
      <c r="B31" s="8"/>
    </row>
    <row r="32" spans="2:38" x14ac:dyDescent="0.2">
      <c r="B32" s="8"/>
      <c r="D32" s="9"/>
      <c r="E32" s="9"/>
      <c r="F32" s="9"/>
      <c r="G32" s="9"/>
      <c r="H32" s="9"/>
      <c r="I32" s="9"/>
      <c r="J32" s="9"/>
      <c r="K32" s="8"/>
      <c r="L32" s="8"/>
    </row>
    <row r="33" spans="2:12" x14ac:dyDescent="0.2">
      <c r="B33" s="8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2">
      <c r="B34" s="8"/>
      <c r="D34" s="20"/>
      <c r="E34" s="21"/>
      <c r="F34" s="26"/>
      <c r="G34" s="21"/>
      <c r="H34" s="21"/>
      <c r="I34" s="26"/>
      <c r="J34" s="21"/>
      <c r="K34" s="21"/>
      <c r="L34" s="26"/>
    </row>
    <row r="35" spans="2:12" x14ac:dyDescent="0.2">
      <c r="B35" s="8"/>
      <c r="D35" s="20"/>
      <c r="E35" s="21"/>
      <c r="F35" s="26"/>
      <c r="G35" s="21"/>
      <c r="H35" s="21"/>
      <c r="I35" s="26"/>
      <c r="J35" s="21"/>
      <c r="K35" s="21"/>
      <c r="L35" s="26"/>
    </row>
    <row r="36" spans="2:12" x14ac:dyDescent="0.2">
      <c r="B36" s="8"/>
      <c r="D36" s="20"/>
      <c r="E36" s="21"/>
      <c r="F36" s="26"/>
      <c r="G36" s="21"/>
      <c r="H36" s="21"/>
      <c r="I36" s="26"/>
      <c r="J36" s="21"/>
      <c r="K36" s="21"/>
      <c r="L36" s="21"/>
    </row>
    <row r="37" spans="2:12" ht="60" x14ac:dyDescent="0.2">
      <c r="B37" s="8"/>
      <c r="D37" s="9"/>
      <c r="E37" s="14" t="s">
        <v>52</v>
      </c>
      <c r="F37" s="15" t="s">
        <v>53</v>
      </c>
      <c r="G37" s="9"/>
      <c r="H37" s="9"/>
      <c r="I37" s="9"/>
      <c r="J37" s="9"/>
      <c r="K37" s="8"/>
      <c r="L37" s="8"/>
    </row>
    <row r="38" spans="2:12" x14ac:dyDescent="0.2">
      <c r="B38" s="8"/>
      <c r="D38" s="9"/>
      <c r="E38" s="2" t="s">
        <v>1</v>
      </c>
      <c r="F38" s="28">
        <v>0</v>
      </c>
      <c r="G38" s="9"/>
      <c r="H38" s="22"/>
      <c r="I38" s="9"/>
      <c r="J38" s="9"/>
      <c r="K38" s="8"/>
      <c r="L38" s="8"/>
    </row>
    <row r="39" spans="2:12" x14ac:dyDescent="0.2">
      <c r="B39" s="8"/>
      <c r="D39" s="9"/>
      <c r="E39" s="2" t="s">
        <v>56</v>
      </c>
      <c r="F39" s="28">
        <v>0</v>
      </c>
      <c r="G39" s="9"/>
      <c r="H39" s="9"/>
      <c r="I39" s="9"/>
      <c r="J39" s="9"/>
      <c r="K39" s="8"/>
      <c r="L39" s="8"/>
    </row>
    <row r="40" spans="2:12" x14ac:dyDescent="0.2">
      <c r="B40" s="8"/>
      <c r="D40" s="9"/>
      <c r="E40" s="2" t="s">
        <v>57</v>
      </c>
      <c r="F40" s="28">
        <v>0</v>
      </c>
      <c r="G40" s="9"/>
      <c r="H40" s="9"/>
      <c r="I40" s="9"/>
      <c r="J40" s="9"/>
      <c r="K40" s="8"/>
      <c r="L40" s="8"/>
    </row>
    <row r="41" spans="2:12" ht="21" x14ac:dyDescent="0.25">
      <c r="B41" s="10"/>
      <c r="D41" s="9"/>
      <c r="I41" s="8"/>
      <c r="J41" s="20"/>
      <c r="K41" s="21"/>
      <c r="L41" s="8"/>
    </row>
    <row r="42" spans="2:12" x14ac:dyDescent="0.2">
      <c r="B42" s="8"/>
      <c r="D42" s="9"/>
      <c r="E42" s="22"/>
      <c r="F42" s="9"/>
      <c r="I42" s="8"/>
      <c r="L42" s="8"/>
    </row>
    <row r="43" spans="2:12" x14ac:dyDescent="0.2">
      <c r="B43" s="8"/>
      <c r="I43" s="23"/>
    </row>
    <row r="44" spans="2:12" x14ac:dyDescent="0.2">
      <c r="B44" s="8"/>
      <c r="I44" s="8"/>
    </row>
    <row r="45" spans="2:12" x14ac:dyDescent="0.2">
      <c r="B45" s="8"/>
      <c r="I45" s="8"/>
    </row>
    <row r="46" spans="2:12" ht="21" x14ac:dyDescent="0.25">
      <c r="B46" s="10"/>
      <c r="I46" s="8"/>
    </row>
    <row r="47" spans="2:12" x14ac:dyDescent="0.2">
      <c r="B47" s="8"/>
      <c r="I47" s="8"/>
      <c r="J47" s="1"/>
      <c r="K47" s="1"/>
    </row>
    <row r="48" spans="2:12" x14ac:dyDescent="0.2">
      <c r="B48" s="8"/>
    </row>
    <row r="49" spans="2:2" x14ac:dyDescent="0.2">
      <c r="B49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83" spans="2:26" s="1" customFormat="1" x14ac:dyDescent="0.2">
      <c r="B83"/>
      <c r="P83"/>
      <c r="Q83"/>
      <c r="R83"/>
      <c r="S83"/>
      <c r="T83"/>
      <c r="U83"/>
      <c r="V83"/>
      <c r="W83"/>
      <c r="X83"/>
      <c r="Y83"/>
      <c r="Z83"/>
    </row>
    <row r="84" spans="2:26" s="1" customFormat="1" x14ac:dyDescent="0.2">
      <c r="B84"/>
      <c r="P84"/>
      <c r="Q84"/>
      <c r="R84"/>
      <c r="S84"/>
      <c r="T84"/>
      <c r="U84"/>
      <c r="V84"/>
      <c r="W84"/>
      <c r="X84"/>
      <c r="Y84"/>
      <c r="Z84"/>
    </row>
    <row r="85" spans="2:26" s="1" customFormat="1" x14ac:dyDescent="0.2">
      <c r="B85"/>
      <c r="P85"/>
      <c r="Q85"/>
      <c r="R85"/>
      <c r="S85"/>
      <c r="T85"/>
      <c r="U85"/>
      <c r="V85"/>
      <c r="W85"/>
      <c r="X85"/>
      <c r="Y85"/>
      <c r="Z85"/>
    </row>
    <row r="86" spans="2:26" s="1" customFormat="1" x14ac:dyDescent="0.2">
      <c r="B86"/>
      <c r="P86"/>
      <c r="Q86"/>
      <c r="R86"/>
      <c r="S86"/>
      <c r="T86"/>
      <c r="U86"/>
      <c r="V86"/>
      <c r="W86"/>
      <c r="X86"/>
      <c r="Y86"/>
      <c r="Z86"/>
    </row>
    <row r="87" spans="2:26" s="1" customFormat="1" x14ac:dyDescent="0.2">
      <c r="B87"/>
      <c r="P87"/>
      <c r="Q87"/>
      <c r="R87"/>
      <c r="S87"/>
      <c r="T87"/>
      <c r="U87"/>
      <c r="V87"/>
      <c r="W87"/>
      <c r="X87"/>
      <c r="Y87"/>
      <c r="Z87"/>
    </row>
    <row r="88" spans="2:26" s="1" customFormat="1" x14ac:dyDescent="0.2">
      <c r="B88"/>
      <c r="P88"/>
      <c r="Q88"/>
      <c r="R88"/>
      <c r="S88"/>
      <c r="T88"/>
      <c r="U88"/>
      <c r="V88"/>
      <c r="W88"/>
      <c r="X88"/>
      <c r="Y88"/>
      <c r="Z88"/>
    </row>
    <row r="92" spans="2:26" x14ac:dyDescent="0.2">
      <c r="I92" s="21"/>
    </row>
    <row r="93" spans="2:26" x14ac:dyDescent="0.2">
      <c r="I93" s="21"/>
    </row>
    <row r="94" spans="2:26" x14ac:dyDescent="0.2">
      <c r="I94" s="9"/>
    </row>
    <row r="95" spans="2:26" x14ac:dyDescent="0.2">
      <c r="I95" s="9"/>
    </row>
    <row r="96" spans="2:26" x14ac:dyDescent="0.2">
      <c r="I96" s="9"/>
    </row>
    <row r="97" spans="6:9" x14ac:dyDescent="0.2">
      <c r="I97" s="9"/>
    </row>
    <row r="98" spans="6:9" x14ac:dyDescent="0.2">
      <c r="I98" s="9"/>
    </row>
    <row r="99" spans="6:9" x14ac:dyDescent="0.2">
      <c r="F99" s="8"/>
      <c r="G99" s="9"/>
      <c r="H99" s="22"/>
      <c r="I99" s="9"/>
    </row>
    <row r="100" spans="6:9" x14ac:dyDescent="0.2">
      <c r="F100" s="8"/>
      <c r="G100" s="9"/>
      <c r="H100" s="22"/>
      <c r="I100" s="9"/>
    </row>
    <row r="101" spans="6:9" x14ac:dyDescent="0.2">
      <c r="F101" s="8"/>
      <c r="G101" s="9"/>
      <c r="H101" s="22"/>
      <c r="I101" s="9"/>
    </row>
    <row r="102" spans="6:9" x14ac:dyDescent="0.2">
      <c r="F102" s="8"/>
      <c r="G102" s="9"/>
      <c r="H102" s="9"/>
      <c r="I102" s="9"/>
    </row>
    <row r="103" spans="6:9" x14ac:dyDescent="0.2">
      <c r="G103" s="1"/>
      <c r="H103" s="1"/>
      <c r="I103" s="1"/>
    </row>
    <row r="104" spans="6:9" x14ac:dyDescent="0.2">
      <c r="G104" s="1"/>
      <c r="H104" s="1"/>
      <c r="I104" s="1"/>
    </row>
    <row r="105" spans="6:9" ht="21" x14ac:dyDescent="0.25">
      <c r="F105" s="10"/>
      <c r="G105" s="9"/>
      <c r="H105" s="9"/>
      <c r="I105" s="9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6C8F-DA84-6C48-8679-02047E69D33A}">
  <sheetPr>
    <tabColor theme="5" tint="0.39997558519241921"/>
  </sheetPr>
  <dimension ref="A11:B68"/>
  <sheetViews>
    <sheetView tabSelected="1" topLeftCell="A45" zoomScale="181" zoomScaleNormal="70" workbookViewId="0">
      <selection activeCell="H62" sqref="H62"/>
    </sheetView>
  </sheetViews>
  <sheetFormatPr baseColWidth="10" defaultColWidth="10.6640625" defaultRowHeight="16" x14ac:dyDescent="0.2"/>
  <cols>
    <col min="1" max="1" width="57.1640625" bestFit="1" customWidth="1"/>
  </cols>
  <sheetData>
    <row r="11" spans="1:2" ht="17" thickBot="1" x14ac:dyDescent="0.25"/>
    <row r="12" spans="1:2" x14ac:dyDescent="0.2">
      <c r="A12" s="40" t="s">
        <v>156</v>
      </c>
      <c r="B12" s="42">
        <f>COUNTIFS(dataset!$F$2:'dataset'!$F$101,"absence")</f>
        <v>57</v>
      </c>
    </row>
    <row r="13" spans="1:2" x14ac:dyDescent="0.2">
      <c r="A13" s="33" t="s">
        <v>157</v>
      </c>
      <c r="B13" s="34">
        <f>COUNTIFS(dataset!$F$2:'dataset'!$F$101,"presence")</f>
        <v>43</v>
      </c>
    </row>
    <row r="14" spans="1:2" x14ac:dyDescent="0.2">
      <c r="A14" s="33" t="s">
        <v>159</v>
      </c>
      <c r="B14" s="34">
        <f>B12/B16</f>
        <v>0.56999999999999995</v>
      </c>
    </row>
    <row r="15" spans="1:2" x14ac:dyDescent="0.2">
      <c r="A15" s="33" t="s">
        <v>160</v>
      </c>
      <c r="B15" s="34">
        <f>B13/B16</f>
        <v>0.43</v>
      </c>
    </row>
    <row r="16" spans="1:2" ht="17" thickBot="1" x14ac:dyDescent="0.25">
      <c r="A16" s="36" t="s">
        <v>158</v>
      </c>
      <c r="B16" s="43">
        <v>100</v>
      </c>
    </row>
    <row r="18" spans="1:2" ht="17" thickBot="1" x14ac:dyDescent="0.25"/>
    <row r="19" spans="1:2" ht="17" thickBot="1" x14ac:dyDescent="0.25">
      <c r="A19" s="29" t="s">
        <v>152</v>
      </c>
      <c r="B19" s="30"/>
    </row>
    <row r="20" spans="1:2" x14ac:dyDescent="0.2">
      <c r="A20" s="31" t="s">
        <v>153</v>
      </c>
      <c r="B20" s="32">
        <f>COUNTIFS(dataset!D$2:'dataset'!D$101,"flat")</f>
        <v>39</v>
      </c>
    </row>
    <row r="21" spans="1:2" x14ac:dyDescent="0.2">
      <c r="A21" s="33" t="s">
        <v>154</v>
      </c>
      <c r="B21" s="34">
        <f>COUNTIFS(dataset!D$2:'dataset'!D$101,"flat",dataset!$F$2:'dataset'!$F$101,"absence")</f>
        <v>12</v>
      </c>
    </row>
    <row r="22" spans="1:2" x14ac:dyDescent="0.2">
      <c r="A22" s="33" t="s">
        <v>155</v>
      </c>
      <c r="B22" s="34">
        <f>COUNTIFS(dataset!D$2:'dataset'!D$101,"flat",dataset!$F$2:'dataset'!$F$101,"presence")</f>
        <v>27</v>
      </c>
    </row>
    <row r="23" spans="1:2" x14ac:dyDescent="0.2">
      <c r="A23" s="33" t="s">
        <v>161</v>
      </c>
      <c r="B23" s="35">
        <f>B21/B20</f>
        <v>0.30769230769230771</v>
      </c>
    </row>
    <row r="24" spans="1:2" x14ac:dyDescent="0.2">
      <c r="A24" s="33" t="s">
        <v>162</v>
      </c>
      <c r="B24" s="34">
        <f>B21/B16</f>
        <v>0.12</v>
      </c>
    </row>
    <row r="25" spans="1:2" x14ac:dyDescent="0.2">
      <c r="A25" s="33" t="s">
        <v>164</v>
      </c>
      <c r="B25" s="35">
        <f>B22/B20</f>
        <v>0.69230769230769229</v>
      </c>
    </row>
    <row r="26" spans="1:2" x14ac:dyDescent="0.2">
      <c r="A26" s="33" t="s">
        <v>163</v>
      </c>
      <c r="B26" s="34">
        <f>B22/B16</f>
        <v>0.27</v>
      </c>
    </row>
    <row r="27" spans="1:2" ht="17" thickBot="1" x14ac:dyDescent="0.25">
      <c r="A27" s="38"/>
      <c r="B27" s="39"/>
    </row>
    <row r="28" spans="1:2" x14ac:dyDescent="0.2">
      <c r="A28" s="40" t="s">
        <v>165</v>
      </c>
      <c r="B28" s="41">
        <f>B24*LOG(B23/B14,2)</f>
        <v>-0.10673682510373306</v>
      </c>
    </row>
    <row r="29" spans="1:2" ht="17" thickBot="1" x14ac:dyDescent="0.25">
      <c r="A29" s="36" t="s">
        <v>166</v>
      </c>
      <c r="B29" s="37">
        <f>B26*LOG(B25/B15,2)</f>
        <v>0.18551071396093866</v>
      </c>
    </row>
    <row r="31" spans="1:2" ht="17" thickBot="1" x14ac:dyDescent="0.25"/>
    <row r="32" spans="1:2" ht="17" thickBot="1" x14ac:dyDescent="0.25">
      <c r="A32" s="29" t="s">
        <v>167</v>
      </c>
      <c r="B32" s="30"/>
    </row>
    <row r="33" spans="1:2" x14ac:dyDescent="0.2">
      <c r="A33" s="31" t="s">
        <v>168</v>
      </c>
      <c r="B33" s="32">
        <f>COUNTIFS(dataset!D$2:'dataset'!D$101,"downsloping")</f>
        <v>11</v>
      </c>
    </row>
    <row r="34" spans="1:2" x14ac:dyDescent="0.2">
      <c r="A34" s="33" t="s">
        <v>169</v>
      </c>
      <c r="B34" s="34">
        <f>COUNTIFS(dataset!D$2:'dataset'!D$101,"downsloping",dataset!$F$2:'dataset'!$F$101,"absence")</f>
        <v>6</v>
      </c>
    </row>
    <row r="35" spans="1:2" x14ac:dyDescent="0.2">
      <c r="A35" s="33" t="s">
        <v>170</v>
      </c>
      <c r="B35" s="34">
        <f>COUNTIFS(dataset!D$2:'dataset'!D$101,"downsloping",dataset!$F$2:'dataset'!$F$101,"presence")</f>
        <v>5</v>
      </c>
    </row>
    <row r="36" spans="1:2" x14ac:dyDescent="0.2">
      <c r="A36" s="33" t="s">
        <v>171</v>
      </c>
      <c r="B36" s="35">
        <f>B34/B33</f>
        <v>0.54545454545454541</v>
      </c>
    </row>
    <row r="37" spans="1:2" x14ac:dyDescent="0.2">
      <c r="A37" s="33" t="s">
        <v>172</v>
      </c>
      <c r="B37" s="34">
        <f>B34/$B$16</f>
        <v>0.06</v>
      </c>
    </row>
    <row r="38" spans="1:2" x14ac:dyDescent="0.2">
      <c r="A38" s="33" t="s">
        <v>173</v>
      </c>
      <c r="B38" s="35">
        <f>B35/B33</f>
        <v>0.45454545454545453</v>
      </c>
    </row>
    <row r="39" spans="1:2" x14ac:dyDescent="0.2">
      <c r="A39" s="33" t="s">
        <v>174</v>
      </c>
      <c r="B39" s="34">
        <f>B35/$B$16</f>
        <v>0.05</v>
      </c>
    </row>
    <row r="40" spans="1:2" ht="17" thickBot="1" x14ac:dyDescent="0.25">
      <c r="A40" s="38"/>
      <c r="B40" s="39"/>
    </row>
    <row r="41" spans="1:2" x14ac:dyDescent="0.2">
      <c r="A41" s="40" t="s">
        <v>175</v>
      </c>
      <c r="B41" s="41">
        <f>B37*LOG(B36/$B$14,2)</f>
        <v>-3.8101765383694837E-3</v>
      </c>
    </row>
    <row r="42" spans="1:2" ht="17" thickBot="1" x14ac:dyDescent="0.25">
      <c r="A42" s="36" t="s">
        <v>176</v>
      </c>
      <c r="B42" s="37">
        <f>B39*LOG(B38/$B$15,2)</f>
        <v>4.0043955661345915E-3</v>
      </c>
    </row>
    <row r="44" spans="1:2" ht="17" thickBot="1" x14ac:dyDescent="0.25"/>
    <row r="45" spans="1:2" ht="17" thickBot="1" x14ac:dyDescent="0.25">
      <c r="A45" s="29" t="s">
        <v>186</v>
      </c>
      <c r="B45" s="30"/>
    </row>
    <row r="46" spans="1:2" x14ac:dyDescent="0.2">
      <c r="A46" s="31" t="s">
        <v>177</v>
      </c>
      <c r="B46" s="32">
        <f>COUNTIFS(dataset!B$2:'dataset'!B$101,"male", dataset!D$2:'dataset'!D$101,"upsloping")</f>
        <v>32</v>
      </c>
    </row>
    <row r="47" spans="1:2" x14ac:dyDescent="0.2">
      <c r="A47" s="33" t="s">
        <v>178</v>
      </c>
      <c r="B47" s="34">
        <f>COUNTIFS(dataset!B$2:'dataset'!B$101,"male",dataset!$F$2:'dataset'!$F$101,"absence", dataset!D$2:'dataset'!D$101,"upsloping")</f>
        <v>22</v>
      </c>
    </row>
    <row r="48" spans="1:2" x14ac:dyDescent="0.2">
      <c r="A48" s="33" t="s">
        <v>179</v>
      </c>
      <c r="B48" s="34">
        <f>COUNTIFS(dataset!B$2:'dataset'!B$101,"male",dataset!$F$2:'dataset'!$F$101,"presence", dataset!D$2:'dataset'!D$101,"upsloping")</f>
        <v>10</v>
      </c>
    </row>
    <row r="49" spans="1:2" x14ac:dyDescent="0.2">
      <c r="A49" s="33" t="s">
        <v>180</v>
      </c>
      <c r="B49" s="35">
        <f>B47/B46</f>
        <v>0.6875</v>
      </c>
    </row>
    <row r="50" spans="1:2" x14ac:dyDescent="0.2">
      <c r="A50" s="33" t="s">
        <v>181</v>
      </c>
      <c r="B50" s="34">
        <f>B47/$B$16</f>
        <v>0.22</v>
      </c>
    </row>
    <row r="51" spans="1:2" x14ac:dyDescent="0.2">
      <c r="A51" s="33" t="s">
        <v>182</v>
      </c>
      <c r="B51" s="35">
        <f>B48/B46</f>
        <v>0.3125</v>
      </c>
    </row>
    <row r="52" spans="1:2" x14ac:dyDescent="0.2">
      <c r="A52" s="33" t="s">
        <v>183</v>
      </c>
      <c r="B52" s="34">
        <f>B48/$B$16</f>
        <v>0.1</v>
      </c>
    </row>
    <row r="53" spans="1:2" ht="17" thickBot="1" x14ac:dyDescent="0.25">
      <c r="A53" s="38"/>
      <c r="B53" s="39"/>
    </row>
    <row r="54" spans="1:2" x14ac:dyDescent="0.2">
      <c r="A54" s="40" t="s">
        <v>184</v>
      </c>
      <c r="B54" s="41">
        <f>B50*LOG(B49/$B$14,2)</f>
        <v>5.9487514734401684E-2</v>
      </c>
    </row>
    <row r="55" spans="1:2" ht="17" thickBot="1" x14ac:dyDescent="0.25">
      <c r="A55" s="36" t="s">
        <v>185</v>
      </c>
      <c r="B55" s="37">
        <f>B52*LOG(B51/$B$15,2)</f>
        <v>-4.6048047004001107E-2</v>
      </c>
    </row>
    <row r="57" spans="1:2" ht="17" thickBot="1" x14ac:dyDescent="0.25"/>
    <row r="58" spans="1:2" ht="17" thickBot="1" x14ac:dyDescent="0.25">
      <c r="A58" s="29" t="s">
        <v>187</v>
      </c>
      <c r="B58" s="30"/>
    </row>
    <row r="59" spans="1:2" x14ac:dyDescent="0.2">
      <c r="A59" s="31" t="s">
        <v>188</v>
      </c>
      <c r="B59" s="32">
        <f>COUNTIFS(dataset!B$2:'dataset'!B$101,"female", dataset!D$2:'dataset'!D$101,"upsloping")</f>
        <v>18</v>
      </c>
    </row>
    <row r="60" spans="1:2" x14ac:dyDescent="0.2">
      <c r="A60" s="33" t="s">
        <v>189</v>
      </c>
      <c r="B60" s="34">
        <f>COUNTIFS(dataset!B$2:'dataset'!B$101,"female",dataset!$F$2:'dataset'!$F$101,"absence", dataset!D$2:'dataset'!D$101,"upsloping")</f>
        <v>17</v>
      </c>
    </row>
    <row r="61" spans="1:2" x14ac:dyDescent="0.2">
      <c r="A61" s="33" t="s">
        <v>190</v>
      </c>
      <c r="B61" s="34">
        <f>COUNTIFS(dataset!B$2:'dataset'!B$101,"female",dataset!$F$2:'dataset'!$F$101,"presence", dataset!D$2:'dataset'!D$101,"upsloping")</f>
        <v>1</v>
      </c>
    </row>
    <row r="62" spans="1:2" x14ac:dyDescent="0.2">
      <c r="A62" s="33" t="s">
        <v>191</v>
      </c>
      <c r="B62" s="35">
        <f>B60/B59</f>
        <v>0.94444444444444442</v>
      </c>
    </row>
    <row r="63" spans="1:2" x14ac:dyDescent="0.2">
      <c r="A63" s="33" t="s">
        <v>192</v>
      </c>
      <c r="B63" s="34">
        <f>B60/$B$16</f>
        <v>0.17</v>
      </c>
    </row>
    <row r="64" spans="1:2" x14ac:dyDescent="0.2">
      <c r="A64" s="33" t="s">
        <v>193</v>
      </c>
      <c r="B64" s="35">
        <f>B61/B59</f>
        <v>5.5555555555555552E-2</v>
      </c>
    </row>
    <row r="65" spans="1:2" x14ac:dyDescent="0.2">
      <c r="A65" s="33" t="s">
        <v>194</v>
      </c>
      <c r="B65" s="34">
        <f>B61/$B$16</f>
        <v>0.01</v>
      </c>
    </row>
    <row r="66" spans="1:2" ht="17" thickBot="1" x14ac:dyDescent="0.25">
      <c r="A66" s="38"/>
      <c r="B66" s="39"/>
    </row>
    <row r="67" spans="1:2" x14ac:dyDescent="0.2">
      <c r="A67" s="40" t="s">
        <v>195</v>
      </c>
      <c r="B67" s="41">
        <f>B63*LOG(B62/$B$14,2)</f>
        <v>0.12384568262106173</v>
      </c>
    </row>
    <row r="68" spans="1:2" ht="17" thickBot="1" x14ac:dyDescent="0.25">
      <c r="A68" s="36" t="s">
        <v>196</v>
      </c>
      <c r="B68" s="37">
        <f>B65*LOG(B64/$B$15,2)</f>
        <v>-2.9523335663696863E-2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level 1</vt:lpstr>
      <vt:lpstr>level 2</vt:lpstr>
      <vt:lpstr>level 3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Wertheim</dc:creator>
  <cp:lastModifiedBy>Shira Wertheim</cp:lastModifiedBy>
  <dcterms:created xsi:type="dcterms:W3CDTF">2020-05-24T14:35:33Z</dcterms:created>
  <dcterms:modified xsi:type="dcterms:W3CDTF">2020-05-26T17:22:09Z</dcterms:modified>
</cp:coreProperties>
</file>