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igid\OneDrive\Desktop\"/>
    </mc:Choice>
  </mc:AlternateContent>
  <xr:revisionPtr revIDLastSave="0" documentId="13_ncr:1_{AF033CD9-4425-46AB-A6EE-8325A922117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olutionSheet" sheetId="1" r:id="rId1"/>
    <sheet name="HistoricalDemand" sheetId="2" r:id="rId2"/>
  </sheets>
  <definedNames>
    <definedName name="_xlnm._FilterDatabase" localSheetId="0" hidden="1">SolutionSheet!$V$1:$AA$80</definedName>
    <definedName name="solver_adj" localSheetId="0">SolutionSheet!#REF!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SolutionSheet!#REF!</definedName>
    <definedName name="solver_lhs2" localSheetId="0">SolutionSheet!#REF!</definedName>
    <definedName name="solver_lhs3" localSheetId="0">SolutionSheet!#REF!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3</definedName>
    <definedName name="solver_nwt" localSheetId="0">1</definedName>
    <definedName name="solver_opt" localSheetId="0">SolutionSheet!$AD$17</definedName>
    <definedName name="solver_pre" localSheetId="0">0.000001</definedName>
    <definedName name="solver_rbv" localSheetId="0">1</definedName>
    <definedName name="solver_rel1" localSheetId="0">1</definedName>
    <definedName name="solver_rel2" localSheetId="0">4</definedName>
    <definedName name="solver_rel3" localSheetId="0">3</definedName>
    <definedName name="solver_rhs1" localSheetId="0">9</definedName>
    <definedName name="solver_rhs2" localSheetId="0">integer</definedName>
    <definedName name="solver_rhs3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10000</definedName>
    <definedName name="solver_tim" localSheetId="0">2147483647</definedName>
    <definedName name="solver_tol" localSheetId="0">0.01</definedName>
    <definedName name="solver_typ" localSheetId="0">2</definedName>
    <definedName name="solver_val" localSheetId="0">0</definedName>
    <definedName name="solver_ver" localSheetId="0">3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N51" i="2"/>
  <c r="K58" i="2" s="1"/>
  <c r="K25" i="2"/>
  <c r="J21" i="2"/>
  <c r="J29" i="2"/>
  <c r="I25" i="2"/>
  <c r="H21" i="2"/>
  <c r="H29" i="2"/>
  <c r="G25" i="2"/>
  <c r="F21" i="2"/>
  <c r="F29" i="2"/>
  <c r="E25" i="2"/>
  <c r="H17" i="2"/>
  <c r="D22" i="2"/>
  <c r="D17" i="2"/>
  <c r="C25" i="2"/>
  <c r="N2" i="2"/>
  <c r="K18" i="2" s="1"/>
  <c r="Y17" i="1"/>
  <c r="W17" i="1"/>
  <c r="Y16" i="1"/>
  <c r="W16" i="1"/>
  <c r="Y15" i="1"/>
  <c r="W15" i="1"/>
  <c r="Y14" i="1"/>
  <c r="W14" i="1"/>
  <c r="Y13" i="1"/>
  <c r="W13" i="1"/>
  <c r="Y12" i="1"/>
  <c r="W12" i="1"/>
  <c r="Y11" i="1"/>
  <c r="W11" i="1"/>
  <c r="Y10" i="1"/>
  <c r="W10" i="1"/>
  <c r="Y9" i="1"/>
  <c r="W9" i="1"/>
  <c r="Y8" i="1"/>
  <c r="W8" i="1"/>
  <c r="Y7" i="1"/>
  <c r="W7" i="1"/>
  <c r="Y6" i="1"/>
  <c r="W6" i="1"/>
  <c r="Y5" i="1"/>
  <c r="Z5" i="1" s="1"/>
  <c r="W5" i="1"/>
  <c r="O5" i="1"/>
  <c r="P5" i="1" s="1"/>
  <c r="R5" i="1" s="1"/>
  <c r="M5" i="1"/>
  <c r="F5" i="1"/>
  <c r="D5" i="1"/>
  <c r="W4" i="1"/>
  <c r="O4" i="1"/>
  <c r="M4" i="1"/>
  <c r="F4" i="1"/>
  <c r="H4" i="1" s="1"/>
  <c r="J4" i="1" s="1"/>
  <c r="D4" i="1"/>
  <c r="W3" i="1"/>
  <c r="AA3" i="1" s="1"/>
  <c r="V4" i="1" s="1"/>
  <c r="AA4" i="1" s="1"/>
  <c r="O3" i="1"/>
  <c r="P3" i="1" s="1"/>
  <c r="R3" i="1" s="1"/>
  <c r="M3" i="1"/>
  <c r="F3" i="1"/>
  <c r="D3" i="1"/>
  <c r="C57" i="2" l="1"/>
  <c r="D61" i="2"/>
  <c r="E57" i="2"/>
  <c r="F61" i="2"/>
  <c r="F53" i="2"/>
  <c r="H61" i="2"/>
  <c r="H53" i="2"/>
  <c r="I57" i="2"/>
  <c r="J61" i="2"/>
  <c r="J53" i="2"/>
  <c r="K57" i="2"/>
  <c r="K6" i="1"/>
  <c r="C24" i="2"/>
  <c r="D29" i="2"/>
  <c r="D21" i="2"/>
  <c r="G17" i="2"/>
  <c r="E24" i="2"/>
  <c r="F28" i="2"/>
  <c r="F20" i="2"/>
  <c r="G24" i="2"/>
  <c r="H28" i="2"/>
  <c r="H20" i="2"/>
  <c r="I24" i="2"/>
  <c r="J28" i="2"/>
  <c r="J20" i="2"/>
  <c r="K24" i="2"/>
  <c r="C51" i="2"/>
  <c r="D51" i="2"/>
  <c r="C56" i="2"/>
  <c r="D60" i="2"/>
  <c r="D52" i="2"/>
  <c r="E56" i="2"/>
  <c r="F60" i="2"/>
  <c r="F52" i="2"/>
  <c r="G56" i="2"/>
  <c r="H60" i="2"/>
  <c r="H52" i="2"/>
  <c r="I56" i="2"/>
  <c r="J60" i="2"/>
  <c r="J52" i="2"/>
  <c r="K56" i="2"/>
  <c r="D53" i="2"/>
  <c r="D20" i="2"/>
  <c r="G23" i="2"/>
  <c r="K51" i="2"/>
  <c r="K55" i="2"/>
  <c r="G57" i="2"/>
  <c r="C23" i="2"/>
  <c r="D28" i="2"/>
  <c r="F17" i="2"/>
  <c r="E23" i="2"/>
  <c r="F27" i="2"/>
  <c r="F19" i="2"/>
  <c r="H27" i="2"/>
  <c r="H19" i="2"/>
  <c r="I23" i="2"/>
  <c r="J27" i="2"/>
  <c r="J19" i="2"/>
  <c r="K23" i="2"/>
  <c r="C63" i="2"/>
  <c r="C55" i="2"/>
  <c r="D59" i="2"/>
  <c r="E63" i="2"/>
  <c r="E55" i="2"/>
  <c r="F59" i="2"/>
  <c r="G63" i="2"/>
  <c r="G55" i="2"/>
  <c r="H59" i="2"/>
  <c r="I63" i="2"/>
  <c r="I55" i="2"/>
  <c r="J59" i="2"/>
  <c r="K63" i="2"/>
  <c r="G4" i="1"/>
  <c r="I4" i="1" s="1"/>
  <c r="AC4" i="1" s="1"/>
  <c r="C17" i="2"/>
  <c r="C22" i="2"/>
  <c r="D27" i="2"/>
  <c r="D19" i="2"/>
  <c r="E17" i="2"/>
  <c r="E22" i="2"/>
  <c r="F26" i="2"/>
  <c r="F18" i="2"/>
  <c r="G22" i="2"/>
  <c r="H26" i="2"/>
  <c r="H18" i="2"/>
  <c r="I22" i="2"/>
  <c r="J26" i="2"/>
  <c r="J18" i="2"/>
  <c r="K22" i="2"/>
  <c r="J51" i="2"/>
  <c r="C62" i="2"/>
  <c r="C54" i="2"/>
  <c r="D58" i="2"/>
  <c r="E62" i="2"/>
  <c r="E54" i="2"/>
  <c r="F58" i="2"/>
  <c r="G62" i="2"/>
  <c r="G54" i="2"/>
  <c r="H58" i="2"/>
  <c r="I62" i="2"/>
  <c r="I54" i="2"/>
  <c r="J58" i="2"/>
  <c r="K62" i="2"/>
  <c r="K54" i="2"/>
  <c r="E51" i="2"/>
  <c r="C21" i="2"/>
  <c r="E29" i="2"/>
  <c r="G29" i="2"/>
  <c r="I29" i="2"/>
  <c r="I21" i="2"/>
  <c r="K29" i="2"/>
  <c r="I51" i="2"/>
  <c r="C61" i="2"/>
  <c r="C53" i="2"/>
  <c r="L53" i="2" s="1"/>
  <c r="L38" i="2" s="1"/>
  <c r="D57" i="2"/>
  <c r="E61" i="2"/>
  <c r="F57" i="2"/>
  <c r="G61" i="2"/>
  <c r="G53" i="2"/>
  <c r="H57" i="2"/>
  <c r="I61" i="2"/>
  <c r="I53" i="2"/>
  <c r="J57" i="2"/>
  <c r="K61" i="2"/>
  <c r="K53" i="2"/>
  <c r="D26" i="2"/>
  <c r="E20" i="2"/>
  <c r="G21" i="2"/>
  <c r="J25" i="2"/>
  <c r="E53" i="2"/>
  <c r="C28" i="2"/>
  <c r="C20" i="2"/>
  <c r="K17" i="2"/>
  <c r="E28" i="2"/>
  <c r="F24" i="2"/>
  <c r="G28" i="2"/>
  <c r="G20" i="2"/>
  <c r="H24" i="2"/>
  <c r="I28" i="2"/>
  <c r="I20" i="2"/>
  <c r="J24" i="2"/>
  <c r="K28" i="2"/>
  <c r="K20" i="2"/>
  <c r="H51" i="2"/>
  <c r="C60" i="2"/>
  <c r="C52" i="2"/>
  <c r="L52" i="2" s="1"/>
  <c r="L37" i="2" s="1"/>
  <c r="D56" i="2"/>
  <c r="E60" i="2"/>
  <c r="E52" i="2"/>
  <c r="F56" i="2"/>
  <c r="G60" i="2"/>
  <c r="G52" i="2"/>
  <c r="H56" i="2"/>
  <c r="I60" i="2"/>
  <c r="I52" i="2"/>
  <c r="J56" i="2"/>
  <c r="K60" i="2"/>
  <c r="K52" i="2"/>
  <c r="C27" i="2"/>
  <c r="C19" i="2"/>
  <c r="D24" i="2"/>
  <c r="J17" i="2"/>
  <c r="E27" i="2"/>
  <c r="E18" i="2"/>
  <c r="F23" i="2"/>
  <c r="G27" i="2"/>
  <c r="G19" i="2"/>
  <c r="H23" i="2"/>
  <c r="I27" i="2"/>
  <c r="I19" i="2"/>
  <c r="J23" i="2"/>
  <c r="K27" i="2"/>
  <c r="K19" i="2"/>
  <c r="G51" i="2"/>
  <c r="C59" i="2"/>
  <c r="D63" i="2"/>
  <c r="D55" i="2"/>
  <c r="E59" i="2"/>
  <c r="F63" i="2"/>
  <c r="F55" i="2"/>
  <c r="G59" i="2"/>
  <c r="H63" i="2"/>
  <c r="H55" i="2"/>
  <c r="I59" i="2"/>
  <c r="J63" i="2"/>
  <c r="J55" i="2"/>
  <c r="K59" i="2"/>
  <c r="C29" i="2"/>
  <c r="D18" i="2"/>
  <c r="F25" i="2"/>
  <c r="H25" i="2"/>
  <c r="K21" i="2"/>
  <c r="Q5" i="1"/>
  <c r="D25" i="2"/>
  <c r="L25" i="2" s="1"/>
  <c r="L10" i="2" s="1"/>
  <c r="E19" i="2"/>
  <c r="Q3" i="1"/>
  <c r="C26" i="2"/>
  <c r="C18" i="2"/>
  <c r="D23" i="2"/>
  <c r="I17" i="2"/>
  <c r="E26" i="2"/>
  <c r="E21" i="2"/>
  <c r="F22" i="2"/>
  <c r="G26" i="2"/>
  <c r="G18" i="2"/>
  <c r="H22" i="2"/>
  <c r="I26" i="2"/>
  <c r="I18" i="2"/>
  <c r="J22" i="2"/>
  <c r="K26" i="2"/>
  <c r="F51" i="2"/>
  <c r="C58" i="2"/>
  <c r="D62" i="2"/>
  <c r="D54" i="2"/>
  <c r="E58" i="2"/>
  <c r="F62" i="2"/>
  <c r="F54" i="2"/>
  <c r="G58" i="2"/>
  <c r="H62" i="2"/>
  <c r="H54" i="2"/>
  <c r="I58" i="2"/>
  <c r="J62" i="2"/>
  <c r="J54" i="2"/>
  <c r="H3" i="1"/>
  <c r="J3" i="1" s="1"/>
  <c r="G3" i="1"/>
  <c r="I3" i="1" s="1"/>
  <c r="H5" i="1"/>
  <c r="J5" i="1" s="1"/>
  <c r="G5" i="1"/>
  <c r="I5" i="1" s="1"/>
  <c r="B6" i="1"/>
  <c r="AA5" i="1"/>
  <c r="V6" i="1" s="1"/>
  <c r="P4" i="1"/>
  <c r="R4" i="1" s="1"/>
  <c r="Q4" i="1"/>
  <c r="O6" i="1"/>
  <c r="M6" i="1"/>
  <c r="AC3" i="1" l="1"/>
  <c r="L19" i="2"/>
  <c r="L4" i="2" s="1"/>
  <c r="L21" i="2"/>
  <c r="L6" i="2" s="1"/>
  <c r="L61" i="2"/>
  <c r="L46" i="2" s="1"/>
  <c r="L23" i="2"/>
  <c r="L8" i="2" s="1"/>
  <c r="L59" i="2"/>
  <c r="L44" i="2" s="1"/>
  <c r="L27" i="2"/>
  <c r="L12" i="2" s="1"/>
  <c r="L29" i="2"/>
  <c r="L14" i="2" s="1"/>
  <c r="L60" i="2"/>
  <c r="L45" i="2" s="1"/>
  <c r="L18" i="2"/>
  <c r="L3" i="2" s="1"/>
  <c r="L55" i="2"/>
  <c r="L40" i="2" s="1"/>
  <c r="L56" i="2"/>
  <c r="L41" i="2" s="1"/>
  <c r="L24" i="2"/>
  <c r="L9" i="2" s="1"/>
  <c r="L63" i="2"/>
  <c r="L48" i="2" s="1"/>
  <c r="L58" i="2"/>
  <c r="L43" i="2" s="1"/>
  <c r="L20" i="2"/>
  <c r="L5" i="2" s="1"/>
  <c r="L54" i="2"/>
  <c r="L39" i="2" s="1"/>
  <c r="L22" i="2"/>
  <c r="L7" i="2" s="1"/>
  <c r="L51" i="2"/>
  <c r="L36" i="2" s="1"/>
  <c r="L26" i="2"/>
  <c r="L11" i="2" s="1"/>
  <c r="L28" i="2"/>
  <c r="L13" i="2" s="1"/>
  <c r="L62" i="2"/>
  <c r="L47" i="2" s="1"/>
  <c r="L17" i="2"/>
  <c r="L2" i="2" s="1"/>
  <c r="L57" i="2"/>
  <c r="L42" i="2" s="1"/>
  <c r="AD4" i="1"/>
  <c r="AD3" i="1"/>
  <c r="Q6" i="1"/>
  <c r="P6" i="1"/>
  <c r="R6" i="1" s="1"/>
  <c r="K7" i="1"/>
  <c r="Z6" i="1"/>
  <c r="AA6" i="1" s="1"/>
  <c r="V7" i="1" s="1"/>
  <c r="F6" i="1"/>
  <c r="D6" i="1"/>
  <c r="AC5" i="1"/>
  <c r="Z7" i="1" l="1"/>
  <c r="AA7" i="1" s="1"/>
  <c r="V8" i="1" s="1"/>
  <c r="G6" i="1"/>
  <c r="I6" i="1" s="1"/>
  <c r="B7" i="1"/>
  <c r="H6" i="1"/>
  <c r="J6" i="1" s="1"/>
  <c r="AD5" i="1"/>
  <c r="M7" i="1"/>
  <c r="O7" i="1"/>
  <c r="AC6" i="1" l="1"/>
  <c r="AD6" i="1" s="1"/>
  <c r="Z8" i="1"/>
  <c r="AA8" i="1" s="1"/>
  <c r="V9" i="1" s="1"/>
  <c r="Q7" i="1"/>
  <c r="P7" i="1"/>
  <c r="R7" i="1" s="1"/>
  <c r="K8" i="1"/>
  <c r="F7" i="1"/>
  <c r="D7" i="1"/>
  <c r="Z9" i="1" l="1"/>
  <c r="AA9" i="1" s="1"/>
  <c r="V10" i="1" s="1"/>
  <c r="O8" i="1"/>
  <c r="M8" i="1"/>
  <c r="G7" i="1"/>
  <c r="I7" i="1" s="1"/>
  <c r="B8" i="1"/>
  <c r="H7" i="1"/>
  <c r="J7" i="1" s="1"/>
  <c r="AC7" i="1" l="1"/>
  <c r="AD7" i="1" s="1"/>
  <c r="Z10" i="1"/>
  <c r="AA10" i="1" s="1"/>
  <c r="V11" i="1" s="1"/>
  <c r="Q8" i="1"/>
  <c r="P8" i="1"/>
  <c r="R8" i="1" s="1"/>
  <c r="K9" i="1"/>
  <c r="F8" i="1"/>
  <c r="D8" i="1"/>
  <c r="Z11" i="1" l="1"/>
  <c r="AA11" i="1" s="1"/>
  <c r="V12" i="1" s="1"/>
  <c r="M9" i="1"/>
  <c r="O9" i="1"/>
  <c r="G8" i="1"/>
  <c r="I8" i="1" s="1"/>
  <c r="B9" i="1"/>
  <c r="H8" i="1"/>
  <c r="J8" i="1" s="1"/>
  <c r="AC8" i="1" l="1"/>
  <c r="AD8" i="1" s="1"/>
  <c r="Z12" i="1"/>
  <c r="F9" i="1"/>
  <c r="D9" i="1"/>
  <c r="Q9" i="1"/>
  <c r="P9" i="1"/>
  <c r="R9" i="1" s="1"/>
  <c r="K10" i="1"/>
  <c r="O10" i="1" l="1"/>
  <c r="M10" i="1"/>
  <c r="G9" i="1"/>
  <c r="I9" i="1" s="1"/>
  <c r="B10" i="1"/>
  <c r="H9" i="1"/>
  <c r="J9" i="1" s="1"/>
  <c r="AA12" i="1"/>
  <c r="V13" i="1" s="1"/>
  <c r="AC9" i="1" l="1"/>
  <c r="AD9" i="1" s="1"/>
  <c r="Q10" i="1"/>
  <c r="K11" i="1"/>
  <c r="P10" i="1"/>
  <c r="R10" i="1" s="1"/>
  <c r="Z13" i="1"/>
  <c r="F10" i="1"/>
  <c r="D10" i="1"/>
  <c r="G10" i="1" l="1"/>
  <c r="I10" i="1" s="1"/>
  <c r="B11" i="1"/>
  <c r="H10" i="1"/>
  <c r="J10" i="1" s="1"/>
  <c r="AA13" i="1"/>
  <c r="V14" i="1" s="1"/>
  <c r="M11" i="1"/>
  <c r="O11" i="1"/>
  <c r="AC10" i="1" l="1"/>
  <c r="AD10" i="1" s="1"/>
  <c r="Q11" i="1"/>
  <c r="P11" i="1"/>
  <c r="R11" i="1" s="1"/>
  <c r="K12" i="1"/>
  <c r="Z14" i="1"/>
  <c r="F11" i="1"/>
  <c r="D11" i="1"/>
  <c r="G11" i="1" l="1"/>
  <c r="I11" i="1" s="1"/>
  <c r="B12" i="1"/>
  <c r="H11" i="1"/>
  <c r="J11" i="1" s="1"/>
  <c r="O12" i="1"/>
  <c r="M12" i="1"/>
  <c r="AA14" i="1"/>
  <c r="V15" i="1" s="1"/>
  <c r="AC11" i="1" l="1"/>
  <c r="AD11" i="1" s="1"/>
  <c r="Z15" i="1"/>
  <c r="Q12" i="1"/>
  <c r="K13" i="1"/>
  <c r="P12" i="1"/>
  <c r="R12" i="1" s="1"/>
  <c r="F12" i="1"/>
  <c r="D12" i="1"/>
  <c r="G12" i="1" l="1"/>
  <c r="I12" i="1" s="1"/>
  <c r="B13" i="1"/>
  <c r="H12" i="1"/>
  <c r="J12" i="1" s="1"/>
  <c r="M13" i="1"/>
  <c r="O13" i="1"/>
  <c r="AA15" i="1"/>
  <c r="V16" i="1" s="1"/>
  <c r="AC12" i="1" l="1"/>
  <c r="AD12" i="1" s="1"/>
  <c r="Z16" i="1"/>
  <c r="Q13" i="1"/>
  <c r="P13" i="1"/>
  <c r="R13" i="1" s="1"/>
  <c r="K14" i="1"/>
  <c r="F13" i="1"/>
  <c r="D13" i="1"/>
  <c r="G13" i="1" l="1"/>
  <c r="I13" i="1" s="1"/>
  <c r="B14" i="1"/>
  <c r="H13" i="1"/>
  <c r="J13" i="1" s="1"/>
  <c r="M14" i="1"/>
  <c r="O14" i="1"/>
  <c r="AA16" i="1"/>
  <c r="V17" i="1" s="1"/>
  <c r="AC13" i="1" l="1"/>
  <c r="AD13" i="1" s="1"/>
  <c r="Q14" i="1"/>
  <c r="P14" i="1"/>
  <c r="R14" i="1" s="1"/>
  <c r="K15" i="1"/>
  <c r="Z17" i="1"/>
  <c r="AA17" i="1" s="1"/>
  <c r="F14" i="1"/>
  <c r="D14" i="1"/>
  <c r="H14" i="1" l="1"/>
  <c r="J14" i="1" s="1"/>
  <c r="G14" i="1"/>
  <c r="I14" i="1" s="1"/>
  <c r="B15" i="1"/>
  <c r="O15" i="1"/>
  <c r="M15" i="1"/>
  <c r="AC14" i="1" l="1"/>
  <c r="AD14" i="1" s="1"/>
  <c r="Q15" i="1"/>
  <c r="P15" i="1"/>
  <c r="R15" i="1" s="1"/>
  <c r="K16" i="1"/>
  <c r="F15" i="1"/>
  <c r="D15" i="1"/>
  <c r="H15" i="1" l="1"/>
  <c r="J15" i="1" s="1"/>
  <c r="G15" i="1"/>
  <c r="I15" i="1" s="1"/>
  <c r="B16" i="1"/>
  <c r="O16" i="1"/>
  <c r="K17" i="1" s="1"/>
  <c r="M17" i="1" s="1"/>
  <c r="M16" i="1"/>
  <c r="AC15" i="1" l="1"/>
  <c r="AD15" i="1" s="1"/>
  <c r="O17" i="1"/>
  <c r="Q17" i="1" s="1"/>
  <c r="F16" i="1"/>
  <c r="D16" i="1"/>
  <c r="Q16" i="1"/>
  <c r="P16" i="1"/>
  <c r="R16" i="1" s="1"/>
  <c r="P17" i="1" l="1"/>
  <c r="R17" i="1" s="1"/>
  <c r="H16" i="1"/>
  <c r="J16" i="1" s="1"/>
  <c r="G16" i="1"/>
  <c r="I16" i="1" s="1"/>
  <c r="B17" i="1"/>
  <c r="AC16" i="1" l="1"/>
  <c r="AD16" i="1" s="1"/>
  <c r="F17" i="1"/>
  <c r="D17" i="1"/>
  <c r="H17" i="1" l="1"/>
  <c r="J17" i="1" s="1"/>
  <c r="G17" i="1"/>
  <c r="I17" i="1" s="1"/>
  <c r="AC17" i="1" l="1"/>
  <c r="AD17" i="1" s="1"/>
</calcChain>
</file>

<file path=xl/sharedStrings.xml><?xml version="1.0" encoding="utf-8"?>
<sst xmlns="http://schemas.openxmlformats.org/spreadsheetml/2006/main" count="100" uniqueCount="49">
  <si>
    <t>MacBook Pro 13"</t>
  </si>
  <si>
    <t>MacBook Air 13"</t>
  </si>
  <si>
    <t>M1</t>
  </si>
  <si>
    <t>Week</t>
  </si>
  <si>
    <t>Starting 
Inventory</t>
  </si>
  <si>
    <t>Amount 
Produced</t>
  </si>
  <si>
    <t>Available 
for Sales</t>
  </si>
  <si>
    <t>Demand</t>
  </si>
  <si>
    <t>Ending 
Inventory</t>
  </si>
  <si>
    <t>On Hand</t>
  </si>
  <si>
    <t>Backorder</t>
  </si>
  <si>
    <t>Inventory 
Carrying Cost</t>
  </si>
  <si>
    <t>Backorder
Cost</t>
  </si>
  <si>
    <t>Ending Inventory</t>
  </si>
  <si>
    <t>Total Time Used</t>
  </si>
  <si>
    <t>Ovetime 
Cost</t>
  </si>
  <si>
    <t>Starting Inventory</t>
  </si>
  <si>
    <t>Consumption</t>
  </si>
  <si>
    <t>Purchase Order (Taiwan) Placed</t>
  </si>
  <si>
    <t>Purchase Order (Taiwan) Received</t>
  </si>
  <si>
    <t>Purchase Order (Nanjing) Received</t>
  </si>
  <si>
    <t>M1 Related Costs</t>
  </si>
  <si>
    <t>Period 
Cost</t>
  </si>
  <si>
    <t>Cumulative 
Costs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</si>
  <si>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</si>
  <si>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</si>
  <si>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</si>
  <si>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</si>
  <si>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</si>
  <si>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</si>
  <si>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</si>
  <si>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</si>
  <si>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</si>
  <si>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</si>
  <si>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</si>
  <si>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</si>
  <si>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</si>
  <si>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Overall Average</t>
  </si>
  <si>
    <t>Seasonal Factor</t>
  </si>
  <si>
    <t>2023 Forecast</t>
  </si>
  <si>
    <t>Component</t>
  </si>
  <si>
    <t>Assembly Used On</t>
  </si>
  <si>
    <t>Quantity Per Assembly</t>
  </si>
  <si>
    <t>M1 Chip</t>
  </si>
  <si>
    <t>Macbook Air</t>
  </si>
  <si>
    <t>Macbook Pro</t>
  </si>
  <si>
    <t>PRO</t>
  </si>
  <si>
    <t>AIR</t>
  </si>
  <si>
    <t>Single Level Implosion for M1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</si>
</sst>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_([$$-409]* #,##0.00_);_([$$-409]* \(#,##0.00\);_([$$-409]* \-??_);_(@_)"/>
    <numFmt numFmtId="166" formatCode="[$$-409]#,##0.00_);\([$$-409]#,##0.00\)"/>
    <numFmt numFmtId="167" formatCode="0.000"/>
  </numFmts>
  <fonts count="9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558ED5"/>
      <name val="Calibri"/>
      <family val="2"/>
      <charset val="1"/>
    </font>
    <font>
      <sz val="11"/>
      <color rgb="FF4F81BD"/>
      <name val="Calibri"/>
      <family val="2"/>
      <charset val="1"/>
    </font>
    <font>
      <b/>
      <sz val="11"/>
      <color rgb="FF000000"/>
      <name val="Calibri"/>
      <family val="2"/>
      <charset val="162"/>
    </font>
    <font>
      <b/>
      <sz val="18"/>
      <color rgb="FF000000"/>
      <name val="Calibri"/>
      <family val="2"/>
      <charset val="162"/>
    </font>
    <font>
      <b/>
      <sz val="20"/>
      <color rgb="FF00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ECFFC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9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5" fillId="1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CFFCD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0"/>
  <sheetViews>
    <sheetView tabSelected="1" zoomScale="80" zoomScaleNormal="80" workbookViewId="0">
      <selection activeCell="AF2" sqref="AF2"/>
    </sheetView>
  </sheetViews>
  <sheetFormatPr defaultColWidth="8.88671875" defaultRowHeight="14.4" x14ac:dyDescent="0.3"/>
  <cols>
    <col min="1" max="1" width="5.77734375" customWidth="1"/>
    <col min="2" max="2" width="9.33203125" bestFit="1" customWidth="1"/>
    <col min="3" max="3" width="10.88671875" customWidth="1"/>
    <col min="4" max="4" width="9" bestFit="1" customWidth="1"/>
    <col min="5" max="5" width="7.5546875" style="1" customWidth="1"/>
    <col min="6" max="6" width="9" customWidth="1"/>
    <col min="7" max="7" width="8.33203125" bestFit="1" customWidth="1"/>
    <col min="8" max="8" width="9.5546875" bestFit="1" customWidth="1"/>
    <col min="9" max="9" width="10.21875" bestFit="1" customWidth="1"/>
    <col min="10" max="10" width="11.21875" bestFit="1" customWidth="1"/>
    <col min="11" max="11" width="9.33203125" bestFit="1" customWidth="1"/>
    <col min="12" max="12" width="9.109375" bestFit="1" customWidth="1"/>
    <col min="13" max="13" width="9" bestFit="1" customWidth="1"/>
    <col min="14" max="14" width="9" customWidth="1"/>
    <col min="15" max="15" width="9.21875" customWidth="1"/>
    <col min="16" max="16" width="8.33203125" bestFit="1" customWidth="1"/>
    <col min="17" max="17" width="9.5546875" bestFit="1" customWidth="1"/>
    <col min="18" max="18" width="12.21875" style="2" bestFit="1" customWidth="1"/>
    <col min="19" max="19" width="13.5546875" customWidth="1"/>
    <col min="20" max="20" width="7.5546875" customWidth="1"/>
    <col min="21" max="21" width="10.5546875" customWidth="1"/>
    <col min="22" max="22" width="9.33203125" customWidth="1"/>
    <col min="23" max="23" width="9.6640625" customWidth="1"/>
    <col min="24" max="24" width="9.44140625" customWidth="1"/>
    <col min="25" max="27" width="11.44140625" customWidth="1"/>
    <col min="28" max="28" width="14.33203125" style="2" customWidth="1"/>
    <col min="29" max="29" width="15.109375" style="2" customWidth="1"/>
    <col min="30" max="30" width="20.21875" style="2" customWidth="1"/>
    <col min="32" max="32" width="8.77734375" customWidth="1"/>
    <col min="33" max="33" width="11.109375" bestFit="1" customWidth="1"/>
    <col min="34" max="34" width="17.33203125" bestFit="1" customWidth="1"/>
    <col min="35" max="35" width="21" bestFit="1" customWidth="1"/>
  </cols>
  <sheetData>
    <row r="1" spans="1:45" ht="25.8" x14ac:dyDescent="0.3">
      <c r="A1" s="6"/>
      <c r="B1" s="36"/>
      <c r="C1" s="36"/>
      <c r="D1" s="37"/>
      <c r="E1" s="37" t="s">
        <v>0</v>
      </c>
      <c r="F1" s="37"/>
      <c r="G1" s="37"/>
      <c r="H1" s="37"/>
      <c r="I1" s="37"/>
      <c r="J1" s="37"/>
      <c r="K1" s="37"/>
      <c r="L1" s="37"/>
      <c r="M1" s="37"/>
      <c r="N1" s="37" t="s">
        <v>1</v>
      </c>
      <c r="O1" s="37"/>
      <c r="P1" s="37"/>
      <c r="Q1" s="37"/>
      <c r="R1" s="34"/>
      <c r="S1" s="37"/>
      <c r="T1" s="37"/>
      <c r="U1" s="37"/>
      <c r="V1" s="37"/>
      <c r="W1" s="37"/>
      <c r="X1" s="37" t="s">
        <v>2</v>
      </c>
      <c r="Y1" s="37"/>
      <c r="Z1" s="38"/>
      <c r="AA1" s="38"/>
      <c r="AB1" s="39"/>
      <c r="AC1" s="39"/>
      <c r="AD1" s="39"/>
    </row>
    <row r="2" spans="1:45" ht="57.6" x14ac:dyDescent="0.3">
      <c r="A2" s="32" t="s">
        <v>3</v>
      </c>
      <c r="B2" s="30" t="s">
        <v>4</v>
      </c>
      <c r="C2" s="30" t="s">
        <v>5</v>
      </c>
      <c r="D2" s="30" t="s">
        <v>6</v>
      </c>
      <c r="E2" s="31" t="s">
        <v>7</v>
      </c>
      <c r="F2" s="30" t="s">
        <v>8</v>
      </c>
      <c r="G2" s="30" t="s">
        <v>9</v>
      </c>
      <c r="H2" s="32" t="s">
        <v>10</v>
      </c>
      <c r="I2" s="30" t="s">
        <v>11</v>
      </c>
      <c r="J2" s="30" t="s">
        <v>12</v>
      </c>
      <c r="K2" s="30" t="s">
        <v>4</v>
      </c>
      <c r="L2" s="30" t="s">
        <v>5</v>
      </c>
      <c r="M2" s="30" t="s">
        <v>6</v>
      </c>
      <c r="N2" s="31" t="s">
        <v>7</v>
      </c>
      <c r="O2" s="30" t="s">
        <v>13</v>
      </c>
      <c r="P2" s="30" t="s">
        <v>9</v>
      </c>
      <c r="Q2" s="30" t="s">
        <v>10</v>
      </c>
      <c r="R2" s="33" t="s">
        <v>11</v>
      </c>
      <c r="S2" s="30" t="s">
        <v>12</v>
      </c>
      <c r="T2" s="30" t="s">
        <v>14</v>
      </c>
      <c r="U2" s="30" t="s">
        <v>15</v>
      </c>
      <c r="V2" s="30" t="s">
        <v>16</v>
      </c>
      <c r="W2" s="30" t="s">
        <v>17</v>
      </c>
      <c r="X2" s="30" t="s">
        <v>18</v>
      </c>
      <c r="Y2" s="30" t="s">
        <v>19</v>
      </c>
      <c r="Z2" s="30" t="s">
        <v>20</v>
      </c>
      <c r="AA2" s="30" t="s">
        <v>13</v>
      </c>
      <c r="AB2" s="33" t="s">
        <v>21</v>
      </c>
      <c r="AC2" s="33" t="s">
        <v>22</v>
      </c>
      <c r="AD2" s="33" t="s">
        <v>23</v>
      </c>
    </row>
    <row r="3" spans="1:45" x14ac:dyDescent="0.3">
      <c r="A3" s="6">
        <v>-1</v>
      </c>
      <c r="B3" s="16">
        <v>0</v>
      </c>
      <c r="C3" s="15">
        <v>0</v>
      </c>
      <c r="D3" s="16">
        <f t="shared" ref="D3:D17" si="0">C3+B3</f>
        <v>0</v>
      </c>
      <c r="E3" s="16">
        <v>0</v>
      </c>
      <c r="F3" s="15">
        <f t="shared" ref="F3:F17" si="1">B3+C3-E3</f>
        <v>0</v>
      </c>
      <c r="G3" s="15">
        <f t="shared" ref="G3:G17" si="2">MAX(F3,0)</f>
        <v>0</v>
      </c>
      <c r="H3" s="15">
        <f t="shared" ref="H3:H17" si="3">MAX(-F3,0)</f>
        <v>0</v>
      </c>
      <c r="I3" s="17">
        <f t="shared" ref="I3:I16" si="4">G3*0.28</f>
        <v>0</v>
      </c>
      <c r="J3" s="17">
        <f t="shared" ref="J3:J16" si="5">0.58*H3</f>
        <v>0</v>
      </c>
      <c r="K3" s="16">
        <v>0</v>
      </c>
      <c r="L3" s="15">
        <v>0</v>
      </c>
      <c r="M3" s="16">
        <f t="shared" ref="M3:M17" si="6">K3+L3</f>
        <v>0</v>
      </c>
      <c r="N3" s="16">
        <v>0</v>
      </c>
      <c r="O3" s="15">
        <f t="shared" ref="O3:O17" si="7">K3+L3-N3</f>
        <v>0</v>
      </c>
      <c r="P3" s="15">
        <f t="shared" ref="P3:P17" si="8">MAX(O3,0)</f>
        <v>0</v>
      </c>
      <c r="Q3" s="15">
        <f t="shared" ref="Q3:Q17" si="9">MAX(-O3,0)</f>
        <v>0</v>
      </c>
      <c r="R3" s="17">
        <f t="shared" ref="R3:R16" si="10">P3*0.25</f>
        <v>0</v>
      </c>
      <c r="S3" s="17">
        <f t="shared" ref="S3:S16" si="11">0.5*Q3</f>
        <v>0</v>
      </c>
      <c r="T3" s="15">
        <f>L3*1.75+C3*1.25</f>
        <v>0</v>
      </c>
      <c r="U3" s="27">
        <f>MAX(T3-6800,0)*20</f>
        <v>0</v>
      </c>
      <c r="V3" s="18">
        <v>0</v>
      </c>
      <c r="W3" s="18">
        <f>(C3*2+L3*4)/1000</f>
        <v>0</v>
      </c>
      <c r="X3" s="19">
        <v>106000</v>
      </c>
      <c r="Y3" s="18">
        <v>0</v>
      </c>
      <c r="Z3" s="18">
        <v>0</v>
      </c>
      <c r="AA3" s="18">
        <f t="shared" ref="AA3:AA17" si="12">V3+Y3+Z3-W3</f>
        <v>0</v>
      </c>
      <c r="AB3" s="28">
        <v>0</v>
      </c>
      <c r="AC3" s="28">
        <f t="shared" ref="AC3:AC17" si="13">U3+S3+R3+J3+I3+AB3</f>
        <v>0</v>
      </c>
      <c r="AD3" s="28">
        <f>SUM($AC$3:AC3)</f>
        <v>0</v>
      </c>
      <c r="AE3" s="2"/>
      <c r="AG3" s="42" t="s">
        <v>48</v>
      </c>
      <c r="AH3" s="42"/>
      <c r="AI3" s="42"/>
    </row>
    <row r="4" spans="1:45" x14ac:dyDescent="0.3">
      <c r="A4" s="6">
        <v>0</v>
      </c>
      <c r="B4" s="16">
        <v>0</v>
      </c>
      <c r="C4" s="15">
        <v>0</v>
      </c>
      <c r="D4" s="16">
        <f t="shared" si="0"/>
        <v>0</v>
      </c>
      <c r="E4" s="16">
        <v>0</v>
      </c>
      <c r="F4" s="15">
        <f t="shared" si="1"/>
        <v>0</v>
      </c>
      <c r="G4" s="15">
        <f t="shared" si="2"/>
        <v>0</v>
      </c>
      <c r="H4" s="15">
        <f t="shared" si="3"/>
        <v>0</v>
      </c>
      <c r="I4" s="17">
        <f t="shared" si="4"/>
        <v>0</v>
      </c>
      <c r="J4" s="17">
        <f t="shared" si="5"/>
        <v>0</v>
      </c>
      <c r="K4" s="16">
        <v>0</v>
      </c>
      <c r="L4" s="15">
        <v>0</v>
      </c>
      <c r="M4" s="16">
        <f t="shared" si="6"/>
        <v>0</v>
      </c>
      <c r="N4" s="16">
        <v>0</v>
      </c>
      <c r="O4" s="15">
        <f t="shared" si="7"/>
        <v>0</v>
      </c>
      <c r="P4" s="15">
        <f t="shared" si="8"/>
        <v>0</v>
      </c>
      <c r="Q4" s="15">
        <f t="shared" si="9"/>
        <v>0</v>
      </c>
      <c r="R4" s="17">
        <f t="shared" si="10"/>
        <v>0</v>
      </c>
      <c r="S4" s="17">
        <f t="shared" si="11"/>
        <v>0</v>
      </c>
      <c r="T4" s="15">
        <f>L4*1.75+C4*1.25</f>
        <v>0</v>
      </c>
      <c r="U4" s="27">
        <f>MAX(T4-6800,0)*20</f>
        <v>0</v>
      </c>
      <c r="V4" s="18">
        <f>AA3</f>
        <v>0</v>
      </c>
      <c r="W4" s="18">
        <f>(C4*2+L4*4)/1000</f>
        <v>0</v>
      </c>
      <c r="X4" s="19">
        <v>106000</v>
      </c>
      <c r="Y4" s="18">
        <v>0</v>
      </c>
      <c r="Z4" s="18">
        <v>0</v>
      </c>
      <c r="AA4" s="18">
        <f t="shared" si="12"/>
        <v>0</v>
      </c>
      <c r="AB4" s="28">
        <v>0</v>
      </c>
      <c r="AC4" s="28">
        <f t="shared" si="13"/>
        <v>0</v>
      </c>
      <c r="AD4" s="28">
        <f>SUM($AC$3:AC4)</f>
        <v>0</v>
      </c>
      <c r="AE4" s="2"/>
      <c r="AF4" s="5"/>
      <c r="AG4" s="14" t="s">
        <v>40</v>
      </c>
      <c r="AH4" s="14" t="s">
        <v>41</v>
      </c>
      <c r="AI4" s="14" t="s">
        <v>42</v>
      </c>
    </row>
    <row r="5" spans="1:45" x14ac:dyDescent="0.3">
      <c r="A5" s="6">
        <v>1</v>
      </c>
      <c r="B5" s="6">
        <v>1900</v>
      </c>
      <c r="C5" s="20">
        <v>25000</v>
      </c>
      <c r="D5" s="6">
        <f t="shared" si="0"/>
        <v>26900</v>
      </c>
      <c r="E5" s="21">
        <v>34069</v>
      </c>
      <c r="F5" s="22">
        <f t="shared" si="1"/>
        <v>-7169</v>
      </c>
      <c r="G5" s="22">
        <f t="shared" si="2"/>
        <v>0</v>
      </c>
      <c r="H5" s="22">
        <f t="shared" si="3"/>
        <v>7169</v>
      </c>
      <c r="I5" s="23">
        <f t="shared" si="4"/>
        <v>0</v>
      </c>
      <c r="J5" s="23">
        <f t="shared" si="5"/>
        <v>4158.0199999999995</v>
      </c>
      <c r="K5" s="6">
        <v>1300</v>
      </c>
      <c r="L5" s="24">
        <v>47500</v>
      </c>
      <c r="M5" s="6">
        <f t="shared" si="6"/>
        <v>48800</v>
      </c>
      <c r="N5" s="21">
        <v>62223</v>
      </c>
      <c r="O5" s="22">
        <f t="shared" si="7"/>
        <v>-13423</v>
      </c>
      <c r="P5" s="22">
        <f t="shared" si="8"/>
        <v>0</v>
      </c>
      <c r="Q5" s="22">
        <f t="shared" si="9"/>
        <v>13423</v>
      </c>
      <c r="R5" s="25">
        <f t="shared" si="10"/>
        <v>0</v>
      </c>
      <c r="S5" s="23">
        <f t="shared" si="11"/>
        <v>6711.5</v>
      </c>
      <c r="T5" s="22">
        <f t="shared" ref="T5:T17" si="14">C5*4+L5*3</f>
        <v>242500</v>
      </c>
      <c r="U5" s="29">
        <f>MAX(T5-256500,0)*12.5/60</f>
        <v>0</v>
      </c>
      <c r="V5" s="26">
        <v>2000</v>
      </c>
      <c r="W5" s="26">
        <f t="shared" ref="W5:W17" si="15">C5+L5</f>
        <v>72500</v>
      </c>
      <c r="X5" s="19">
        <v>95000</v>
      </c>
      <c r="Y5" s="26">
        <f t="shared" ref="Y5:Y17" si="16">X3</f>
        <v>106000</v>
      </c>
      <c r="Z5" s="26">
        <f t="shared" ref="Z5:Z17" si="17">IF(V5+Y5&lt;W5,W5-(V5+Y5),0)</f>
        <v>0</v>
      </c>
      <c r="AA5" s="26">
        <f t="shared" si="12"/>
        <v>35500</v>
      </c>
      <c r="AB5" s="25">
        <f>X5*78+Z5*85+0.1*AA5</f>
        <v>7413550</v>
      </c>
      <c r="AC5" s="25">
        <f t="shared" si="13"/>
        <v>7424419.5199999996</v>
      </c>
      <c r="AD5" s="25">
        <f>SUM($AC$3:AC5)</f>
        <v>7424419.5199999996</v>
      </c>
      <c r="AF5" s="4"/>
      <c r="AG5" s="6" t="s">
        <v>43</v>
      </c>
      <c r="AH5" s="6" t="s">
        <v>44</v>
      </c>
      <c r="AI5" s="6">
        <v>1</v>
      </c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3">
      <c r="A6" s="6">
        <v>2</v>
      </c>
      <c r="B6" s="6">
        <f t="shared" ref="B6:B17" si="18">F5</f>
        <v>-7169</v>
      </c>
      <c r="C6" s="22">
        <v>41502</v>
      </c>
      <c r="D6" s="6">
        <f t="shared" si="0"/>
        <v>34333</v>
      </c>
      <c r="E6" s="21">
        <v>39004</v>
      </c>
      <c r="F6" s="22">
        <f t="shared" si="1"/>
        <v>-4671</v>
      </c>
      <c r="G6" s="22">
        <f t="shared" si="2"/>
        <v>0</v>
      </c>
      <c r="H6" s="22">
        <f t="shared" si="3"/>
        <v>4671</v>
      </c>
      <c r="I6" s="23">
        <f t="shared" si="4"/>
        <v>0</v>
      </c>
      <c r="J6" s="23">
        <f t="shared" si="5"/>
        <v>2709.18</v>
      </c>
      <c r="K6" s="6">
        <f t="shared" ref="K6:K16" si="19">O5</f>
        <v>-13423</v>
      </c>
      <c r="L6" s="22">
        <v>77664</v>
      </c>
      <c r="M6" s="6">
        <f t="shared" si="6"/>
        <v>64241</v>
      </c>
      <c r="N6" s="21">
        <v>64240</v>
      </c>
      <c r="O6" s="22">
        <f t="shared" si="7"/>
        <v>1</v>
      </c>
      <c r="P6" s="22">
        <f t="shared" si="8"/>
        <v>1</v>
      </c>
      <c r="Q6" s="22">
        <f t="shared" si="9"/>
        <v>0</v>
      </c>
      <c r="R6" s="25">
        <f t="shared" si="10"/>
        <v>0.25</v>
      </c>
      <c r="S6" s="23">
        <f t="shared" si="11"/>
        <v>0</v>
      </c>
      <c r="T6" s="22">
        <f t="shared" si="14"/>
        <v>399000</v>
      </c>
      <c r="U6" s="29">
        <f>MAX(T6-256500,0)*12.5/60</f>
        <v>29687.5</v>
      </c>
      <c r="V6" s="26">
        <f t="shared" ref="V6:V17" si="20">AA5</f>
        <v>35500</v>
      </c>
      <c r="W6" s="26">
        <f t="shared" si="15"/>
        <v>119166</v>
      </c>
      <c r="X6" s="19">
        <v>95000</v>
      </c>
      <c r="Y6" s="26">
        <f t="shared" si="16"/>
        <v>106000</v>
      </c>
      <c r="Z6" s="26">
        <f t="shared" si="17"/>
        <v>0</v>
      </c>
      <c r="AA6" s="26">
        <f t="shared" si="12"/>
        <v>22334</v>
      </c>
      <c r="AB6" s="25">
        <f>X6*78+Z6*85+0.1*AA6</f>
        <v>7412233.4000000004</v>
      </c>
      <c r="AC6" s="25">
        <f t="shared" si="13"/>
        <v>7444630.3300000001</v>
      </c>
      <c r="AD6" s="25">
        <f>SUM($AC$3:AC6)</f>
        <v>14869049.85</v>
      </c>
      <c r="AF6" s="5"/>
      <c r="AG6" s="6"/>
      <c r="AH6" s="6" t="s">
        <v>45</v>
      </c>
      <c r="AI6" s="6">
        <v>1</v>
      </c>
    </row>
    <row r="7" spans="1:45" x14ac:dyDescent="0.3">
      <c r="A7" s="6">
        <v>3</v>
      </c>
      <c r="B7" s="6">
        <f t="shared" si="18"/>
        <v>-4671</v>
      </c>
      <c r="C7" s="22">
        <v>48497</v>
      </c>
      <c r="D7" s="6">
        <f t="shared" si="0"/>
        <v>43826</v>
      </c>
      <c r="E7" s="21">
        <v>39830</v>
      </c>
      <c r="F7" s="22">
        <f t="shared" si="1"/>
        <v>3996</v>
      </c>
      <c r="G7" s="22">
        <f t="shared" si="2"/>
        <v>3996</v>
      </c>
      <c r="H7" s="22">
        <f t="shared" si="3"/>
        <v>0</v>
      </c>
      <c r="I7" s="23">
        <f t="shared" si="4"/>
        <v>1118.8800000000001</v>
      </c>
      <c r="J7" s="23">
        <f t="shared" si="5"/>
        <v>0</v>
      </c>
      <c r="K7" s="6">
        <f t="shared" si="19"/>
        <v>1</v>
      </c>
      <c r="L7" s="22">
        <v>68337</v>
      </c>
      <c r="M7" s="6">
        <f t="shared" si="6"/>
        <v>68338</v>
      </c>
      <c r="N7" s="21">
        <v>68333</v>
      </c>
      <c r="O7" s="22">
        <f t="shared" si="7"/>
        <v>5</v>
      </c>
      <c r="P7" s="22">
        <f t="shared" si="8"/>
        <v>5</v>
      </c>
      <c r="Q7" s="22">
        <f t="shared" si="9"/>
        <v>0</v>
      </c>
      <c r="R7" s="25">
        <f t="shared" si="10"/>
        <v>1.25</v>
      </c>
      <c r="S7" s="23">
        <f t="shared" si="11"/>
        <v>0</v>
      </c>
      <c r="T7" s="22">
        <f t="shared" si="14"/>
        <v>398999</v>
      </c>
      <c r="U7" s="29">
        <f>MAX(T7-256500,0)*12.5/60</f>
        <v>29687.291666666668</v>
      </c>
      <c r="V7" s="26">
        <f t="shared" si="20"/>
        <v>22334</v>
      </c>
      <c r="W7" s="26">
        <f t="shared" si="15"/>
        <v>116834</v>
      </c>
      <c r="X7" s="19">
        <v>95000</v>
      </c>
      <c r="Y7" s="26">
        <f t="shared" si="16"/>
        <v>95000</v>
      </c>
      <c r="Z7" s="26">
        <f t="shared" si="17"/>
        <v>0</v>
      </c>
      <c r="AA7" s="26">
        <f t="shared" si="12"/>
        <v>500</v>
      </c>
      <c r="AB7" s="25">
        <f>X7*78+Z7*85+0.1*AA7</f>
        <v>7410050</v>
      </c>
      <c r="AC7" s="25">
        <f t="shared" si="13"/>
        <v>7440857.4216666669</v>
      </c>
      <c r="AD7" s="25">
        <f>SUM($AC$3:AC7)</f>
        <v>22309907.271666668</v>
      </c>
      <c r="AF7" s="5"/>
    </row>
    <row r="8" spans="1:45" x14ac:dyDescent="0.3">
      <c r="A8" s="6">
        <v>4</v>
      </c>
      <c r="B8" s="6">
        <f t="shared" si="18"/>
        <v>3996</v>
      </c>
      <c r="C8" s="22">
        <v>45227</v>
      </c>
      <c r="D8" s="6">
        <f t="shared" si="0"/>
        <v>49223</v>
      </c>
      <c r="E8" s="21">
        <v>40431</v>
      </c>
      <c r="F8" s="22">
        <f t="shared" si="1"/>
        <v>8792</v>
      </c>
      <c r="G8" s="22">
        <f t="shared" si="2"/>
        <v>8792</v>
      </c>
      <c r="H8" s="22">
        <f t="shared" si="3"/>
        <v>0</v>
      </c>
      <c r="I8" s="23">
        <f t="shared" si="4"/>
        <v>2461.7600000000002</v>
      </c>
      <c r="J8" s="23">
        <f t="shared" si="5"/>
        <v>0</v>
      </c>
      <c r="K8" s="6">
        <f t="shared" si="19"/>
        <v>5</v>
      </c>
      <c r="L8" s="22">
        <v>72697</v>
      </c>
      <c r="M8" s="6">
        <f t="shared" si="6"/>
        <v>72702</v>
      </c>
      <c r="N8" s="21">
        <v>72697</v>
      </c>
      <c r="O8" s="22">
        <f t="shared" si="7"/>
        <v>5</v>
      </c>
      <c r="P8" s="22">
        <f t="shared" si="8"/>
        <v>5</v>
      </c>
      <c r="Q8" s="22">
        <f t="shared" si="9"/>
        <v>0</v>
      </c>
      <c r="R8" s="25">
        <f t="shared" si="10"/>
        <v>1.25</v>
      </c>
      <c r="S8" s="23">
        <f t="shared" si="11"/>
        <v>0</v>
      </c>
      <c r="T8" s="22">
        <f t="shared" si="14"/>
        <v>398999</v>
      </c>
      <c r="U8" s="29">
        <f>MAX(T8-256500,0)*12.5/60</f>
        <v>29687.291666666668</v>
      </c>
      <c r="V8" s="26">
        <f t="shared" si="20"/>
        <v>500</v>
      </c>
      <c r="W8" s="26">
        <f t="shared" si="15"/>
        <v>117924</v>
      </c>
      <c r="X8" s="19">
        <v>95000</v>
      </c>
      <c r="Y8" s="26">
        <f t="shared" si="16"/>
        <v>95000</v>
      </c>
      <c r="Z8" s="26">
        <f t="shared" si="17"/>
        <v>22424</v>
      </c>
      <c r="AA8" s="26">
        <f t="shared" si="12"/>
        <v>0</v>
      </c>
      <c r="AB8" s="25">
        <f>X8*78+Z8*85+0.1*AA8</f>
        <v>9316040</v>
      </c>
      <c r="AC8" s="25">
        <f t="shared" si="13"/>
        <v>9348190.3016666658</v>
      </c>
      <c r="AD8" s="25">
        <f>SUM($AC$3:AC8)</f>
        <v>31658097.573333334</v>
      </c>
      <c r="AF8" s="5"/>
    </row>
    <row r="9" spans="1:45" x14ac:dyDescent="0.3">
      <c r="A9" s="6">
        <v>5</v>
      </c>
      <c r="B9" s="6">
        <f t="shared" si="18"/>
        <v>8792</v>
      </c>
      <c r="C9" s="22">
        <v>39427</v>
      </c>
      <c r="D9" s="6">
        <f t="shared" si="0"/>
        <v>48219</v>
      </c>
      <c r="E9" s="21">
        <v>46174</v>
      </c>
      <c r="F9" s="22">
        <f t="shared" si="1"/>
        <v>2045</v>
      </c>
      <c r="G9" s="22">
        <f t="shared" si="2"/>
        <v>2045</v>
      </c>
      <c r="H9" s="22">
        <f t="shared" si="3"/>
        <v>0</v>
      </c>
      <c r="I9" s="23">
        <f t="shared" si="4"/>
        <v>572.6</v>
      </c>
      <c r="J9" s="23">
        <f t="shared" si="5"/>
        <v>0</v>
      </c>
      <c r="K9" s="6">
        <f t="shared" si="19"/>
        <v>5</v>
      </c>
      <c r="L9" s="22">
        <v>80430</v>
      </c>
      <c r="M9" s="6">
        <f t="shared" si="6"/>
        <v>80435</v>
      </c>
      <c r="N9" s="21">
        <v>80431</v>
      </c>
      <c r="O9" s="22">
        <f t="shared" si="7"/>
        <v>4</v>
      </c>
      <c r="P9" s="22">
        <f t="shared" si="8"/>
        <v>4</v>
      </c>
      <c r="Q9" s="22">
        <f t="shared" si="9"/>
        <v>0</v>
      </c>
      <c r="R9" s="25">
        <f t="shared" si="10"/>
        <v>1</v>
      </c>
      <c r="S9" s="23">
        <f t="shared" si="11"/>
        <v>0</v>
      </c>
      <c r="T9" s="22">
        <f t="shared" si="14"/>
        <v>398998</v>
      </c>
      <c r="U9" s="29">
        <f>MAX(T9-256500,0)*12.5/60</f>
        <v>29687.083333333332</v>
      </c>
      <c r="V9" s="26">
        <f t="shared" si="20"/>
        <v>0</v>
      </c>
      <c r="W9" s="26">
        <f t="shared" si="15"/>
        <v>119857</v>
      </c>
      <c r="X9" s="19">
        <v>95000</v>
      </c>
      <c r="Y9" s="26">
        <f t="shared" si="16"/>
        <v>95000</v>
      </c>
      <c r="Z9" s="26">
        <f t="shared" si="17"/>
        <v>24857</v>
      </c>
      <c r="AA9" s="26">
        <f t="shared" si="12"/>
        <v>0</v>
      </c>
      <c r="AB9" s="25">
        <f t="shared" ref="AB9:AB17" si="21">X9*67+Z9*85+0.1*AA9</f>
        <v>8477845</v>
      </c>
      <c r="AC9" s="25">
        <f t="shared" si="13"/>
        <v>8508105.6833333336</v>
      </c>
      <c r="AD9" s="25">
        <f>SUM($AC$3:AC9)</f>
        <v>40166203.256666668</v>
      </c>
      <c r="AF9" s="5"/>
    </row>
    <row r="10" spans="1:45" x14ac:dyDescent="0.3">
      <c r="A10" s="6">
        <v>6</v>
      </c>
      <c r="B10" s="6">
        <f t="shared" si="18"/>
        <v>2045</v>
      </c>
      <c r="C10" s="22">
        <v>37062</v>
      </c>
      <c r="D10" s="6">
        <f t="shared" si="0"/>
        <v>39107</v>
      </c>
      <c r="E10" s="21">
        <v>52274</v>
      </c>
      <c r="F10" s="22">
        <f t="shared" si="1"/>
        <v>-13167</v>
      </c>
      <c r="G10" s="22">
        <f t="shared" si="2"/>
        <v>0</v>
      </c>
      <c r="H10" s="22">
        <f t="shared" si="3"/>
        <v>13167</v>
      </c>
      <c r="I10" s="23">
        <f t="shared" si="4"/>
        <v>0</v>
      </c>
      <c r="J10" s="23">
        <f t="shared" si="5"/>
        <v>7636.86</v>
      </c>
      <c r="K10" s="6">
        <f t="shared" si="19"/>
        <v>4</v>
      </c>
      <c r="L10" s="22">
        <v>90584</v>
      </c>
      <c r="M10" s="6">
        <f t="shared" si="6"/>
        <v>90588</v>
      </c>
      <c r="N10" s="21">
        <v>90584</v>
      </c>
      <c r="O10" s="22">
        <f t="shared" si="7"/>
        <v>4</v>
      </c>
      <c r="P10" s="22">
        <f t="shared" si="8"/>
        <v>4</v>
      </c>
      <c r="Q10" s="22">
        <f t="shared" si="9"/>
        <v>0</v>
      </c>
      <c r="R10" s="25">
        <f t="shared" si="10"/>
        <v>1</v>
      </c>
      <c r="S10" s="23">
        <f t="shared" si="11"/>
        <v>0</v>
      </c>
      <c r="T10" s="22">
        <f t="shared" si="14"/>
        <v>420000</v>
      </c>
      <c r="U10" s="29">
        <f t="shared" ref="U10:U17" si="22">MAX(T10-270000,0)*12.5/60</f>
        <v>31250</v>
      </c>
      <c r="V10" s="26">
        <f t="shared" si="20"/>
        <v>0</v>
      </c>
      <c r="W10" s="26">
        <f t="shared" si="15"/>
        <v>127646</v>
      </c>
      <c r="X10" s="19">
        <v>95000</v>
      </c>
      <c r="Y10" s="26">
        <f t="shared" si="16"/>
        <v>95000</v>
      </c>
      <c r="Z10" s="26">
        <f t="shared" si="17"/>
        <v>32646</v>
      </c>
      <c r="AA10" s="26">
        <f t="shared" si="12"/>
        <v>0</v>
      </c>
      <c r="AB10" s="25">
        <f t="shared" si="21"/>
        <v>9139910</v>
      </c>
      <c r="AC10" s="25">
        <f t="shared" si="13"/>
        <v>9178797.8599999994</v>
      </c>
      <c r="AD10" s="25">
        <f>SUM($AC$3:AC10)</f>
        <v>49345001.116666667</v>
      </c>
      <c r="AF10" s="5"/>
    </row>
    <row r="11" spans="1:45" x14ac:dyDescent="0.3">
      <c r="A11" s="6">
        <v>7</v>
      </c>
      <c r="B11" s="6">
        <f t="shared" si="18"/>
        <v>-13167</v>
      </c>
      <c r="C11" s="22">
        <v>27904</v>
      </c>
      <c r="D11" s="6">
        <f t="shared" si="0"/>
        <v>14737</v>
      </c>
      <c r="E11" s="21">
        <v>59997</v>
      </c>
      <c r="F11" s="22">
        <f t="shared" si="1"/>
        <v>-45260</v>
      </c>
      <c r="G11" s="22">
        <f t="shared" si="2"/>
        <v>0</v>
      </c>
      <c r="H11" s="22">
        <f t="shared" si="3"/>
        <v>45260</v>
      </c>
      <c r="I11" s="23">
        <f t="shared" si="4"/>
        <v>0</v>
      </c>
      <c r="J11" s="23">
        <f t="shared" si="5"/>
        <v>26250.799999999999</v>
      </c>
      <c r="K11" s="6">
        <f t="shared" si="19"/>
        <v>4</v>
      </c>
      <c r="L11" s="22">
        <v>102794</v>
      </c>
      <c r="M11" s="6">
        <f t="shared" si="6"/>
        <v>102798</v>
      </c>
      <c r="N11" s="21">
        <v>102795</v>
      </c>
      <c r="O11" s="22">
        <f t="shared" si="7"/>
        <v>3</v>
      </c>
      <c r="P11" s="22">
        <f t="shared" si="8"/>
        <v>3</v>
      </c>
      <c r="Q11" s="22">
        <f t="shared" si="9"/>
        <v>0</v>
      </c>
      <c r="R11" s="25">
        <f t="shared" si="10"/>
        <v>0.75</v>
      </c>
      <c r="S11" s="23">
        <f t="shared" si="11"/>
        <v>0</v>
      </c>
      <c r="T11" s="22">
        <f t="shared" si="14"/>
        <v>419998</v>
      </c>
      <c r="U11" s="29">
        <f t="shared" si="22"/>
        <v>31249.583333333332</v>
      </c>
      <c r="V11" s="26">
        <f t="shared" si="20"/>
        <v>0</v>
      </c>
      <c r="W11" s="26">
        <f t="shared" si="15"/>
        <v>130698</v>
      </c>
      <c r="X11" s="19">
        <v>95000</v>
      </c>
      <c r="Y11" s="26">
        <f t="shared" si="16"/>
        <v>95000</v>
      </c>
      <c r="Z11" s="26">
        <f t="shared" si="17"/>
        <v>35698</v>
      </c>
      <c r="AA11" s="26">
        <f t="shared" si="12"/>
        <v>0</v>
      </c>
      <c r="AB11" s="25">
        <f t="shared" si="21"/>
        <v>9399330</v>
      </c>
      <c r="AC11" s="25">
        <f t="shared" si="13"/>
        <v>9456831.1333333328</v>
      </c>
      <c r="AD11" s="25">
        <f>SUM($AC$3:AC11)</f>
        <v>58801832.25</v>
      </c>
      <c r="AF11" s="5"/>
    </row>
    <row r="12" spans="1:45" x14ac:dyDescent="0.3">
      <c r="A12" s="6">
        <v>8</v>
      </c>
      <c r="B12" s="6">
        <f t="shared" si="18"/>
        <v>-45260</v>
      </c>
      <c r="C12" s="22">
        <v>25000</v>
      </c>
      <c r="D12" s="6">
        <f t="shared" si="0"/>
        <v>-20260</v>
      </c>
      <c r="E12" s="21">
        <v>61951</v>
      </c>
      <c r="F12" s="22">
        <f t="shared" si="1"/>
        <v>-82211</v>
      </c>
      <c r="G12" s="22">
        <f t="shared" si="2"/>
        <v>0</v>
      </c>
      <c r="H12" s="22">
        <f t="shared" si="3"/>
        <v>82211</v>
      </c>
      <c r="I12" s="23">
        <f t="shared" si="4"/>
        <v>0</v>
      </c>
      <c r="J12" s="23">
        <f t="shared" si="5"/>
        <v>47682.38</v>
      </c>
      <c r="K12" s="6">
        <f t="shared" si="19"/>
        <v>3</v>
      </c>
      <c r="L12" s="22">
        <v>106666</v>
      </c>
      <c r="M12" s="6">
        <f t="shared" si="6"/>
        <v>106669</v>
      </c>
      <c r="N12" s="21">
        <v>106667</v>
      </c>
      <c r="O12" s="22">
        <f t="shared" si="7"/>
        <v>2</v>
      </c>
      <c r="P12" s="22">
        <f t="shared" si="8"/>
        <v>2</v>
      </c>
      <c r="Q12" s="22">
        <f t="shared" si="9"/>
        <v>0</v>
      </c>
      <c r="R12" s="25">
        <f t="shared" si="10"/>
        <v>0.5</v>
      </c>
      <c r="S12" s="23">
        <f t="shared" si="11"/>
        <v>0</v>
      </c>
      <c r="T12" s="22">
        <f t="shared" si="14"/>
        <v>419998</v>
      </c>
      <c r="U12" s="29">
        <f t="shared" si="22"/>
        <v>31249.583333333332</v>
      </c>
      <c r="V12" s="26">
        <f t="shared" si="20"/>
        <v>0</v>
      </c>
      <c r="W12" s="26">
        <f t="shared" si="15"/>
        <v>131666</v>
      </c>
      <c r="X12" s="19">
        <v>95000</v>
      </c>
      <c r="Y12" s="26">
        <f t="shared" si="16"/>
        <v>95000</v>
      </c>
      <c r="Z12" s="26">
        <f t="shared" si="17"/>
        <v>36666</v>
      </c>
      <c r="AA12" s="26">
        <f t="shared" si="12"/>
        <v>0</v>
      </c>
      <c r="AB12" s="25">
        <f t="shared" si="21"/>
        <v>9481610</v>
      </c>
      <c r="AC12" s="25">
        <f t="shared" si="13"/>
        <v>9560542.4633333329</v>
      </c>
      <c r="AD12" s="25">
        <f>SUM($AC$3:AC12)</f>
        <v>68362374.713333338</v>
      </c>
    </row>
    <row r="13" spans="1:45" x14ac:dyDescent="0.3">
      <c r="A13" s="6">
        <v>9</v>
      </c>
      <c r="B13" s="6">
        <f t="shared" si="18"/>
        <v>-82211</v>
      </c>
      <c r="C13" s="22">
        <v>35417</v>
      </c>
      <c r="D13" s="6">
        <f t="shared" si="0"/>
        <v>-46794</v>
      </c>
      <c r="E13" s="21">
        <v>51211</v>
      </c>
      <c r="F13" s="22">
        <f t="shared" si="1"/>
        <v>-98005</v>
      </c>
      <c r="G13" s="22">
        <f t="shared" si="2"/>
        <v>0</v>
      </c>
      <c r="H13" s="22">
        <f t="shared" si="3"/>
        <v>98005</v>
      </c>
      <c r="I13" s="23">
        <f t="shared" si="4"/>
        <v>0</v>
      </c>
      <c r="J13" s="23">
        <f t="shared" si="5"/>
        <v>56842.899999999994</v>
      </c>
      <c r="K13" s="6">
        <f t="shared" si="19"/>
        <v>2</v>
      </c>
      <c r="L13" s="22">
        <v>92777</v>
      </c>
      <c r="M13" s="6">
        <f t="shared" si="6"/>
        <v>92779</v>
      </c>
      <c r="N13" s="21">
        <v>92778</v>
      </c>
      <c r="O13" s="22">
        <f t="shared" si="7"/>
        <v>1</v>
      </c>
      <c r="P13" s="22">
        <f t="shared" si="8"/>
        <v>1</v>
      </c>
      <c r="Q13" s="22">
        <f t="shared" si="9"/>
        <v>0</v>
      </c>
      <c r="R13" s="25">
        <f t="shared" si="10"/>
        <v>0.25</v>
      </c>
      <c r="S13" s="23">
        <f t="shared" si="11"/>
        <v>0</v>
      </c>
      <c r="T13" s="22">
        <f t="shared" si="14"/>
        <v>419999</v>
      </c>
      <c r="U13" s="29">
        <f t="shared" si="22"/>
        <v>31249.791666666668</v>
      </c>
      <c r="V13" s="26">
        <f t="shared" si="20"/>
        <v>0</v>
      </c>
      <c r="W13" s="26">
        <f t="shared" si="15"/>
        <v>128194</v>
      </c>
      <c r="X13" s="19">
        <v>95000</v>
      </c>
      <c r="Y13" s="26">
        <f t="shared" si="16"/>
        <v>95000</v>
      </c>
      <c r="Z13" s="26">
        <f t="shared" si="17"/>
        <v>33194</v>
      </c>
      <c r="AA13" s="26">
        <f t="shared" si="12"/>
        <v>0</v>
      </c>
      <c r="AB13" s="25">
        <f t="shared" si="21"/>
        <v>9186490</v>
      </c>
      <c r="AC13" s="25">
        <f t="shared" si="13"/>
        <v>9274582.9416666664</v>
      </c>
      <c r="AD13" s="25">
        <f>SUM($AC$3:AC13)</f>
        <v>77636957.655000001</v>
      </c>
    </row>
    <row r="14" spans="1:45" x14ac:dyDescent="0.3">
      <c r="A14" s="6">
        <v>10</v>
      </c>
      <c r="B14" s="6">
        <f t="shared" si="18"/>
        <v>-98005</v>
      </c>
      <c r="C14" s="22">
        <v>36458</v>
      </c>
      <c r="D14" s="6">
        <f t="shared" si="0"/>
        <v>-61547</v>
      </c>
      <c r="E14" s="21">
        <v>49024</v>
      </c>
      <c r="F14" s="22">
        <f t="shared" si="1"/>
        <v>-110571</v>
      </c>
      <c r="G14" s="22">
        <f t="shared" si="2"/>
        <v>0</v>
      </c>
      <c r="H14" s="22">
        <f t="shared" si="3"/>
        <v>110571</v>
      </c>
      <c r="I14" s="23">
        <f t="shared" si="4"/>
        <v>0</v>
      </c>
      <c r="J14" s="23">
        <f t="shared" si="5"/>
        <v>64131.179999999993</v>
      </c>
      <c r="K14" s="6">
        <f t="shared" si="19"/>
        <v>1</v>
      </c>
      <c r="L14" s="22">
        <v>91389</v>
      </c>
      <c r="M14" s="6">
        <f t="shared" si="6"/>
        <v>91390</v>
      </c>
      <c r="N14" s="21">
        <v>91389</v>
      </c>
      <c r="O14" s="22">
        <f t="shared" si="7"/>
        <v>1</v>
      </c>
      <c r="P14" s="22">
        <f t="shared" si="8"/>
        <v>1</v>
      </c>
      <c r="Q14" s="22">
        <f t="shared" si="9"/>
        <v>0</v>
      </c>
      <c r="R14" s="25">
        <f t="shared" si="10"/>
        <v>0.25</v>
      </c>
      <c r="S14" s="23">
        <f t="shared" si="11"/>
        <v>0</v>
      </c>
      <c r="T14" s="22">
        <f t="shared" si="14"/>
        <v>419999</v>
      </c>
      <c r="U14" s="29">
        <f t="shared" si="22"/>
        <v>31249.791666666668</v>
      </c>
      <c r="V14" s="26">
        <f t="shared" si="20"/>
        <v>0</v>
      </c>
      <c r="W14" s="26">
        <f t="shared" si="15"/>
        <v>127847</v>
      </c>
      <c r="X14" s="19">
        <v>95000</v>
      </c>
      <c r="Y14" s="26">
        <f t="shared" si="16"/>
        <v>95000</v>
      </c>
      <c r="Z14" s="26">
        <f t="shared" si="17"/>
        <v>32847</v>
      </c>
      <c r="AA14" s="26">
        <f t="shared" si="12"/>
        <v>0</v>
      </c>
      <c r="AB14" s="25">
        <f t="shared" si="21"/>
        <v>9156995</v>
      </c>
      <c r="AC14" s="25">
        <f t="shared" si="13"/>
        <v>9252376.2216666657</v>
      </c>
      <c r="AD14" s="25">
        <f>SUM($AC$3:AC14)</f>
        <v>86889333.876666665</v>
      </c>
    </row>
    <row r="15" spans="1:45" x14ac:dyDescent="0.3">
      <c r="A15" s="6">
        <v>11</v>
      </c>
      <c r="B15" s="6">
        <f t="shared" si="18"/>
        <v>-110571</v>
      </c>
      <c r="C15" s="22">
        <v>43656</v>
      </c>
      <c r="D15" s="6">
        <f t="shared" si="0"/>
        <v>-66915</v>
      </c>
      <c r="E15" s="21">
        <v>44728</v>
      </c>
      <c r="F15" s="22">
        <f t="shared" si="1"/>
        <v>-111643</v>
      </c>
      <c r="G15" s="22">
        <f t="shared" si="2"/>
        <v>0</v>
      </c>
      <c r="H15" s="22">
        <f t="shared" si="3"/>
        <v>111643</v>
      </c>
      <c r="I15" s="23">
        <f t="shared" si="4"/>
        <v>0</v>
      </c>
      <c r="J15" s="23">
        <f t="shared" si="5"/>
        <v>64752.939999999995</v>
      </c>
      <c r="K15" s="6">
        <f t="shared" si="19"/>
        <v>1</v>
      </c>
      <c r="L15" s="22">
        <v>81792</v>
      </c>
      <c r="M15" s="6">
        <f t="shared" si="6"/>
        <v>81793</v>
      </c>
      <c r="N15" s="21">
        <v>81792</v>
      </c>
      <c r="O15" s="22">
        <f t="shared" si="7"/>
        <v>1</v>
      </c>
      <c r="P15" s="22">
        <f t="shared" si="8"/>
        <v>1</v>
      </c>
      <c r="Q15" s="22">
        <f t="shared" si="9"/>
        <v>0</v>
      </c>
      <c r="R15" s="25">
        <f t="shared" si="10"/>
        <v>0.25</v>
      </c>
      <c r="S15" s="23">
        <f t="shared" si="11"/>
        <v>0</v>
      </c>
      <c r="T15" s="22">
        <f t="shared" si="14"/>
        <v>420000</v>
      </c>
      <c r="U15" s="29">
        <f t="shared" si="22"/>
        <v>31250</v>
      </c>
      <c r="V15" s="26">
        <f t="shared" si="20"/>
        <v>0</v>
      </c>
      <c r="W15" s="26">
        <f t="shared" si="15"/>
        <v>125448</v>
      </c>
      <c r="X15" s="19">
        <v>95000</v>
      </c>
      <c r="Y15" s="26">
        <f t="shared" si="16"/>
        <v>95000</v>
      </c>
      <c r="Z15" s="26">
        <f t="shared" si="17"/>
        <v>30448</v>
      </c>
      <c r="AA15" s="26">
        <f t="shared" si="12"/>
        <v>0</v>
      </c>
      <c r="AB15" s="25">
        <f t="shared" si="21"/>
        <v>8953080</v>
      </c>
      <c r="AC15" s="25">
        <f t="shared" si="13"/>
        <v>9049083.1899999995</v>
      </c>
      <c r="AD15" s="25">
        <f>SUM($AC$3:AC15)</f>
        <v>95938417.066666663</v>
      </c>
    </row>
    <row r="16" spans="1:45" x14ac:dyDescent="0.3">
      <c r="A16" s="6">
        <v>12</v>
      </c>
      <c r="B16" s="6">
        <f t="shared" si="18"/>
        <v>-111643</v>
      </c>
      <c r="C16" s="22">
        <v>69608</v>
      </c>
      <c r="D16" s="6">
        <f t="shared" si="0"/>
        <v>-42035</v>
      </c>
      <c r="E16" s="21">
        <v>32165</v>
      </c>
      <c r="F16" s="22">
        <f t="shared" si="1"/>
        <v>-74200</v>
      </c>
      <c r="G16" s="22">
        <f t="shared" si="2"/>
        <v>0</v>
      </c>
      <c r="H16" s="22">
        <f t="shared" si="3"/>
        <v>74200</v>
      </c>
      <c r="I16" s="23">
        <f t="shared" si="4"/>
        <v>0</v>
      </c>
      <c r="J16" s="23">
        <f t="shared" si="5"/>
        <v>43036</v>
      </c>
      <c r="K16" s="6">
        <f t="shared" si="19"/>
        <v>1</v>
      </c>
      <c r="L16" s="22">
        <v>47189</v>
      </c>
      <c r="M16" s="6">
        <f t="shared" si="6"/>
        <v>47190</v>
      </c>
      <c r="N16" s="21">
        <v>73948</v>
      </c>
      <c r="O16" s="22">
        <f t="shared" si="7"/>
        <v>-26758</v>
      </c>
      <c r="P16" s="22">
        <f t="shared" si="8"/>
        <v>0</v>
      </c>
      <c r="Q16" s="22">
        <f t="shared" si="9"/>
        <v>26758</v>
      </c>
      <c r="R16" s="25">
        <f t="shared" si="10"/>
        <v>0</v>
      </c>
      <c r="S16" s="23">
        <f t="shared" si="11"/>
        <v>13379</v>
      </c>
      <c r="T16" s="22">
        <f t="shared" si="14"/>
        <v>419999</v>
      </c>
      <c r="U16" s="29">
        <f t="shared" si="22"/>
        <v>31249.791666666668</v>
      </c>
      <c r="V16" s="26">
        <f t="shared" si="20"/>
        <v>0</v>
      </c>
      <c r="W16" s="26">
        <f t="shared" si="15"/>
        <v>116797</v>
      </c>
      <c r="X16" s="19">
        <v>0</v>
      </c>
      <c r="Y16" s="26">
        <f t="shared" si="16"/>
        <v>95000</v>
      </c>
      <c r="Z16" s="26">
        <f t="shared" si="17"/>
        <v>21797</v>
      </c>
      <c r="AA16" s="26">
        <f t="shared" si="12"/>
        <v>0</v>
      </c>
      <c r="AB16" s="25">
        <f t="shared" si="21"/>
        <v>1852745</v>
      </c>
      <c r="AC16" s="25">
        <f t="shared" si="13"/>
        <v>1940409.7916666667</v>
      </c>
      <c r="AD16" s="25">
        <f>SUM($AC$3:AC16)</f>
        <v>97878826.858333334</v>
      </c>
    </row>
    <row r="17" spans="1:30" ht="18" x14ac:dyDescent="0.3">
      <c r="A17" s="6">
        <v>13</v>
      </c>
      <c r="B17" s="6">
        <f t="shared" si="18"/>
        <v>-74200</v>
      </c>
      <c r="C17" s="22">
        <v>105000</v>
      </c>
      <c r="D17" s="6">
        <f t="shared" si="0"/>
        <v>30800</v>
      </c>
      <c r="E17" s="21">
        <v>30803</v>
      </c>
      <c r="F17" s="22">
        <f t="shared" si="1"/>
        <v>-3</v>
      </c>
      <c r="G17" s="22">
        <f t="shared" si="2"/>
        <v>0</v>
      </c>
      <c r="H17" s="22">
        <f t="shared" si="3"/>
        <v>3</v>
      </c>
      <c r="I17" s="23">
        <f>G17*13</f>
        <v>0</v>
      </c>
      <c r="J17" s="23">
        <f>130*H17</f>
        <v>390</v>
      </c>
      <c r="K17" s="22">
        <f>O16</f>
        <v>-26758</v>
      </c>
      <c r="L17" s="22">
        <v>0</v>
      </c>
      <c r="M17" s="6">
        <f t="shared" si="6"/>
        <v>-26758</v>
      </c>
      <c r="N17" s="21">
        <v>71163</v>
      </c>
      <c r="O17" s="22">
        <f t="shared" si="7"/>
        <v>-97921</v>
      </c>
      <c r="P17" s="22">
        <f t="shared" si="8"/>
        <v>0</v>
      </c>
      <c r="Q17" s="22">
        <f t="shared" si="9"/>
        <v>97921</v>
      </c>
      <c r="R17" s="25">
        <f>P17*10</f>
        <v>0</v>
      </c>
      <c r="S17" s="23">
        <f>100*Q17</f>
        <v>9792100</v>
      </c>
      <c r="T17" s="22">
        <f t="shared" si="14"/>
        <v>420000</v>
      </c>
      <c r="U17" s="29">
        <f t="shared" si="22"/>
        <v>31250</v>
      </c>
      <c r="V17" s="26">
        <f t="shared" si="20"/>
        <v>0</v>
      </c>
      <c r="W17" s="26">
        <f t="shared" si="15"/>
        <v>105000</v>
      </c>
      <c r="X17" s="19">
        <v>0</v>
      </c>
      <c r="Y17" s="26">
        <f t="shared" si="16"/>
        <v>95000</v>
      </c>
      <c r="Z17" s="26">
        <f t="shared" si="17"/>
        <v>10000</v>
      </c>
      <c r="AA17" s="26">
        <f t="shared" si="12"/>
        <v>0</v>
      </c>
      <c r="AB17" s="25">
        <f t="shared" si="21"/>
        <v>850000</v>
      </c>
      <c r="AC17" s="25">
        <f t="shared" si="13"/>
        <v>10673740</v>
      </c>
      <c r="AD17" s="35">
        <f>SUM($AC$3:AC17)</f>
        <v>108552566.85833333</v>
      </c>
    </row>
    <row r="19" spans="1:30" x14ac:dyDescent="0.3">
      <c r="H19" s="2"/>
      <c r="I19" s="2"/>
      <c r="J19" s="2"/>
    </row>
    <row r="20" spans="1:30" x14ac:dyDescent="0.3">
      <c r="H20" s="2"/>
      <c r="I20" s="2"/>
      <c r="J20" s="2"/>
    </row>
    <row r="21" spans="1:30" x14ac:dyDescent="0.3">
      <c r="H21" s="2"/>
      <c r="I21" s="2"/>
      <c r="J21" s="2"/>
    </row>
    <row r="22" spans="1:30" x14ac:dyDescent="0.3">
      <c r="H22" s="2"/>
    </row>
    <row r="23" spans="1:30" x14ac:dyDescent="0.3">
      <c r="H23" s="2"/>
      <c r="I23" s="2"/>
      <c r="J23" s="2"/>
    </row>
    <row r="24" spans="1:30" x14ac:dyDescent="0.3">
      <c r="H24" s="2"/>
      <c r="I24" s="2"/>
      <c r="J24" s="2"/>
    </row>
    <row r="25" spans="1:30" x14ac:dyDescent="0.3">
      <c r="H25" s="2"/>
      <c r="I25" s="2"/>
      <c r="J25" s="2"/>
    </row>
    <row r="26" spans="1:30" x14ac:dyDescent="0.3">
      <c r="H26" s="2"/>
      <c r="I26" s="2"/>
      <c r="J26" s="2"/>
    </row>
    <row r="27" spans="1:30" x14ac:dyDescent="0.3">
      <c r="H27" s="2"/>
      <c r="I27" s="2"/>
      <c r="J27" s="2"/>
    </row>
    <row r="28" spans="1:30" x14ac:dyDescent="0.3">
      <c r="H28" s="2"/>
      <c r="I28" s="2"/>
      <c r="J28" s="2"/>
    </row>
    <row r="29" spans="1:30" x14ac:dyDescent="0.3">
      <c r="H29" s="2"/>
      <c r="I29" s="2"/>
      <c r="J29" s="2"/>
    </row>
    <row r="30" spans="1:30" x14ac:dyDescent="0.3">
      <c r="H30" s="2"/>
      <c r="I30" s="2"/>
      <c r="J30" s="2"/>
    </row>
    <row r="31" spans="1:30" x14ac:dyDescent="0.3">
      <c r="H31" s="2"/>
      <c r="I31" s="2"/>
      <c r="J31" s="2"/>
    </row>
    <row r="32" spans="1:30" x14ac:dyDescent="0.3">
      <c r="H32" s="2"/>
      <c r="I32" s="2"/>
      <c r="J32" s="2"/>
    </row>
    <row r="33" spans="8:10" x14ac:dyDescent="0.3">
      <c r="H33" s="2"/>
      <c r="I33" s="2"/>
      <c r="J33" s="2"/>
    </row>
    <row r="34" spans="8:10" x14ac:dyDescent="0.3">
      <c r="H34" s="2"/>
      <c r="I34" s="2"/>
      <c r="J34" s="2"/>
    </row>
    <row r="35" spans="8:10" x14ac:dyDescent="0.3">
      <c r="H35" s="2"/>
      <c r="I35" s="2"/>
      <c r="J35" s="2"/>
    </row>
    <row r="36" spans="8:10" x14ac:dyDescent="0.3">
      <c r="H36" s="2"/>
      <c r="I36" s="2"/>
      <c r="J36" s="2"/>
    </row>
    <row r="37" spans="8:10" x14ac:dyDescent="0.3">
      <c r="H37" s="2"/>
      <c r="I37" s="2"/>
      <c r="J37" s="2"/>
    </row>
    <row r="38" spans="8:10" x14ac:dyDescent="0.3">
      <c r="H38" s="2"/>
      <c r="I38" s="2"/>
      <c r="J38" s="2"/>
    </row>
    <row r="39" spans="8:10" x14ac:dyDescent="0.3">
      <c r="H39" s="2"/>
      <c r="I39" s="2"/>
      <c r="J39" s="2"/>
    </row>
    <row r="40" spans="8:10" x14ac:dyDescent="0.3">
      <c r="H40" s="2"/>
      <c r="I40" s="2"/>
      <c r="J40" s="2"/>
    </row>
    <row r="41" spans="8:10" x14ac:dyDescent="0.3">
      <c r="H41" s="2"/>
      <c r="I41" s="2"/>
      <c r="J41" s="2"/>
    </row>
    <row r="42" spans="8:10" x14ac:dyDescent="0.3">
      <c r="H42" s="2"/>
      <c r="I42" s="2"/>
      <c r="J42" s="2"/>
    </row>
    <row r="43" spans="8:10" x14ac:dyDescent="0.3">
      <c r="H43" s="2"/>
      <c r="I43" s="2"/>
      <c r="J43" s="2"/>
    </row>
    <row r="44" spans="8:10" x14ac:dyDescent="0.3">
      <c r="H44" s="2"/>
      <c r="I44" s="2"/>
      <c r="J44" s="2"/>
    </row>
    <row r="45" spans="8:10" x14ac:dyDescent="0.3">
      <c r="H45" s="2"/>
      <c r="I45" s="2"/>
      <c r="J45" s="2"/>
    </row>
    <row r="46" spans="8:10" x14ac:dyDescent="0.3">
      <c r="H46" s="2"/>
      <c r="I46" s="2"/>
      <c r="J46" s="2"/>
    </row>
    <row r="47" spans="8:10" x14ac:dyDescent="0.3">
      <c r="H47" s="2"/>
      <c r="I47" s="2"/>
      <c r="J47" s="2"/>
    </row>
    <row r="48" spans="8:10" x14ac:dyDescent="0.3">
      <c r="H48" s="2"/>
      <c r="I48" s="2"/>
      <c r="J48" s="2"/>
    </row>
    <row r="49" spans="8:10" x14ac:dyDescent="0.3">
      <c r="H49" s="2"/>
      <c r="I49" s="2"/>
      <c r="J49" s="2"/>
    </row>
    <row r="50" spans="8:10" x14ac:dyDescent="0.3">
      <c r="H50" s="2"/>
      <c r="I50" s="2"/>
      <c r="J50" s="2"/>
    </row>
    <row r="51" spans="8:10" x14ac:dyDescent="0.3">
      <c r="H51" s="2"/>
      <c r="I51" s="2"/>
      <c r="J51" s="2"/>
    </row>
    <row r="52" spans="8:10" x14ac:dyDescent="0.3">
      <c r="H52" s="2"/>
      <c r="I52" s="2"/>
      <c r="J52" s="2"/>
    </row>
    <row r="53" spans="8:10" x14ac:dyDescent="0.3">
      <c r="H53" s="2"/>
      <c r="I53" s="2"/>
      <c r="J53" s="2"/>
    </row>
    <row r="54" spans="8:10" x14ac:dyDescent="0.3">
      <c r="H54" s="2"/>
      <c r="I54" s="2"/>
      <c r="J54" s="2"/>
    </row>
    <row r="55" spans="8:10" x14ac:dyDescent="0.3">
      <c r="H55" s="2"/>
      <c r="I55" s="2"/>
      <c r="J55" s="2"/>
    </row>
    <row r="56" spans="8:10" x14ac:dyDescent="0.3">
      <c r="H56" s="2"/>
      <c r="I56" s="2"/>
      <c r="J56" s="2"/>
    </row>
    <row r="57" spans="8:10" x14ac:dyDescent="0.3">
      <c r="H57" s="2"/>
      <c r="I57" s="2"/>
      <c r="J57" s="2"/>
    </row>
    <row r="58" spans="8:10" x14ac:dyDescent="0.3">
      <c r="H58" s="2"/>
      <c r="I58" s="2"/>
      <c r="J58" s="2"/>
    </row>
    <row r="59" spans="8:10" x14ac:dyDescent="0.3">
      <c r="H59" s="2"/>
      <c r="I59" s="2"/>
      <c r="J59" s="2"/>
    </row>
    <row r="60" spans="8:10" x14ac:dyDescent="0.3">
      <c r="H60" s="2"/>
      <c r="I60" s="2"/>
      <c r="J60" s="2"/>
    </row>
    <row r="61" spans="8:10" x14ac:dyDescent="0.3">
      <c r="H61" s="2"/>
      <c r="I61" s="2"/>
      <c r="J61" s="2"/>
    </row>
    <row r="62" spans="8:10" x14ac:dyDescent="0.3">
      <c r="H62" s="2"/>
      <c r="I62" s="2"/>
      <c r="J62" s="2"/>
    </row>
    <row r="63" spans="8:10" x14ac:dyDescent="0.3">
      <c r="H63" s="2"/>
      <c r="I63" s="2"/>
      <c r="J63" s="2"/>
    </row>
    <row r="64" spans="8:10" x14ac:dyDescent="0.3">
      <c r="H64" s="2"/>
      <c r="I64" s="2"/>
      <c r="J64" s="2"/>
    </row>
    <row r="65" spans="8:10" x14ac:dyDescent="0.3">
      <c r="H65" s="2"/>
      <c r="I65" s="2"/>
      <c r="J65" s="2"/>
    </row>
    <row r="66" spans="8:10" x14ac:dyDescent="0.3">
      <c r="H66" s="2"/>
      <c r="I66" s="2"/>
      <c r="J66" s="2"/>
    </row>
    <row r="67" spans="8:10" x14ac:dyDescent="0.3">
      <c r="H67" s="2"/>
      <c r="I67" s="2"/>
      <c r="J67" s="2"/>
    </row>
    <row r="68" spans="8:10" x14ac:dyDescent="0.3">
      <c r="H68" s="2"/>
      <c r="I68" s="2"/>
      <c r="J68" s="2"/>
    </row>
    <row r="69" spans="8:10" x14ac:dyDescent="0.3">
      <c r="H69" s="2"/>
      <c r="I69" s="2"/>
      <c r="J69" s="2"/>
    </row>
    <row r="70" spans="8:10" x14ac:dyDescent="0.3">
      <c r="H70" s="2"/>
      <c r="I70" s="2"/>
      <c r="J70" s="2"/>
    </row>
    <row r="71" spans="8:10" x14ac:dyDescent="0.3">
      <c r="H71" s="2"/>
      <c r="I71" s="2"/>
      <c r="J71" s="2"/>
    </row>
    <row r="72" spans="8:10" x14ac:dyDescent="0.3">
      <c r="H72" s="2"/>
      <c r="I72" s="2"/>
      <c r="J72" s="2"/>
    </row>
    <row r="73" spans="8:10" x14ac:dyDescent="0.3">
      <c r="H73" s="2"/>
      <c r="I73" s="2"/>
      <c r="J73" s="2"/>
    </row>
    <row r="74" spans="8:10" x14ac:dyDescent="0.3">
      <c r="H74" s="2"/>
      <c r="I74" s="2"/>
      <c r="J74" s="2"/>
    </row>
    <row r="75" spans="8:10" x14ac:dyDescent="0.3">
      <c r="H75" s="2"/>
      <c r="I75" s="2"/>
      <c r="J75" s="2"/>
    </row>
    <row r="76" spans="8:10" x14ac:dyDescent="0.3">
      <c r="H76" s="2"/>
      <c r="I76" s="2"/>
      <c r="J76" s="2"/>
    </row>
    <row r="77" spans="8:10" x14ac:dyDescent="0.3">
      <c r="H77" s="2"/>
      <c r="I77" s="2"/>
      <c r="J77" s="2"/>
    </row>
    <row r="78" spans="8:10" x14ac:dyDescent="0.3">
      <c r="H78" s="2"/>
      <c r="I78" s="2"/>
      <c r="J78" s="2"/>
    </row>
    <row r="79" spans="8:10" x14ac:dyDescent="0.3">
      <c r="H79" s="2"/>
      <c r="I79" s="2"/>
      <c r="J79" s="2"/>
    </row>
    <row r="80" spans="8:10" x14ac:dyDescent="0.3">
      <c r="H80" s="2"/>
      <c r="I80" s="2"/>
      <c r="J80" s="2"/>
    </row>
  </sheetData>
  <autoFilter ref="V1:AA80" xr:uid="{00000000-0001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topLeftCell="A16" zoomScale="90" zoomScaleNormal="90" workbookViewId="0">
      <selection activeCell="G31" sqref="G31"/>
    </sheetView>
  </sheetViews>
  <sheetFormatPr defaultColWidth="10.5546875" defaultRowHeight="14.4" x14ac:dyDescent="0.3"/>
  <cols>
    <col min="1" max="1" width="16.33203125" bestFit="1" customWidth="1"/>
    <col min="12" max="12" width="14" bestFit="1" customWidth="1"/>
    <col min="14" max="14" width="13.88671875" bestFit="1" customWidth="1"/>
    <col min="17" max="17" width="13.88671875" bestFit="1" customWidth="1"/>
  </cols>
  <sheetData>
    <row r="1" spans="1:14" x14ac:dyDescent="0.3">
      <c r="B1" s="6"/>
      <c r="C1" s="7">
        <v>2014</v>
      </c>
      <c r="D1" s="7">
        <v>2015</v>
      </c>
      <c r="E1" s="7">
        <v>2016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10" t="s">
        <v>39</v>
      </c>
      <c r="N1" s="3" t="s">
        <v>37</v>
      </c>
    </row>
    <row r="2" spans="1:14" x14ac:dyDescent="0.3">
      <c r="B2" s="8" t="s">
        <v>24</v>
      </c>
      <c r="C2" s="6">
        <v>28906</v>
      </c>
      <c r="D2" s="6">
        <v>31250</v>
      </c>
      <c r="E2" s="6">
        <v>32031</v>
      </c>
      <c r="F2" s="6">
        <v>35156</v>
      </c>
      <c r="G2" s="6">
        <v>35156</v>
      </c>
      <c r="H2" s="6">
        <v>35156</v>
      </c>
      <c r="I2" s="6">
        <v>38281</v>
      </c>
      <c r="J2" s="6">
        <v>36563</v>
      </c>
      <c r="K2" s="6">
        <v>34125</v>
      </c>
      <c r="L2" s="9">
        <f t="shared" ref="L2:L14" si="0">$N$2*L17</f>
        <v>34069.333333333336</v>
      </c>
      <c r="N2">
        <f>AVERAGE(C2:K14)</f>
        <v>44743.179487179485</v>
      </c>
    </row>
    <row r="3" spans="1:14" x14ac:dyDescent="0.3">
      <c r="B3" s="8" t="s">
        <v>25</v>
      </c>
      <c r="C3" s="6">
        <v>35156</v>
      </c>
      <c r="D3" s="6">
        <v>35938</v>
      </c>
      <c r="E3" s="6">
        <v>38281</v>
      </c>
      <c r="F3" s="6">
        <v>39844</v>
      </c>
      <c r="G3" s="6">
        <v>39844</v>
      </c>
      <c r="H3" s="6">
        <v>39844</v>
      </c>
      <c r="I3" s="6">
        <v>42969</v>
      </c>
      <c r="J3" s="6">
        <v>40156</v>
      </c>
      <c r="K3" s="6">
        <v>39000</v>
      </c>
      <c r="L3" s="9">
        <f t="shared" si="0"/>
        <v>39003.555555555555</v>
      </c>
    </row>
    <row r="4" spans="1:14" x14ac:dyDescent="0.3">
      <c r="B4" s="8" t="s">
        <v>26</v>
      </c>
      <c r="C4" s="6">
        <v>36719</v>
      </c>
      <c r="D4" s="6">
        <v>36719</v>
      </c>
      <c r="E4" s="6">
        <v>39063</v>
      </c>
      <c r="F4" s="6">
        <v>40625</v>
      </c>
      <c r="G4" s="6">
        <v>41406</v>
      </c>
      <c r="H4" s="6">
        <v>40625</v>
      </c>
      <c r="I4" s="6">
        <v>43750</v>
      </c>
      <c r="J4" s="6">
        <v>39688</v>
      </c>
      <c r="K4" s="6">
        <v>39875</v>
      </c>
      <c r="L4" s="9">
        <f t="shared" si="0"/>
        <v>39830</v>
      </c>
    </row>
    <row r="5" spans="1:14" x14ac:dyDescent="0.3">
      <c r="B5" s="8" t="s">
        <v>27</v>
      </c>
      <c r="C5" s="6">
        <v>37500</v>
      </c>
      <c r="D5" s="6">
        <v>37500</v>
      </c>
      <c r="E5" s="6">
        <v>39844</v>
      </c>
      <c r="F5" s="6">
        <v>41406</v>
      </c>
      <c r="G5" s="6">
        <v>41406</v>
      </c>
      <c r="H5" s="6">
        <v>41406</v>
      </c>
      <c r="I5" s="6">
        <v>43750</v>
      </c>
      <c r="J5" s="6">
        <v>40625</v>
      </c>
      <c r="K5" s="6">
        <v>40438</v>
      </c>
      <c r="L5" s="9">
        <f t="shared" si="0"/>
        <v>40430.555555555555</v>
      </c>
    </row>
    <row r="6" spans="1:14" x14ac:dyDescent="0.3">
      <c r="B6" s="8" t="s">
        <v>28</v>
      </c>
      <c r="C6" s="6">
        <v>42969</v>
      </c>
      <c r="D6" s="6">
        <v>42969</v>
      </c>
      <c r="E6" s="6">
        <v>44531</v>
      </c>
      <c r="F6" s="6">
        <v>46875</v>
      </c>
      <c r="G6" s="6">
        <v>47656</v>
      </c>
      <c r="H6" s="6">
        <v>47656</v>
      </c>
      <c r="I6" s="6">
        <v>49219</v>
      </c>
      <c r="J6" s="6">
        <v>47500</v>
      </c>
      <c r="K6" s="6">
        <v>46188</v>
      </c>
      <c r="L6" s="9">
        <f t="shared" si="0"/>
        <v>46173.666666666672</v>
      </c>
    </row>
    <row r="7" spans="1:14" x14ac:dyDescent="0.3">
      <c r="B7" s="8" t="s">
        <v>29</v>
      </c>
      <c r="C7" s="6">
        <v>48438</v>
      </c>
      <c r="D7" s="6">
        <v>50000</v>
      </c>
      <c r="E7" s="6">
        <v>50781</v>
      </c>
      <c r="F7" s="6">
        <v>53906</v>
      </c>
      <c r="G7" s="6">
        <v>53906</v>
      </c>
      <c r="H7" s="6">
        <v>53125</v>
      </c>
      <c r="I7" s="6">
        <v>54688</v>
      </c>
      <c r="J7" s="6">
        <v>52969</v>
      </c>
      <c r="K7" s="6">
        <v>52656</v>
      </c>
      <c r="L7" s="9">
        <f t="shared" si="0"/>
        <v>52274.333333333336</v>
      </c>
    </row>
    <row r="8" spans="1:14" x14ac:dyDescent="0.3">
      <c r="A8" s="40" t="s">
        <v>46</v>
      </c>
      <c r="B8" s="8" t="s">
        <v>30</v>
      </c>
      <c r="C8" s="6">
        <v>56250</v>
      </c>
      <c r="D8" s="6">
        <v>57813</v>
      </c>
      <c r="E8" s="6">
        <v>60156</v>
      </c>
      <c r="F8" s="6">
        <v>60938</v>
      </c>
      <c r="G8" s="6">
        <v>60938</v>
      </c>
      <c r="H8" s="6">
        <v>60938</v>
      </c>
      <c r="I8" s="6">
        <v>63281</v>
      </c>
      <c r="J8" s="6">
        <v>59688</v>
      </c>
      <c r="K8" s="6">
        <v>59975</v>
      </c>
      <c r="L8" s="9">
        <f t="shared" si="0"/>
        <v>59997.444444444438</v>
      </c>
    </row>
    <row r="9" spans="1:14" x14ac:dyDescent="0.3">
      <c r="B9" s="8" t="s">
        <v>31</v>
      </c>
      <c r="C9" s="6">
        <v>58594</v>
      </c>
      <c r="D9" s="6">
        <v>59375</v>
      </c>
      <c r="E9" s="6">
        <v>60156</v>
      </c>
      <c r="F9" s="6">
        <v>62500</v>
      </c>
      <c r="G9" s="6">
        <v>62500</v>
      </c>
      <c r="H9" s="6">
        <v>63281</v>
      </c>
      <c r="I9" s="6">
        <v>66406</v>
      </c>
      <c r="J9" s="6">
        <v>62813</v>
      </c>
      <c r="K9" s="6">
        <v>61938</v>
      </c>
      <c r="L9" s="9">
        <f t="shared" si="0"/>
        <v>61951.444444444453</v>
      </c>
    </row>
    <row r="10" spans="1:14" x14ac:dyDescent="0.3">
      <c r="B10" s="8" t="s">
        <v>32</v>
      </c>
      <c r="C10" s="6">
        <v>47656</v>
      </c>
      <c r="D10" s="6">
        <v>46875</v>
      </c>
      <c r="E10" s="6">
        <v>50781</v>
      </c>
      <c r="F10" s="6">
        <v>51563</v>
      </c>
      <c r="G10" s="6">
        <v>51563</v>
      </c>
      <c r="H10" s="6">
        <v>52344</v>
      </c>
      <c r="I10" s="6">
        <v>55469</v>
      </c>
      <c r="J10" s="6">
        <v>53438</v>
      </c>
      <c r="K10" s="6">
        <v>51213</v>
      </c>
      <c r="L10" s="9">
        <f t="shared" si="0"/>
        <v>51211.333333333343</v>
      </c>
    </row>
    <row r="11" spans="1:14" x14ac:dyDescent="0.3">
      <c r="B11" s="8" t="s">
        <v>33</v>
      </c>
      <c r="C11" s="6">
        <v>46094</v>
      </c>
      <c r="D11" s="6">
        <v>45313</v>
      </c>
      <c r="E11" s="6">
        <v>47656</v>
      </c>
      <c r="F11" s="6">
        <v>50781</v>
      </c>
      <c r="G11" s="6">
        <v>50000</v>
      </c>
      <c r="H11" s="6">
        <v>50000</v>
      </c>
      <c r="I11" s="6">
        <v>53125</v>
      </c>
      <c r="J11" s="6">
        <v>49219</v>
      </c>
      <c r="K11" s="6">
        <v>49025</v>
      </c>
      <c r="L11" s="9">
        <f t="shared" si="0"/>
        <v>49023.666666666664</v>
      </c>
    </row>
    <row r="12" spans="1:14" x14ac:dyDescent="0.3">
      <c r="B12" s="8" t="s">
        <v>34</v>
      </c>
      <c r="C12" s="6">
        <v>41406</v>
      </c>
      <c r="D12" s="6">
        <v>40625</v>
      </c>
      <c r="E12" s="6">
        <v>44531</v>
      </c>
      <c r="F12" s="6">
        <v>46094</v>
      </c>
      <c r="G12" s="6">
        <v>46094</v>
      </c>
      <c r="H12" s="6">
        <v>45313</v>
      </c>
      <c r="I12" s="6">
        <v>46875</v>
      </c>
      <c r="J12" s="6">
        <v>46875</v>
      </c>
      <c r="K12" s="6">
        <v>44738</v>
      </c>
      <c r="L12" s="9">
        <f t="shared" si="0"/>
        <v>44727.888888888883</v>
      </c>
    </row>
    <row r="13" spans="1:14" x14ac:dyDescent="0.3">
      <c r="B13" s="8" t="s">
        <v>35</v>
      </c>
      <c r="C13" s="6">
        <v>28125</v>
      </c>
      <c r="D13" s="6">
        <v>28125</v>
      </c>
      <c r="E13" s="6">
        <v>32031</v>
      </c>
      <c r="F13" s="6">
        <v>33594</v>
      </c>
      <c r="G13" s="6">
        <v>32813</v>
      </c>
      <c r="H13" s="6">
        <v>33594</v>
      </c>
      <c r="I13" s="6">
        <v>35156</v>
      </c>
      <c r="J13" s="6">
        <v>33906</v>
      </c>
      <c r="K13" s="6">
        <v>32138</v>
      </c>
      <c r="L13" s="9">
        <f t="shared" si="0"/>
        <v>32164.666666666675</v>
      </c>
    </row>
    <row r="14" spans="1:14" x14ac:dyDescent="0.3">
      <c r="B14" s="8" t="s">
        <v>36</v>
      </c>
      <c r="C14" s="6">
        <v>27344</v>
      </c>
      <c r="D14" s="6">
        <v>27344</v>
      </c>
      <c r="E14" s="6">
        <v>28906</v>
      </c>
      <c r="F14" s="6">
        <v>31250</v>
      </c>
      <c r="G14" s="6">
        <v>32031</v>
      </c>
      <c r="H14" s="6">
        <v>32031</v>
      </c>
      <c r="I14" s="6">
        <v>34375</v>
      </c>
      <c r="J14" s="6">
        <v>33125</v>
      </c>
      <c r="K14" s="6">
        <v>30825</v>
      </c>
      <c r="L14" s="9">
        <f t="shared" si="0"/>
        <v>30803.444444444445</v>
      </c>
    </row>
    <row r="16" spans="1:14" x14ac:dyDescent="0.3">
      <c r="B16" s="6"/>
      <c r="C16" s="7">
        <v>2014</v>
      </c>
      <c r="D16" s="7">
        <v>2015</v>
      </c>
      <c r="E16" s="7">
        <v>2016</v>
      </c>
      <c r="F16" s="7">
        <v>2017</v>
      </c>
      <c r="G16" s="7">
        <v>2018</v>
      </c>
      <c r="H16" s="7">
        <v>2019</v>
      </c>
      <c r="I16" s="7">
        <v>2020</v>
      </c>
      <c r="J16" s="7">
        <v>2021</v>
      </c>
      <c r="K16" s="7">
        <v>2022</v>
      </c>
      <c r="L16" s="10" t="s">
        <v>38</v>
      </c>
    </row>
    <row r="17" spans="2:12" x14ac:dyDescent="0.3">
      <c r="B17" s="8" t="s">
        <v>24</v>
      </c>
      <c r="C17" s="11">
        <f t="shared" ref="C17:K17" si="1">C2/$N$2</f>
        <v>0.6460425998175342</v>
      </c>
      <c r="D17" s="11">
        <f t="shared" si="1"/>
        <v>0.69843047271493608</v>
      </c>
      <c r="E17" s="11">
        <f t="shared" si="1"/>
        <v>0.7158856470890278</v>
      </c>
      <c r="F17" s="11">
        <f t="shared" si="1"/>
        <v>0.7857286943605214</v>
      </c>
      <c r="G17" s="11">
        <f t="shared" si="1"/>
        <v>0.7857286943605214</v>
      </c>
      <c r="H17" s="11">
        <f t="shared" si="1"/>
        <v>0.7857286943605214</v>
      </c>
      <c r="I17" s="11">
        <f t="shared" si="1"/>
        <v>0.85557174163201499</v>
      </c>
      <c r="J17" s="11">
        <f t="shared" si="1"/>
        <v>0.81717482796403873</v>
      </c>
      <c r="K17" s="11">
        <f t="shared" si="1"/>
        <v>0.76268607620471018</v>
      </c>
      <c r="L17" s="12">
        <f>AVERAGE(C17:K17)</f>
        <v>0.76144193872264743</v>
      </c>
    </row>
    <row r="18" spans="2:12" x14ac:dyDescent="0.3">
      <c r="B18" s="8" t="s">
        <v>25</v>
      </c>
      <c r="C18" s="11">
        <f t="shared" ref="C18:K18" si="2">C3/$N$2</f>
        <v>0.7857286943605214</v>
      </c>
      <c r="D18" s="11">
        <f t="shared" si="2"/>
        <v>0.80320621850973994</v>
      </c>
      <c r="E18" s="11">
        <f t="shared" si="2"/>
        <v>0.85557174163201499</v>
      </c>
      <c r="F18" s="11">
        <f t="shared" si="2"/>
        <v>0.89050444015532526</v>
      </c>
      <c r="G18" s="11">
        <f t="shared" si="2"/>
        <v>0.89050444015532526</v>
      </c>
      <c r="H18" s="11">
        <f t="shared" si="2"/>
        <v>0.89050444015532526</v>
      </c>
      <c r="I18" s="11">
        <f t="shared" si="2"/>
        <v>0.96034748742681886</v>
      </c>
      <c r="J18" s="11">
        <f t="shared" si="2"/>
        <v>0.89747756999491113</v>
      </c>
      <c r="K18" s="11">
        <f t="shared" si="2"/>
        <v>0.87164122994824023</v>
      </c>
      <c r="L18" s="12">
        <f t="shared" ref="L18:L29" si="3">AVERAGE(C18:K18)</f>
        <v>0.87172069581535805</v>
      </c>
    </row>
    <row r="19" spans="2:12" x14ac:dyDescent="0.3">
      <c r="B19" s="8" t="s">
        <v>26</v>
      </c>
      <c r="C19" s="11">
        <f t="shared" ref="C19:K19" si="4">C4/$N$2</f>
        <v>0.82066139288383166</v>
      </c>
      <c r="D19" s="11">
        <f t="shared" si="4"/>
        <v>0.82066139288383166</v>
      </c>
      <c r="E19" s="11">
        <f t="shared" si="4"/>
        <v>0.87304926578123354</v>
      </c>
      <c r="F19" s="11">
        <f t="shared" si="4"/>
        <v>0.90795961452941698</v>
      </c>
      <c r="G19" s="11">
        <f t="shared" si="4"/>
        <v>0.92541478890350859</v>
      </c>
      <c r="H19" s="11">
        <f t="shared" si="4"/>
        <v>0.90795961452941698</v>
      </c>
      <c r="I19" s="11">
        <f t="shared" si="4"/>
        <v>0.97780266180091058</v>
      </c>
      <c r="J19" s="11">
        <f t="shared" si="4"/>
        <v>0.88701787523553233</v>
      </c>
      <c r="K19" s="11">
        <f t="shared" si="4"/>
        <v>0.8911972831842585</v>
      </c>
      <c r="L19" s="12">
        <f t="shared" si="3"/>
        <v>0.89019154330354899</v>
      </c>
    </row>
    <row r="20" spans="2:12" x14ac:dyDescent="0.3">
      <c r="B20" s="8" t="s">
        <v>27</v>
      </c>
      <c r="C20" s="11">
        <f t="shared" ref="C20:K20" si="5">C5/$N$2</f>
        <v>0.83811656725792338</v>
      </c>
      <c r="D20" s="11">
        <f t="shared" si="5"/>
        <v>0.83811656725792338</v>
      </c>
      <c r="E20" s="11">
        <f t="shared" si="5"/>
        <v>0.89050444015532526</v>
      </c>
      <c r="F20" s="11">
        <f t="shared" si="5"/>
        <v>0.92541478890350859</v>
      </c>
      <c r="G20" s="11">
        <f t="shared" si="5"/>
        <v>0.92541478890350859</v>
      </c>
      <c r="H20" s="11">
        <f t="shared" si="5"/>
        <v>0.92541478890350859</v>
      </c>
      <c r="I20" s="11">
        <f t="shared" si="5"/>
        <v>0.97780266180091058</v>
      </c>
      <c r="J20" s="11">
        <f t="shared" si="5"/>
        <v>0.90795961452941698</v>
      </c>
      <c r="K20" s="11">
        <f t="shared" si="5"/>
        <v>0.9037802065806908</v>
      </c>
      <c r="L20" s="12">
        <f t="shared" si="3"/>
        <v>0.90361382492141296</v>
      </c>
    </row>
    <row r="21" spans="2:12" x14ac:dyDescent="0.3">
      <c r="B21" s="8" t="s">
        <v>28</v>
      </c>
      <c r="C21" s="11">
        <f t="shared" ref="C21:K21" si="6">C6/$N$2</f>
        <v>0.96034748742681886</v>
      </c>
      <c r="D21" s="11">
        <f t="shared" si="6"/>
        <v>0.96034748742681886</v>
      </c>
      <c r="E21" s="11">
        <f t="shared" si="6"/>
        <v>0.99525783617500219</v>
      </c>
      <c r="F21" s="11">
        <f t="shared" si="6"/>
        <v>1.0476457090724041</v>
      </c>
      <c r="G21" s="11">
        <f t="shared" si="6"/>
        <v>1.0651008834464959</v>
      </c>
      <c r="H21" s="11">
        <f t="shared" si="6"/>
        <v>1.0651008834464959</v>
      </c>
      <c r="I21" s="11">
        <f t="shared" si="6"/>
        <v>1.1000335819698062</v>
      </c>
      <c r="J21" s="11">
        <f t="shared" si="6"/>
        <v>1.0616143185267028</v>
      </c>
      <c r="K21" s="11">
        <f t="shared" si="6"/>
        <v>1.032291413560239</v>
      </c>
      <c r="L21" s="12">
        <f t="shared" si="3"/>
        <v>1.0319710667834205</v>
      </c>
    </row>
    <row r="22" spans="2:12" x14ac:dyDescent="0.3">
      <c r="B22" s="8" t="s">
        <v>29</v>
      </c>
      <c r="C22" s="11">
        <f t="shared" ref="C22:K22" si="7">C7/$N$2</f>
        <v>1.0825784075957143</v>
      </c>
      <c r="D22" s="11">
        <f t="shared" si="7"/>
        <v>1.1174887563438978</v>
      </c>
      <c r="E22" s="11">
        <f t="shared" si="7"/>
        <v>1.1349439307179894</v>
      </c>
      <c r="F22" s="11">
        <f t="shared" si="7"/>
        <v>1.2047869779894831</v>
      </c>
      <c r="G22" s="11">
        <f t="shared" si="7"/>
        <v>1.2047869779894831</v>
      </c>
      <c r="H22" s="11">
        <f t="shared" si="7"/>
        <v>1.1873318036153915</v>
      </c>
      <c r="I22" s="11">
        <f t="shared" si="7"/>
        <v>1.2222645021387015</v>
      </c>
      <c r="J22" s="11">
        <f t="shared" si="7"/>
        <v>1.1838452386955984</v>
      </c>
      <c r="K22" s="11">
        <f t="shared" si="7"/>
        <v>1.1768497590808855</v>
      </c>
      <c r="L22" s="12">
        <f t="shared" si="3"/>
        <v>1.1683195949074605</v>
      </c>
    </row>
    <row r="23" spans="2:12" x14ac:dyDescent="0.3">
      <c r="B23" s="8" t="s">
        <v>30</v>
      </c>
      <c r="C23" s="11">
        <f t="shared" ref="C23:K23" si="8">C8/$N$2</f>
        <v>1.257174850886885</v>
      </c>
      <c r="D23" s="11">
        <f t="shared" si="8"/>
        <v>1.2921075494101952</v>
      </c>
      <c r="E23" s="11">
        <f t="shared" si="8"/>
        <v>1.3444730725324703</v>
      </c>
      <c r="F23" s="11">
        <f t="shared" si="8"/>
        <v>1.3619505966816889</v>
      </c>
      <c r="G23" s="11">
        <f t="shared" si="8"/>
        <v>1.3619505966816889</v>
      </c>
      <c r="H23" s="11">
        <f t="shared" si="8"/>
        <v>1.3619505966816889</v>
      </c>
      <c r="I23" s="11">
        <f t="shared" si="8"/>
        <v>1.414316119803964</v>
      </c>
      <c r="J23" s="11">
        <f t="shared" si="8"/>
        <v>1.3340133777730914</v>
      </c>
      <c r="K23" s="11">
        <f t="shared" si="8"/>
        <v>1.3404277632345054</v>
      </c>
      <c r="L23" s="12">
        <f t="shared" si="3"/>
        <v>1.3409293915206864</v>
      </c>
    </row>
    <row r="24" spans="2:12" x14ac:dyDescent="0.3">
      <c r="B24" s="8" t="s">
        <v>31</v>
      </c>
      <c r="C24" s="11">
        <f t="shared" ref="C24:K24" si="9">C9/$N$2</f>
        <v>1.3095627237842868</v>
      </c>
      <c r="D24" s="11">
        <f t="shared" si="9"/>
        <v>1.3270178981583787</v>
      </c>
      <c r="E24" s="11">
        <f t="shared" si="9"/>
        <v>1.3444730725324703</v>
      </c>
      <c r="F24" s="11">
        <f t="shared" si="9"/>
        <v>1.3968609454298722</v>
      </c>
      <c r="G24" s="11">
        <f t="shared" si="9"/>
        <v>1.3968609454298722</v>
      </c>
      <c r="H24" s="11">
        <f t="shared" si="9"/>
        <v>1.414316119803964</v>
      </c>
      <c r="I24" s="11">
        <f t="shared" si="9"/>
        <v>1.4841591670754575</v>
      </c>
      <c r="J24" s="11">
        <f t="shared" si="9"/>
        <v>1.4038564250445851</v>
      </c>
      <c r="K24" s="11">
        <f t="shared" si="9"/>
        <v>1.3843003718085669</v>
      </c>
      <c r="L24" s="12">
        <f t="shared" si="3"/>
        <v>1.3846008521186062</v>
      </c>
    </row>
    <row r="25" spans="2:12" x14ac:dyDescent="0.3">
      <c r="B25" s="8" t="s">
        <v>32</v>
      </c>
      <c r="C25" s="11">
        <f t="shared" ref="C25:K25" si="10">C10/$N$2</f>
        <v>1.0651008834464959</v>
      </c>
      <c r="D25" s="11">
        <f t="shared" si="10"/>
        <v>1.0476457090724041</v>
      </c>
      <c r="E25" s="11">
        <f t="shared" si="10"/>
        <v>1.1349439307179894</v>
      </c>
      <c r="F25" s="11">
        <f t="shared" si="10"/>
        <v>1.152421454867208</v>
      </c>
      <c r="G25" s="11">
        <f t="shared" si="10"/>
        <v>1.152421454867208</v>
      </c>
      <c r="H25" s="11">
        <f t="shared" si="10"/>
        <v>1.1698766292412996</v>
      </c>
      <c r="I25" s="11">
        <f t="shared" si="10"/>
        <v>1.2397196765127934</v>
      </c>
      <c r="J25" s="11">
        <f t="shared" si="10"/>
        <v>1.1943272832301042</v>
      </c>
      <c r="K25" s="11">
        <f t="shared" si="10"/>
        <v>1.1445990335728007</v>
      </c>
      <c r="L25" s="12">
        <f t="shared" si="3"/>
        <v>1.1445617839475895</v>
      </c>
    </row>
    <row r="26" spans="2:12" x14ac:dyDescent="0.3">
      <c r="B26" s="8" t="s">
        <v>33</v>
      </c>
      <c r="C26" s="11">
        <f t="shared" ref="C26:K26" si="11">C11/$N$2</f>
        <v>1.0301905346983125</v>
      </c>
      <c r="D26" s="11">
        <f t="shared" si="11"/>
        <v>1.0127353603242208</v>
      </c>
      <c r="E26" s="11">
        <f t="shared" si="11"/>
        <v>1.0651008834464959</v>
      </c>
      <c r="F26" s="11">
        <f t="shared" si="11"/>
        <v>1.1349439307179894</v>
      </c>
      <c r="G26" s="11">
        <f t="shared" si="11"/>
        <v>1.1174887563438978</v>
      </c>
      <c r="H26" s="11">
        <f t="shared" si="11"/>
        <v>1.1174887563438978</v>
      </c>
      <c r="I26" s="11">
        <f t="shared" si="11"/>
        <v>1.1873318036153915</v>
      </c>
      <c r="J26" s="11">
        <f t="shared" si="11"/>
        <v>1.1000335819698062</v>
      </c>
      <c r="K26" s="11">
        <f t="shared" si="11"/>
        <v>1.0956977255951919</v>
      </c>
      <c r="L26" s="12">
        <f t="shared" si="3"/>
        <v>1.0956679258950226</v>
      </c>
    </row>
    <row r="27" spans="2:12" x14ac:dyDescent="0.3">
      <c r="B27" s="8" t="s">
        <v>34</v>
      </c>
      <c r="C27" s="11">
        <f t="shared" ref="C27:K27" si="12">C12/$N$2</f>
        <v>0.92541478890350859</v>
      </c>
      <c r="D27" s="11">
        <f t="shared" si="12"/>
        <v>0.90795961452941698</v>
      </c>
      <c r="E27" s="11">
        <f t="shared" si="12"/>
        <v>0.99525783617500219</v>
      </c>
      <c r="F27" s="11">
        <f t="shared" si="12"/>
        <v>1.0301905346983125</v>
      </c>
      <c r="G27" s="11">
        <f t="shared" si="12"/>
        <v>1.0301905346983125</v>
      </c>
      <c r="H27" s="11">
        <f t="shared" si="12"/>
        <v>1.0127353603242208</v>
      </c>
      <c r="I27" s="11">
        <f t="shared" si="12"/>
        <v>1.0476457090724041</v>
      </c>
      <c r="J27" s="11">
        <f t="shared" si="12"/>
        <v>1.0476457090724041</v>
      </c>
      <c r="K27" s="11">
        <f t="shared" si="12"/>
        <v>0.99988423962626594</v>
      </c>
      <c r="L27" s="12">
        <f t="shared" si="3"/>
        <v>0.99965825856664958</v>
      </c>
    </row>
    <row r="28" spans="2:12" x14ac:dyDescent="0.3">
      <c r="B28" s="8" t="s">
        <v>35</v>
      </c>
      <c r="C28" s="11">
        <f t="shared" ref="C28:K28" si="13">C13/$N$2</f>
        <v>0.62858742544344248</v>
      </c>
      <c r="D28" s="11">
        <f t="shared" si="13"/>
        <v>0.62858742544344248</v>
      </c>
      <c r="E28" s="11">
        <f t="shared" si="13"/>
        <v>0.7158856470890278</v>
      </c>
      <c r="F28" s="11">
        <f t="shared" si="13"/>
        <v>0.75081834561233807</v>
      </c>
      <c r="G28" s="11">
        <f t="shared" si="13"/>
        <v>0.73336317123824635</v>
      </c>
      <c r="H28" s="11">
        <f t="shared" si="13"/>
        <v>0.75081834561233807</v>
      </c>
      <c r="I28" s="11">
        <f t="shared" si="13"/>
        <v>0.7857286943605214</v>
      </c>
      <c r="J28" s="11">
        <f t="shared" si="13"/>
        <v>0.75779147545192393</v>
      </c>
      <c r="K28" s="11">
        <f t="shared" si="13"/>
        <v>0.71827707302760369</v>
      </c>
      <c r="L28" s="12">
        <f t="shared" si="3"/>
        <v>0.7188730670309873</v>
      </c>
    </row>
    <row r="29" spans="2:12" x14ac:dyDescent="0.3">
      <c r="B29" s="8" t="s">
        <v>36</v>
      </c>
      <c r="C29" s="11">
        <f t="shared" ref="C29:K29" si="14">C14/$N$2</f>
        <v>0.61113225106935076</v>
      </c>
      <c r="D29" s="11">
        <f t="shared" si="14"/>
        <v>0.61113225106935076</v>
      </c>
      <c r="E29" s="11">
        <f t="shared" si="14"/>
        <v>0.6460425998175342</v>
      </c>
      <c r="F29" s="11">
        <f t="shared" si="14"/>
        <v>0.69843047271493608</v>
      </c>
      <c r="G29" s="11">
        <f t="shared" si="14"/>
        <v>0.7158856470890278</v>
      </c>
      <c r="H29" s="11">
        <f t="shared" si="14"/>
        <v>0.7158856470890278</v>
      </c>
      <c r="I29" s="11">
        <f t="shared" si="14"/>
        <v>0.76827351998642968</v>
      </c>
      <c r="J29" s="11">
        <f t="shared" si="14"/>
        <v>0.74033630107783233</v>
      </c>
      <c r="K29" s="11">
        <f t="shared" si="14"/>
        <v>0.68893181828601302</v>
      </c>
      <c r="L29" s="12">
        <f t="shared" si="3"/>
        <v>0.68845005646661139</v>
      </c>
    </row>
    <row r="35" spans="1:12" x14ac:dyDescent="0.3">
      <c r="B35" s="6"/>
      <c r="C35" s="7">
        <v>2014</v>
      </c>
      <c r="D35" s="7">
        <v>2015</v>
      </c>
      <c r="E35" s="7">
        <v>2016</v>
      </c>
      <c r="F35" s="7">
        <v>2017</v>
      </c>
      <c r="G35" s="7">
        <v>2018</v>
      </c>
      <c r="H35" s="7">
        <v>2019</v>
      </c>
      <c r="I35" s="7">
        <v>2020</v>
      </c>
      <c r="J35" s="7">
        <v>2021</v>
      </c>
      <c r="K35" s="7">
        <v>2022</v>
      </c>
      <c r="L35" s="10" t="s">
        <v>39</v>
      </c>
    </row>
    <row r="36" spans="1:12" x14ac:dyDescent="0.3">
      <c r="B36" s="13" t="s">
        <v>24</v>
      </c>
      <c r="C36" s="6">
        <v>58594</v>
      </c>
      <c r="D36" s="6">
        <v>58594</v>
      </c>
      <c r="E36" s="6">
        <v>60938</v>
      </c>
      <c r="F36" s="6">
        <v>63281</v>
      </c>
      <c r="G36" s="6">
        <v>63281</v>
      </c>
      <c r="H36" s="6">
        <v>62500</v>
      </c>
      <c r="I36" s="6">
        <v>66406</v>
      </c>
      <c r="J36" s="6">
        <v>64063</v>
      </c>
      <c r="K36" s="6">
        <v>62350</v>
      </c>
      <c r="L36" s="9">
        <f t="shared" ref="L36:L48" si="15">L51*$N$51</f>
        <v>62223</v>
      </c>
    </row>
    <row r="37" spans="1:12" x14ac:dyDescent="0.3">
      <c r="B37" s="13" t="s">
        <v>25</v>
      </c>
      <c r="C37" s="6">
        <v>60156</v>
      </c>
      <c r="D37" s="6">
        <v>60938</v>
      </c>
      <c r="E37" s="6">
        <v>63281</v>
      </c>
      <c r="F37" s="6">
        <v>66406</v>
      </c>
      <c r="G37" s="6">
        <v>65625</v>
      </c>
      <c r="H37" s="6">
        <v>66406</v>
      </c>
      <c r="I37" s="6">
        <v>67188</v>
      </c>
      <c r="J37" s="6">
        <v>65469</v>
      </c>
      <c r="K37" s="6">
        <v>62688</v>
      </c>
      <c r="L37" s="9">
        <f t="shared" si="15"/>
        <v>64239.666666666664</v>
      </c>
    </row>
    <row r="38" spans="1:12" x14ac:dyDescent="0.3">
      <c r="B38" s="13" t="s">
        <v>26</v>
      </c>
      <c r="C38" s="6">
        <v>64844</v>
      </c>
      <c r="D38" s="6">
        <v>65625</v>
      </c>
      <c r="E38" s="6">
        <v>67188</v>
      </c>
      <c r="F38" s="6">
        <v>68750</v>
      </c>
      <c r="G38" s="6">
        <v>69531</v>
      </c>
      <c r="H38" s="6">
        <v>68750</v>
      </c>
      <c r="I38" s="6">
        <v>71094</v>
      </c>
      <c r="J38" s="6">
        <v>69219</v>
      </c>
      <c r="K38" s="6">
        <v>70000</v>
      </c>
      <c r="L38" s="9">
        <f t="shared" si="15"/>
        <v>68333.444444444453</v>
      </c>
    </row>
    <row r="39" spans="1:12" x14ac:dyDescent="0.3">
      <c r="B39" s="13" t="s">
        <v>27</v>
      </c>
      <c r="C39" s="6">
        <v>68750</v>
      </c>
      <c r="D39" s="6">
        <v>70313</v>
      </c>
      <c r="E39" s="6">
        <v>71875</v>
      </c>
      <c r="F39" s="6">
        <v>74219</v>
      </c>
      <c r="G39" s="6">
        <v>74219</v>
      </c>
      <c r="H39" s="6">
        <v>73438</v>
      </c>
      <c r="I39" s="6">
        <v>75000</v>
      </c>
      <c r="J39" s="6">
        <v>72813</v>
      </c>
      <c r="K39" s="6">
        <v>73650</v>
      </c>
      <c r="L39" s="9">
        <f t="shared" si="15"/>
        <v>72697.444444444438</v>
      </c>
    </row>
    <row r="40" spans="1:12" x14ac:dyDescent="0.3">
      <c r="B40" s="13" t="s">
        <v>28</v>
      </c>
      <c r="C40" s="6">
        <v>76563</v>
      </c>
      <c r="D40" s="6">
        <v>76563</v>
      </c>
      <c r="E40" s="6">
        <v>80469</v>
      </c>
      <c r="F40" s="6">
        <v>81250</v>
      </c>
      <c r="G40" s="6">
        <v>81250</v>
      </c>
      <c r="H40" s="6">
        <v>81250</v>
      </c>
      <c r="I40" s="6">
        <v>85156</v>
      </c>
      <c r="J40" s="6">
        <v>82188</v>
      </c>
      <c r="K40" s="6">
        <v>79188</v>
      </c>
      <c r="L40" s="9">
        <f t="shared" si="15"/>
        <v>80430.777777777781</v>
      </c>
    </row>
    <row r="41" spans="1:12" x14ac:dyDescent="0.3">
      <c r="B41" s="13" t="s">
        <v>29</v>
      </c>
      <c r="C41" s="6">
        <v>85156</v>
      </c>
      <c r="D41" s="6">
        <v>87500</v>
      </c>
      <c r="E41" s="6">
        <v>89844</v>
      </c>
      <c r="F41" s="6">
        <v>90625</v>
      </c>
      <c r="G41" s="6">
        <v>91406</v>
      </c>
      <c r="H41" s="6">
        <v>91406</v>
      </c>
      <c r="I41" s="6">
        <v>93750</v>
      </c>
      <c r="J41" s="6">
        <v>92188</v>
      </c>
      <c r="K41" s="6">
        <v>93381</v>
      </c>
      <c r="L41" s="9">
        <f t="shared" si="15"/>
        <v>90584</v>
      </c>
    </row>
    <row r="42" spans="1:12" x14ac:dyDescent="0.3">
      <c r="A42" s="41" t="s">
        <v>47</v>
      </c>
      <c r="B42" s="13" t="s">
        <v>30</v>
      </c>
      <c r="C42" s="6">
        <v>98438</v>
      </c>
      <c r="D42" s="6">
        <v>98438</v>
      </c>
      <c r="E42" s="6">
        <v>101563</v>
      </c>
      <c r="F42" s="6">
        <v>103125</v>
      </c>
      <c r="G42" s="6">
        <v>103125</v>
      </c>
      <c r="H42" s="6">
        <v>103906</v>
      </c>
      <c r="I42" s="6">
        <v>107031</v>
      </c>
      <c r="J42" s="6">
        <v>105469</v>
      </c>
      <c r="K42" s="6">
        <v>104063</v>
      </c>
      <c r="L42" s="9">
        <f t="shared" si="15"/>
        <v>102795.33333333333</v>
      </c>
    </row>
    <row r="43" spans="1:12" x14ac:dyDescent="0.3">
      <c r="B43" s="13" t="s">
        <v>31</v>
      </c>
      <c r="C43" s="6">
        <v>103906</v>
      </c>
      <c r="D43" s="6">
        <v>104688</v>
      </c>
      <c r="E43" s="6">
        <v>107031</v>
      </c>
      <c r="F43" s="6">
        <v>107813</v>
      </c>
      <c r="G43" s="6">
        <v>108594</v>
      </c>
      <c r="H43" s="6">
        <v>107813</v>
      </c>
      <c r="I43" s="6">
        <v>109375</v>
      </c>
      <c r="J43" s="6">
        <v>106406</v>
      </c>
      <c r="K43" s="6">
        <v>104375</v>
      </c>
      <c r="L43" s="9">
        <f t="shared" si="15"/>
        <v>106666.77777777775</v>
      </c>
    </row>
    <row r="44" spans="1:12" x14ac:dyDescent="0.3">
      <c r="B44" s="13" t="s">
        <v>32</v>
      </c>
      <c r="C44" s="6">
        <v>89844</v>
      </c>
      <c r="D44" s="6">
        <v>89844</v>
      </c>
      <c r="E44" s="6">
        <v>92188</v>
      </c>
      <c r="F44" s="6">
        <v>93750</v>
      </c>
      <c r="G44" s="6">
        <v>93750</v>
      </c>
      <c r="H44" s="6">
        <v>93750</v>
      </c>
      <c r="I44" s="6">
        <v>95313</v>
      </c>
      <c r="J44" s="6">
        <v>92188</v>
      </c>
      <c r="K44" s="6">
        <v>94375</v>
      </c>
      <c r="L44" s="9">
        <f t="shared" si="15"/>
        <v>92777.999999999985</v>
      </c>
    </row>
    <row r="45" spans="1:12" x14ac:dyDescent="0.3">
      <c r="B45" s="13" t="s">
        <v>33</v>
      </c>
      <c r="C45" s="6">
        <v>88281</v>
      </c>
      <c r="D45" s="6">
        <v>89063</v>
      </c>
      <c r="E45" s="6">
        <v>91406</v>
      </c>
      <c r="F45" s="6">
        <v>92969</v>
      </c>
      <c r="G45" s="6">
        <v>92969</v>
      </c>
      <c r="H45" s="6">
        <v>92969</v>
      </c>
      <c r="I45" s="6">
        <v>93750</v>
      </c>
      <c r="J45" s="6">
        <v>92031</v>
      </c>
      <c r="K45" s="6">
        <v>89063</v>
      </c>
      <c r="L45" s="9">
        <f t="shared" si="15"/>
        <v>91388.999999999985</v>
      </c>
    </row>
    <row r="46" spans="1:12" x14ac:dyDescent="0.3">
      <c r="B46" s="13" t="s">
        <v>34</v>
      </c>
      <c r="C46" s="6">
        <v>77344</v>
      </c>
      <c r="D46" s="6">
        <v>79688</v>
      </c>
      <c r="E46" s="6">
        <v>80469</v>
      </c>
      <c r="F46" s="6">
        <v>83594</v>
      </c>
      <c r="G46" s="6">
        <v>83594</v>
      </c>
      <c r="H46" s="6">
        <v>82813</v>
      </c>
      <c r="I46" s="6">
        <v>85938</v>
      </c>
      <c r="J46" s="6">
        <v>81563</v>
      </c>
      <c r="K46" s="6">
        <v>81125</v>
      </c>
      <c r="L46" s="9">
        <f t="shared" si="15"/>
        <v>81792.000000000015</v>
      </c>
    </row>
    <row r="47" spans="1:12" x14ac:dyDescent="0.3">
      <c r="B47" s="13" t="s">
        <v>35</v>
      </c>
      <c r="C47" s="6">
        <v>70313</v>
      </c>
      <c r="D47" s="6">
        <v>71094</v>
      </c>
      <c r="E47" s="6">
        <v>72656</v>
      </c>
      <c r="F47" s="6">
        <v>75000</v>
      </c>
      <c r="G47" s="6">
        <v>75000</v>
      </c>
      <c r="H47" s="6">
        <v>75000</v>
      </c>
      <c r="I47" s="6">
        <v>76563</v>
      </c>
      <c r="J47" s="6">
        <v>74531</v>
      </c>
      <c r="K47" s="6">
        <v>75375</v>
      </c>
      <c r="L47" s="9">
        <f t="shared" si="15"/>
        <v>73948</v>
      </c>
    </row>
    <row r="48" spans="1:12" x14ac:dyDescent="0.3">
      <c r="B48" s="13" t="s">
        <v>36</v>
      </c>
      <c r="C48" s="6">
        <v>67969</v>
      </c>
      <c r="D48" s="6">
        <v>68750</v>
      </c>
      <c r="E48" s="6">
        <v>70313</v>
      </c>
      <c r="F48" s="6">
        <v>71875</v>
      </c>
      <c r="G48" s="6">
        <v>71875</v>
      </c>
      <c r="H48" s="6">
        <v>71875</v>
      </c>
      <c r="I48" s="6">
        <v>75000</v>
      </c>
      <c r="J48" s="6">
        <v>71406</v>
      </c>
      <c r="K48" s="6">
        <v>71406</v>
      </c>
      <c r="L48" s="9">
        <f t="shared" si="15"/>
        <v>71163.222222222234</v>
      </c>
    </row>
    <row r="49" spans="2:14" x14ac:dyDescent="0.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2:14" x14ac:dyDescent="0.3">
      <c r="B50" s="6"/>
      <c r="C50" s="7">
        <v>2014</v>
      </c>
      <c r="D50" s="7">
        <v>2015</v>
      </c>
      <c r="E50" s="7">
        <v>2016</v>
      </c>
      <c r="F50" s="7">
        <v>2017</v>
      </c>
      <c r="G50" s="7">
        <v>2018</v>
      </c>
      <c r="H50" s="7">
        <v>2019</v>
      </c>
      <c r="I50" s="7">
        <v>2020</v>
      </c>
      <c r="J50" s="7">
        <v>2021</v>
      </c>
      <c r="K50" s="7">
        <v>2022</v>
      </c>
      <c r="L50" s="10" t="s">
        <v>38</v>
      </c>
      <c r="N50" s="3" t="s">
        <v>37</v>
      </c>
    </row>
    <row r="51" spans="2:14" x14ac:dyDescent="0.3">
      <c r="B51" s="13" t="s">
        <v>24</v>
      </c>
      <c r="C51" s="11">
        <f t="shared" ref="C51:K51" si="16">C36/$N$51</f>
        <v>0.71925661022774701</v>
      </c>
      <c r="D51" s="11">
        <f t="shared" si="16"/>
        <v>0.71925661022774701</v>
      </c>
      <c r="E51" s="11">
        <f t="shared" si="16"/>
        <v>0.74802982069936241</v>
      </c>
      <c r="F51" s="11">
        <f t="shared" si="16"/>
        <v>0.77679075591053781</v>
      </c>
      <c r="G51" s="11">
        <f t="shared" si="16"/>
        <v>0.77679075591053781</v>
      </c>
      <c r="H51" s="11">
        <f t="shared" si="16"/>
        <v>0.76720377750681268</v>
      </c>
      <c r="I51" s="11">
        <f t="shared" si="16"/>
        <v>0.81515094478587846</v>
      </c>
      <c r="J51" s="11">
        <f t="shared" si="16"/>
        <v>0.78639000957470306</v>
      </c>
      <c r="K51" s="11">
        <f t="shared" si="16"/>
        <v>0.76536248844079635</v>
      </c>
      <c r="L51" s="12">
        <f>AVERAGE(C51:K51)</f>
        <v>0.76380353036490256</v>
      </c>
      <c r="N51">
        <f>AVERAGE(C36:K48)</f>
        <v>81464.666666666672</v>
      </c>
    </row>
    <row r="52" spans="2:14" x14ac:dyDescent="0.3">
      <c r="B52" s="13" t="s">
        <v>25</v>
      </c>
      <c r="C52" s="11">
        <f t="shared" ref="C52:K52" si="17">C37/$N$51</f>
        <v>0.73843056703519727</v>
      </c>
      <c r="D52" s="11">
        <f t="shared" si="17"/>
        <v>0.74802982069936241</v>
      </c>
      <c r="E52" s="11">
        <f t="shared" si="17"/>
        <v>0.77679075591053781</v>
      </c>
      <c r="F52" s="11">
        <f t="shared" si="17"/>
        <v>0.81515094478587846</v>
      </c>
      <c r="G52" s="11">
        <f t="shared" si="17"/>
        <v>0.80556396638215333</v>
      </c>
      <c r="H52" s="11">
        <f t="shared" si="17"/>
        <v>0.81515094478587846</v>
      </c>
      <c r="I52" s="11">
        <f t="shared" si="17"/>
        <v>0.82475019845004371</v>
      </c>
      <c r="J52" s="11">
        <f t="shared" si="17"/>
        <v>0.80364902575349639</v>
      </c>
      <c r="K52" s="11">
        <f t="shared" si="17"/>
        <v>0.76951152646955323</v>
      </c>
      <c r="L52" s="12">
        <f t="shared" ref="L52:L63" si="18">AVERAGE(C52:K52)</f>
        <v>0.78855863891912237</v>
      </c>
    </row>
    <row r="53" spans="2:14" x14ac:dyDescent="0.3">
      <c r="B53" s="13" t="s">
        <v>26</v>
      </c>
      <c r="C53" s="11">
        <f t="shared" ref="C53:K53" si="19">C38/$N$51</f>
        <v>0.7959769879784282</v>
      </c>
      <c r="D53" s="11">
        <f t="shared" si="19"/>
        <v>0.80556396638215333</v>
      </c>
      <c r="E53" s="11">
        <f t="shared" si="19"/>
        <v>0.82475019845004371</v>
      </c>
      <c r="F53" s="11">
        <f t="shared" si="19"/>
        <v>0.84392415525749398</v>
      </c>
      <c r="G53" s="11">
        <f t="shared" si="19"/>
        <v>0.85351113366121911</v>
      </c>
      <c r="H53" s="11">
        <f t="shared" si="19"/>
        <v>0.84392415525749398</v>
      </c>
      <c r="I53" s="11">
        <f t="shared" si="19"/>
        <v>0.8726973657291095</v>
      </c>
      <c r="J53" s="11">
        <f t="shared" si="19"/>
        <v>0.84968125240390513</v>
      </c>
      <c r="K53" s="11">
        <f t="shared" si="19"/>
        <v>0.85926823080763026</v>
      </c>
      <c r="L53" s="12">
        <f t="shared" si="18"/>
        <v>0.83881082732527534</v>
      </c>
    </row>
    <row r="54" spans="2:14" x14ac:dyDescent="0.3">
      <c r="B54" s="13" t="s">
        <v>27</v>
      </c>
      <c r="C54" s="11">
        <f t="shared" ref="C54:K54" si="20">C39/$N$51</f>
        <v>0.84392415525749398</v>
      </c>
      <c r="D54" s="11">
        <f t="shared" si="20"/>
        <v>0.86311038732538437</v>
      </c>
      <c r="E54" s="11">
        <f t="shared" si="20"/>
        <v>0.88228434413283463</v>
      </c>
      <c r="F54" s="11">
        <f t="shared" si="20"/>
        <v>0.91105755460445015</v>
      </c>
      <c r="G54" s="11">
        <f t="shared" si="20"/>
        <v>0.91105755460445015</v>
      </c>
      <c r="H54" s="11">
        <f t="shared" si="20"/>
        <v>0.90147057620072502</v>
      </c>
      <c r="I54" s="11">
        <f t="shared" si="20"/>
        <v>0.92064453300817528</v>
      </c>
      <c r="J54" s="11">
        <f t="shared" si="20"/>
        <v>0.89379853842565693</v>
      </c>
      <c r="K54" s="11">
        <f t="shared" si="20"/>
        <v>0.90407293141402811</v>
      </c>
      <c r="L54" s="12">
        <f t="shared" si="18"/>
        <v>0.89238006388591096</v>
      </c>
    </row>
    <row r="55" spans="2:14" x14ac:dyDescent="0.3">
      <c r="B55" s="13" t="s">
        <v>28</v>
      </c>
      <c r="C55" s="11">
        <f t="shared" ref="C55:K55" si="21">C40/$N$51</f>
        <v>0.93983076507606567</v>
      </c>
      <c r="D55" s="11">
        <f t="shared" si="21"/>
        <v>0.93983076507606567</v>
      </c>
      <c r="E55" s="11">
        <f t="shared" si="21"/>
        <v>0.98777793235513145</v>
      </c>
      <c r="F55" s="11">
        <f t="shared" si="21"/>
        <v>0.99736491075885658</v>
      </c>
      <c r="G55" s="11">
        <f t="shared" si="21"/>
        <v>0.99736491075885658</v>
      </c>
      <c r="H55" s="11">
        <f t="shared" si="21"/>
        <v>0.99736491075885658</v>
      </c>
      <c r="I55" s="11">
        <f t="shared" si="21"/>
        <v>1.0453120780379224</v>
      </c>
      <c r="J55" s="11">
        <f t="shared" si="21"/>
        <v>1.0088791050516788</v>
      </c>
      <c r="K55" s="11">
        <f t="shared" si="21"/>
        <v>0.97205332373135178</v>
      </c>
      <c r="L55" s="12">
        <f t="shared" si="18"/>
        <v>0.98730874462275386</v>
      </c>
    </row>
    <row r="56" spans="2:14" x14ac:dyDescent="0.3">
      <c r="B56" s="13" t="s">
        <v>29</v>
      </c>
      <c r="C56" s="11">
        <f t="shared" ref="C56:K56" si="22">C41/$N$51</f>
        <v>1.0453120780379224</v>
      </c>
      <c r="D56" s="11">
        <f t="shared" si="22"/>
        <v>1.0740852885095378</v>
      </c>
      <c r="E56" s="11">
        <f t="shared" si="22"/>
        <v>1.1028584989811534</v>
      </c>
      <c r="F56" s="11">
        <f t="shared" si="22"/>
        <v>1.1124454773848784</v>
      </c>
      <c r="G56" s="11">
        <f t="shared" si="22"/>
        <v>1.1220324557886037</v>
      </c>
      <c r="H56" s="11">
        <f t="shared" si="22"/>
        <v>1.1220324557886037</v>
      </c>
      <c r="I56" s="11">
        <f t="shared" si="22"/>
        <v>1.1508056662602191</v>
      </c>
      <c r="J56" s="11">
        <f t="shared" si="22"/>
        <v>1.1316317094527688</v>
      </c>
      <c r="K56" s="11">
        <f t="shared" si="22"/>
        <v>1.1462760951578188</v>
      </c>
      <c r="L56" s="12">
        <f t="shared" si="18"/>
        <v>1.1119421917068339</v>
      </c>
    </row>
    <row r="57" spans="2:14" x14ac:dyDescent="0.3">
      <c r="B57" s="13" t="s">
        <v>30</v>
      </c>
      <c r="C57" s="11">
        <f t="shared" ref="C57:K57" si="23">C42/$N$51</f>
        <v>1.2083520872034501</v>
      </c>
      <c r="D57" s="11">
        <f t="shared" si="23"/>
        <v>1.2083520872034501</v>
      </c>
      <c r="E57" s="11">
        <f t="shared" si="23"/>
        <v>1.2467122760787908</v>
      </c>
      <c r="F57" s="11">
        <f t="shared" si="23"/>
        <v>1.265886232886241</v>
      </c>
      <c r="G57" s="11">
        <f t="shared" si="23"/>
        <v>1.265886232886241</v>
      </c>
      <c r="H57" s="11">
        <f t="shared" si="23"/>
        <v>1.275473211289966</v>
      </c>
      <c r="I57" s="11">
        <f t="shared" si="23"/>
        <v>1.3138334001653067</v>
      </c>
      <c r="J57" s="11">
        <f t="shared" si="23"/>
        <v>1.2946594433578564</v>
      </c>
      <c r="K57" s="11">
        <f t="shared" si="23"/>
        <v>1.2774004271790633</v>
      </c>
      <c r="L57" s="12">
        <f t="shared" si="18"/>
        <v>1.261839488694485</v>
      </c>
    </row>
    <row r="58" spans="2:14" x14ac:dyDescent="0.3">
      <c r="B58" s="13" t="s">
        <v>31</v>
      </c>
      <c r="C58" s="11">
        <f t="shared" ref="C58:K58" si="24">C43/$N$51</f>
        <v>1.275473211289966</v>
      </c>
      <c r="D58" s="11">
        <f t="shared" si="24"/>
        <v>1.2850724649541314</v>
      </c>
      <c r="E58" s="11">
        <f t="shared" si="24"/>
        <v>1.3138334001653067</v>
      </c>
      <c r="F58" s="11">
        <f t="shared" si="24"/>
        <v>1.3234326538294721</v>
      </c>
      <c r="G58" s="11">
        <f t="shared" si="24"/>
        <v>1.3330196322331971</v>
      </c>
      <c r="H58" s="11">
        <f t="shared" si="24"/>
        <v>1.3234326538294721</v>
      </c>
      <c r="I58" s="11">
        <f t="shared" si="24"/>
        <v>1.3426066106369223</v>
      </c>
      <c r="J58" s="11">
        <f t="shared" si="24"/>
        <v>1.3061613623902386</v>
      </c>
      <c r="K58" s="11">
        <f t="shared" si="24"/>
        <v>1.2812303084363772</v>
      </c>
      <c r="L58" s="12">
        <f t="shared" si="18"/>
        <v>1.3093624775294535</v>
      </c>
    </row>
    <row r="59" spans="2:14" x14ac:dyDescent="0.3">
      <c r="B59" s="13" t="s">
        <v>32</v>
      </c>
      <c r="C59" s="11">
        <f t="shared" ref="C59:K59" si="25">C44/$N$51</f>
        <v>1.1028584989811534</v>
      </c>
      <c r="D59" s="11">
        <f t="shared" si="25"/>
        <v>1.1028584989811534</v>
      </c>
      <c r="E59" s="11">
        <f t="shared" si="25"/>
        <v>1.1316317094527688</v>
      </c>
      <c r="F59" s="11">
        <f t="shared" si="25"/>
        <v>1.1508056662602191</v>
      </c>
      <c r="G59" s="11">
        <f t="shared" si="25"/>
        <v>1.1508056662602191</v>
      </c>
      <c r="H59" s="11">
        <f t="shared" si="25"/>
        <v>1.1508056662602191</v>
      </c>
      <c r="I59" s="11">
        <f t="shared" si="25"/>
        <v>1.1699918983281095</v>
      </c>
      <c r="J59" s="11">
        <f t="shared" si="25"/>
        <v>1.1316317094527688</v>
      </c>
      <c r="K59" s="11">
        <f t="shared" si="25"/>
        <v>1.1584777040352872</v>
      </c>
      <c r="L59" s="12">
        <f t="shared" si="18"/>
        <v>1.1388741131124329</v>
      </c>
    </row>
    <row r="60" spans="2:14" x14ac:dyDescent="0.3">
      <c r="B60" s="13" t="s">
        <v>33</v>
      </c>
      <c r="C60" s="11">
        <f t="shared" ref="C60:K60" si="26">C45/$N$51</f>
        <v>1.083672266913263</v>
      </c>
      <c r="D60" s="11">
        <f t="shared" si="26"/>
        <v>1.0932715205774282</v>
      </c>
      <c r="E60" s="11">
        <f t="shared" si="26"/>
        <v>1.1220324557886037</v>
      </c>
      <c r="F60" s="11">
        <f t="shared" si="26"/>
        <v>1.1412186878564941</v>
      </c>
      <c r="G60" s="11">
        <f t="shared" si="26"/>
        <v>1.1412186878564941</v>
      </c>
      <c r="H60" s="11">
        <f t="shared" si="26"/>
        <v>1.1412186878564941</v>
      </c>
      <c r="I60" s="11">
        <f t="shared" si="26"/>
        <v>1.1508056662602191</v>
      </c>
      <c r="J60" s="11">
        <f t="shared" si="26"/>
        <v>1.1297044935636718</v>
      </c>
      <c r="K60" s="11">
        <f t="shared" si="26"/>
        <v>1.0932715205774282</v>
      </c>
      <c r="L60" s="12">
        <f t="shared" si="18"/>
        <v>1.1218237763611216</v>
      </c>
    </row>
    <row r="61" spans="2:14" x14ac:dyDescent="0.3">
      <c r="B61" s="13" t="s">
        <v>34</v>
      </c>
      <c r="C61" s="11">
        <f t="shared" ref="C61:K61" si="27">C46/$N$51</f>
        <v>0.9494177434797908</v>
      </c>
      <c r="D61" s="11">
        <f t="shared" si="27"/>
        <v>0.97819095395140632</v>
      </c>
      <c r="E61" s="11">
        <f t="shared" si="27"/>
        <v>0.98777793235513145</v>
      </c>
      <c r="F61" s="11">
        <f t="shared" si="27"/>
        <v>1.0261381212304721</v>
      </c>
      <c r="G61" s="11">
        <f t="shared" si="27"/>
        <v>1.0261381212304721</v>
      </c>
      <c r="H61" s="11">
        <f t="shared" si="27"/>
        <v>1.0165511428267469</v>
      </c>
      <c r="I61" s="11">
        <f t="shared" si="27"/>
        <v>1.0549113317020875</v>
      </c>
      <c r="J61" s="11">
        <f t="shared" si="27"/>
        <v>1.0012070672766107</v>
      </c>
      <c r="K61" s="11">
        <f t="shared" si="27"/>
        <v>0.99583050320384292</v>
      </c>
      <c r="L61" s="12">
        <f t="shared" si="18"/>
        <v>1.0040181019173957</v>
      </c>
    </row>
    <row r="62" spans="2:14" x14ac:dyDescent="0.3">
      <c r="B62" s="13" t="s">
        <v>35</v>
      </c>
      <c r="C62" s="11">
        <f t="shared" ref="C62:K62" si="28">C47/$N$51</f>
        <v>0.86311038732538437</v>
      </c>
      <c r="D62" s="11">
        <f t="shared" si="28"/>
        <v>0.8726973657291095</v>
      </c>
      <c r="E62" s="11">
        <f t="shared" si="28"/>
        <v>0.89187132253655976</v>
      </c>
      <c r="F62" s="11">
        <f t="shared" si="28"/>
        <v>0.92064453300817528</v>
      </c>
      <c r="G62" s="11">
        <f t="shared" si="28"/>
        <v>0.92064453300817528</v>
      </c>
      <c r="H62" s="11">
        <f t="shared" si="28"/>
        <v>0.92064453300817528</v>
      </c>
      <c r="I62" s="11">
        <f t="shared" si="28"/>
        <v>0.93983076507606567</v>
      </c>
      <c r="J62" s="11">
        <f t="shared" si="28"/>
        <v>0.91488743586176413</v>
      </c>
      <c r="K62" s="11">
        <f t="shared" si="28"/>
        <v>0.92524775567321615</v>
      </c>
      <c r="L62" s="12">
        <f t="shared" si="18"/>
        <v>0.90773095902518053</v>
      </c>
    </row>
    <row r="63" spans="2:14" x14ac:dyDescent="0.3">
      <c r="B63" s="13" t="s">
        <v>36</v>
      </c>
      <c r="C63" s="11">
        <f t="shared" ref="C63:K63" si="29">C48/$N$51</f>
        <v>0.83433717685376885</v>
      </c>
      <c r="D63" s="11">
        <f t="shared" si="29"/>
        <v>0.84392415525749398</v>
      </c>
      <c r="E63" s="11">
        <f t="shared" si="29"/>
        <v>0.86311038732538437</v>
      </c>
      <c r="F63" s="11">
        <f t="shared" si="29"/>
        <v>0.88228434413283463</v>
      </c>
      <c r="G63" s="11">
        <f t="shared" si="29"/>
        <v>0.88228434413283463</v>
      </c>
      <c r="H63" s="11">
        <f t="shared" si="29"/>
        <v>0.88228434413283463</v>
      </c>
      <c r="I63" s="11">
        <f t="shared" si="29"/>
        <v>0.92064453300817528</v>
      </c>
      <c r="J63" s="11">
        <f t="shared" si="29"/>
        <v>0.87652724698642348</v>
      </c>
      <c r="K63" s="11">
        <f t="shared" si="29"/>
        <v>0.87652724698642348</v>
      </c>
      <c r="L63" s="12">
        <f t="shared" si="18"/>
        <v>0.87354708653513047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SolutionSheet</vt:lpstr>
      <vt:lpstr>HistoricalDemand</vt:lpstr>
      <vt:lpstr>SolutionSheet!solver_opt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Yigit Karadogan</cp:lastModifiedBy>
  <cp:revision>9</cp:revision>
  <dcterms:created xsi:type="dcterms:W3CDTF">2020-11-21T12:16:10Z</dcterms:created>
  <dcterms:modified xsi:type="dcterms:W3CDTF">2023-04-06T06:53:03Z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