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_Excel\ch7\"/>
    </mc:Choice>
  </mc:AlternateContent>
  <xr:revisionPtr revIDLastSave="0" documentId="13_ncr:1_{D1D8FEEE-F2F4-45D2-8141-5CB7D0FAE88F}" xr6:coauthVersionLast="47" xr6:coauthVersionMax="47" xr10:uidLastSave="{00000000-0000-0000-0000-000000000000}"/>
  <bookViews>
    <workbookView xWindow="1340" yWindow="770" windowWidth="14080" windowHeight="8360" xr2:uid="{00000000-000D-0000-FFFF-FFFF00000000}"/>
  </bookViews>
  <sheets>
    <sheet name="2025業績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N4" i="4"/>
  <c r="N3" i="4" s="1"/>
  <c r="O4" i="4"/>
  <c r="O3" i="4" s="1"/>
  <c r="P4" i="4"/>
  <c r="P3" i="4" s="1"/>
  <c r="Q4" i="4"/>
  <c r="Q3" i="4" s="1"/>
  <c r="R4" i="4"/>
  <c r="R3" i="4" s="1"/>
  <c r="S4" i="4"/>
  <c r="S3" i="4" s="1"/>
  <c r="T4" i="4"/>
  <c r="T3" i="4" s="1"/>
  <c r="U4" i="4"/>
  <c r="U3" i="4" s="1"/>
  <c r="V4" i="4"/>
  <c r="V3" i="4" s="1"/>
  <c r="W4" i="4"/>
  <c r="W3" i="4" s="1"/>
  <c r="X4" i="4"/>
  <c r="X3" i="4" s="1"/>
  <c r="Y4" i="4"/>
  <c r="Y3" i="4" s="1"/>
  <c r="AN4" i="4"/>
  <c r="C5" i="4"/>
  <c r="AA5" i="4" s="1"/>
  <c r="D5" i="4"/>
  <c r="AB5" i="4" s="1"/>
  <c r="E5" i="4"/>
  <c r="F5" i="4"/>
  <c r="AD5" i="4" s="1"/>
  <c r="G5" i="4"/>
  <c r="G4" i="4" s="1"/>
  <c r="H5" i="4"/>
  <c r="I5" i="4"/>
  <c r="AG5" i="4" s="1"/>
  <c r="J5" i="4"/>
  <c r="K5" i="4"/>
  <c r="AI5" i="4" s="1"/>
  <c r="L5" i="4"/>
  <c r="AJ5" i="4" s="1"/>
  <c r="M5" i="4"/>
  <c r="Z5" i="4"/>
  <c r="AC5" i="4"/>
  <c r="AE5" i="4"/>
  <c r="AF5" i="4"/>
  <c r="AH5" i="4"/>
  <c r="AP5" i="4"/>
  <c r="AP4" i="4" s="1"/>
  <c r="AP3" i="4" s="1"/>
  <c r="E6" i="4"/>
  <c r="AC6" i="4" s="1"/>
  <c r="F6" i="4"/>
  <c r="AD6" i="4" s="1"/>
  <c r="H6" i="4"/>
  <c r="J6" i="4"/>
  <c r="AH6" i="4" s="1"/>
  <c r="K6" i="4"/>
  <c r="AI6" i="4" s="1"/>
  <c r="M6" i="4"/>
  <c r="Z6" i="4"/>
  <c r="AA6" i="4"/>
  <c r="AB6" i="4"/>
  <c r="AE6" i="4"/>
  <c r="AG6" i="4"/>
  <c r="AJ6" i="4"/>
  <c r="AK6" i="4"/>
  <c r="AQ6" i="4"/>
  <c r="AR6" i="4"/>
  <c r="C7" i="4"/>
  <c r="AA7" i="4" s="1"/>
  <c r="D7" i="4"/>
  <c r="E7" i="4"/>
  <c r="AC7" i="4" s="1"/>
  <c r="F7" i="4"/>
  <c r="H7" i="4"/>
  <c r="AF7" i="4" s="1"/>
  <c r="I7" i="4"/>
  <c r="AG7" i="4" s="1"/>
  <c r="J7" i="4"/>
  <c r="AH7" i="4" s="1"/>
  <c r="K7" i="4"/>
  <c r="AI7" i="4" s="1"/>
  <c r="L7" i="4"/>
  <c r="AJ7" i="4" s="1"/>
  <c r="M7" i="4"/>
  <c r="Z7" i="4"/>
  <c r="AE7" i="4"/>
  <c r="AK7" i="4"/>
  <c r="AQ7" i="4"/>
  <c r="AR7" i="4"/>
  <c r="AS7" i="4" s="1"/>
  <c r="Z8" i="4"/>
  <c r="AB8" i="4"/>
  <c r="AC8" i="4"/>
  <c r="AD8" i="4"/>
  <c r="AH8" i="4"/>
  <c r="AI8" i="4"/>
  <c r="AJ8" i="4"/>
  <c r="AK8" i="4"/>
  <c r="AQ8" i="4"/>
  <c r="AR8" i="4"/>
  <c r="AS8" i="4" s="1"/>
  <c r="B10" i="4"/>
  <c r="N10" i="4"/>
  <c r="N9" i="4" s="1"/>
  <c r="O10" i="4"/>
  <c r="O9" i="4" s="1"/>
  <c r="P10" i="4"/>
  <c r="P9" i="4" s="1"/>
  <c r="Q10" i="4"/>
  <c r="Q9" i="4" s="1"/>
  <c r="R10" i="4"/>
  <c r="R9" i="4" s="1"/>
  <c r="S10" i="4"/>
  <c r="S9" i="4" s="1"/>
  <c r="T10" i="4"/>
  <c r="T9" i="4" s="1"/>
  <c r="U10" i="4"/>
  <c r="U9" i="4" s="1"/>
  <c r="V10" i="4"/>
  <c r="V9" i="4" s="1"/>
  <c r="W10" i="4"/>
  <c r="W9" i="4" s="1"/>
  <c r="X10" i="4"/>
  <c r="X9" i="4" s="1"/>
  <c r="Y10" i="4"/>
  <c r="Y9" i="4" s="1"/>
  <c r="AN10" i="4"/>
  <c r="AN9" i="4" s="1"/>
  <c r="A11" i="4"/>
  <c r="C11" i="4"/>
  <c r="C10" i="4" s="1"/>
  <c r="D11" i="4"/>
  <c r="AB11" i="4" s="1"/>
  <c r="E11" i="4"/>
  <c r="E15" i="4" s="1"/>
  <c r="F11" i="4"/>
  <c r="G11" i="4"/>
  <c r="G10" i="4" s="1"/>
  <c r="H11" i="4"/>
  <c r="AF11" i="4" s="1"/>
  <c r="I11" i="4"/>
  <c r="J11" i="4"/>
  <c r="AH11" i="4" s="1"/>
  <c r="K11" i="4"/>
  <c r="K15" i="4" s="1"/>
  <c r="L11" i="4"/>
  <c r="M11" i="4"/>
  <c r="M15" i="4" s="1"/>
  <c r="Z11" i="4"/>
  <c r="AD11" i="4"/>
  <c r="AE11" i="4"/>
  <c r="AG11" i="4"/>
  <c r="AJ11" i="4"/>
  <c r="AP11" i="4"/>
  <c r="A12" i="4"/>
  <c r="E12" i="4"/>
  <c r="AC12" i="4" s="1"/>
  <c r="H12" i="4"/>
  <c r="AF12" i="4" s="1"/>
  <c r="I12" i="4"/>
  <c r="I16" i="4" s="1"/>
  <c r="Z12" i="4"/>
  <c r="AA12" i="4"/>
  <c r="AB12" i="4"/>
  <c r="AD12" i="4"/>
  <c r="AE12" i="4"/>
  <c r="AH12" i="4"/>
  <c r="AI12" i="4"/>
  <c r="AJ12" i="4"/>
  <c r="AK12" i="4"/>
  <c r="AQ12" i="4"/>
  <c r="AR12" i="4"/>
  <c r="AS12" i="4" s="1"/>
  <c r="A13" i="4"/>
  <c r="D13" i="4"/>
  <c r="AB13" i="4" s="1"/>
  <c r="E13" i="4"/>
  <c r="AC13" i="4" s="1"/>
  <c r="F13" i="4"/>
  <c r="AD13" i="4" s="1"/>
  <c r="H13" i="4"/>
  <c r="AF13" i="4" s="1"/>
  <c r="I13" i="4"/>
  <c r="AG13" i="4" s="1"/>
  <c r="J13" i="4"/>
  <c r="AH13" i="4" s="1"/>
  <c r="K13" i="4"/>
  <c r="AI13" i="4" s="1"/>
  <c r="L13" i="4"/>
  <c r="AJ13" i="4" s="1"/>
  <c r="M13" i="4"/>
  <c r="Z13" i="4"/>
  <c r="AA13" i="4"/>
  <c r="AE13" i="4"/>
  <c r="AK13" i="4"/>
  <c r="AL13" i="4" s="1"/>
  <c r="AQ13" i="4"/>
  <c r="AR13" i="4"/>
  <c r="A15" i="4"/>
  <c r="B15" i="4"/>
  <c r="N15" i="4"/>
  <c r="O15" i="4"/>
  <c r="P15" i="4"/>
  <c r="Q15" i="4"/>
  <c r="R15" i="4"/>
  <c r="S15" i="4"/>
  <c r="T15" i="4"/>
  <c r="U15" i="4"/>
  <c r="V15" i="4"/>
  <c r="W15" i="4"/>
  <c r="X15" i="4"/>
  <c r="Y15" i="4"/>
  <c r="AN15" i="4"/>
  <c r="A16" i="4"/>
  <c r="B16" i="4"/>
  <c r="C16" i="4"/>
  <c r="D16" i="4"/>
  <c r="G16" i="4"/>
  <c r="J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AJ16" i="4" s="1"/>
  <c r="Y16" i="4"/>
  <c r="AK16" i="4"/>
  <c r="AN16" i="4"/>
  <c r="AP16" i="4"/>
  <c r="A17" i="4"/>
  <c r="B17" i="4"/>
  <c r="G17" i="4"/>
  <c r="N17" i="4"/>
  <c r="O17" i="4"/>
  <c r="P17" i="4"/>
  <c r="Q17" i="4"/>
  <c r="R17" i="4"/>
  <c r="S17" i="4"/>
  <c r="T17" i="4"/>
  <c r="U17" i="4"/>
  <c r="V17" i="4"/>
  <c r="W17" i="4"/>
  <c r="X17" i="4"/>
  <c r="Y17" i="4"/>
  <c r="AN17" i="4"/>
  <c r="A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C18" i="4" s="1"/>
  <c r="R18" i="4"/>
  <c r="S18" i="4"/>
  <c r="T18" i="4"/>
  <c r="U18" i="4"/>
  <c r="V18" i="4"/>
  <c r="W18" i="4"/>
  <c r="X18" i="4"/>
  <c r="Y18" i="4"/>
  <c r="AK18" i="4"/>
  <c r="AL18" i="4" s="1"/>
  <c r="AN18" i="4"/>
  <c r="AP18" i="4"/>
  <c r="AQ18" i="4" s="1"/>
  <c r="AR18" i="4"/>
  <c r="B19" i="4"/>
  <c r="C19" i="4"/>
  <c r="D19" i="4"/>
  <c r="E19" i="4"/>
  <c r="F19" i="4"/>
  <c r="G19" i="4"/>
  <c r="H19" i="4"/>
  <c r="I19" i="4"/>
  <c r="J19" i="4"/>
  <c r="AH19" i="4" s="1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I19" i="4"/>
  <c r="AK19" i="4"/>
  <c r="AN19" i="4"/>
  <c r="AP19" i="4"/>
  <c r="AQ19" i="4" s="1"/>
  <c r="AR19" i="4"/>
  <c r="AS19" i="4" s="1"/>
  <c r="B20" i="4"/>
  <c r="C20" i="4"/>
  <c r="D20" i="4"/>
  <c r="AB20" i="4" s="1"/>
  <c r="E20" i="4"/>
  <c r="AC20" i="4" s="1"/>
  <c r="F20" i="4"/>
  <c r="G20" i="4"/>
  <c r="H20" i="4"/>
  <c r="I20" i="4"/>
  <c r="J20" i="4"/>
  <c r="K20" i="4"/>
  <c r="L20" i="4"/>
  <c r="M20" i="4"/>
  <c r="N20" i="4"/>
  <c r="O20" i="4"/>
  <c r="AA20" i="4" s="1"/>
  <c r="P20" i="4"/>
  <c r="Q20" i="4"/>
  <c r="R20" i="4"/>
  <c r="AD20" i="4" s="1"/>
  <c r="S20" i="4"/>
  <c r="T20" i="4"/>
  <c r="U20" i="4"/>
  <c r="V20" i="4"/>
  <c r="W20" i="4"/>
  <c r="X20" i="4"/>
  <c r="Y20" i="4"/>
  <c r="Z20" i="4"/>
  <c r="AK20" i="4"/>
  <c r="AL20" i="4" s="1"/>
  <c r="AN20" i="4"/>
  <c r="AP20" i="4"/>
  <c r="AQ20" i="4" s="1"/>
  <c r="AR20" i="4"/>
  <c r="B21" i="4"/>
  <c r="C21" i="4"/>
  <c r="D21" i="4"/>
  <c r="AB21" i="4" s="1"/>
  <c r="E21" i="4"/>
  <c r="F21" i="4"/>
  <c r="AD21" i="4" s="1"/>
  <c r="G21" i="4"/>
  <c r="H21" i="4"/>
  <c r="I21" i="4"/>
  <c r="J21" i="4"/>
  <c r="K21" i="4"/>
  <c r="L21" i="4"/>
  <c r="M21" i="4"/>
  <c r="N21" i="4"/>
  <c r="Z21" i="4" s="1"/>
  <c r="O21" i="4"/>
  <c r="P21" i="4"/>
  <c r="Q21" i="4"/>
  <c r="AC21" i="4" s="1"/>
  <c r="R21" i="4"/>
  <c r="S21" i="4"/>
  <c r="T21" i="4"/>
  <c r="AF21" i="4" s="1"/>
  <c r="U21" i="4"/>
  <c r="V21" i="4"/>
  <c r="AH21" i="4" s="1"/>
  <c r="W21" i="4"/>
  <c r="AI21" i="4" s="1"/>
  <c r="X21" i="4"/>
  <c r="Y21" i="4"/>
  <c r="AA21" i="4"/>
  <c r="AG21" i="4"/>
  <c r="AJ21" i="4"/>
  <c r="AK21" i="4"/>
  <c r="AL21" i="4" s="1"/>
  <c r="AN21" i="4"/>
  <c r="AP21" i="4"/>
  <c r="AQ21" i="4" s="1"/>
  <c r="AR21" i="4"/>
  <c r="AS21" i="4" s="1"/>
  <c r="B22" i="4"/>
  <c r="C22" i="4"/>
  <c r="D22" i="4"/>
  <c r="E22" i="4"/>
  <c r="AC22" i="4" s="1"/>
  <c r="F22" i="4"/>
  <c r="G22" i="4"/>
  <c r="H22" i="4"/>
  <c r="I22" i="4"/>
  <c r="J22" i="4"/>
  <c r="K22" i="4"/>
  <c r="L22" i="4"/>
  <c r="M22" i="4"/>
  <c r="N22" i="4"/>
  <c r="Z22" i="4" s="1"/>
  <c r="O22" i="4"/>
  <c r="P22" i="4"/>
  <c r="Q22" i="4"/>
  <c r="R22" i="4"/>
  <c r="S22" i="4"/>
  <c r="AE22" i="4" s="1"/>
  <c r="T22" i="4"/>
  <c r="U22" i="4"/>
  <c r="AG22" i="4" s="1"/>
  <c r="V22" i="4"/>
  <c r="W22" i="4"/>
  <c r="X22" i="4"/>
  <c r="Y22" i="4"/>
  <c r="AB22" i="4"/>
  <c r="AD22" i="4"/>
  <c r="AH22" i="4"/>
  <c r="AJ22" i="4"/>
  <c r="AK22" i="4"/>
  <c r="AN22" i="4"/>
  <c r="AP22" i="4"/>
  <c r="AQ22" i="4" s="1"/>
  <c r="AR22" i="4"/>
  <c r="AS22" i="4" s="1"/>
  <c r="B23" i="4"/>
  <c r="C23" i="4"/>
  <c r="AA23" i="4" s="1"/>
  <c r="D23" i="4"/>
  <c r="E23" i="4"/>
  <c r="F23" i="4"/>
  <c r="G23" i="4"/>
  <c r="H23" i="4"/>
  <c r="AF23" i="4" s="1"/>
  <c r="I23" i="4"/>
  <c r="J23" i="4"/>
  <c r="K23" i="4"/>
  <c r="AI23" i="4" s="1"/>
  <c r="L23" i="4"/>
  <c r="M23" i="4"/>
  <c r="N23" i="4"/>
  <c r="O23" i="4"/>
  <c r="P23" i="4"/>
  <c r="AB23" i="4" s="1"/>
  <c r="Q23" i="4"/>
  <c r="R23" i="4"/>
  <c r="S23" i="4"/>
  <c r="AE23" i="4" s="1"/>
  <c r="T23" i="4"/>
  <c r="U23" i="4"/>
  <c r="AG23" i="4" s="1"/>
  <c r="V23" i="4"/>
  <c r="W23" i="4"/>
  <c r="X23" i="4"/>
  <c r="AJ23" i="4" s="1"/>
  <c r="Y23" i="4"/>
  <c r="AC23" i="4"/>
  <c r="AK23" i="4"/>
  <c r="AL23" i="4" s="1"/>
  <c r="AN23" i="4"/>
  <c r="AP23" i="4"/>
  <c r="AR23" i="4"/>
  <c r="AS23" i="4" s="1"/>
  <c r="B24" i="4"/>
  <c r="C24" i="4"/>
  <c r="D24" i="4"/>
  <c r="E24" i="4"/>
  <c r="F24" i="4"/>
  <c r="G24" i="4"/>
  <c r="AE24" i="4" s="1"/>
  <c r="H24" i="4"/>
  <c r="I24" i="4"/>
  <c r="AG24" i="4" s="1"/>
  <c r="J24" i="4"/>
  <c r="K24" i="4"/>
  <c r="L24" i="4"/>
  <c r="M24" i="4"/>
  <c r="N24" i="4"/>
  <c r="O24" i="4"/>
  <c r="AA24" i="4" s="1"/>
  <c r="P24" i="4"/>
  <c r="Q24" i="4"/>
  <c r="AC24" i="4" s="1"/>
  <c r="R24" i="4"/>
  <c r="AD24" i="4" s="1"/>
  <c r="S24" i="4"/>
  <c r="T24" i="4"/>
  <c r="U24" i="4"/>
  <c r="V24" i="4"/>
  <c r="W24" i="4"/>
  <c r="AI24" i="4" s="1"/>
  <c r="X24" i="4"/>
  <c r="Y24" i="4"/>
  <c r="AF24" i="4"/>
  <c r="AJ24" i="4"/>
  <c r="AK24" i="4"/>
  <c r="AL24" i="4" s="1"/>
  <c r="AN24" i="4"/>
  <c r="AP24" i="4"/>
  <c r="AQ24" i="4" s="1"/>
  <c r="AR24" i="4"/>
  <c r="AS24" i="4" s="1"/>
  <c r="B25" i="4"/>
  <c r="C25" i="4"/>
  <c r="D25" i="4"/>
  <c r="E25" i="4"/>
  <c r="F25" i="4"/>
  <c r="G25" i="4"/>
  <c r="AE25" i="4" s="1"/>
  <c r="H25" i="4"/>
  <c r="I25" i="4"/>
  <c r="AG25" i="4" s="1"/>
  <c r="J25" i="4"/>
  <c r="AH25" i="4" s="1"/>
  <c r="K25" i="4"/>
  <c r="L25" i="4"/>
  <c r="M25" i="4"/>
  <c r="N25" i="4"/>
  <c r="O25" i="4"/>
  <c r="P25" i="4"/>
  <c r="Q25" i="4"/>
  <c r="AC25" i="4" s="1"/>
  <c r="R25" i="4"/>
  <c r="S25" i="4"/>
  <c r="T25" i="4"/>
  <c r="U25" i="4"/>
  <c r="V25" i="4"/>
  <c r="W25" i="4"/>
  <c r="AI25" i="4" s="1"/>
  <c r="X25" i="4"/>
  <c r="Y25" i="4"/>
  <c r="Z25" i="4"/>
  <c r="AK25" i="4"/>
  <c r="AL25" i="4" s="1"/>
  <c r="AN25" i="4"/>
  <c r="AP25" i="4"/>
  <c r="AQ25" i="4" s="1"/>
  <c r="AR25" i="4"/>
  <c r="AS25" i="4" s="1"/>
  <c r="B26" i="4"/>
  <c r="C26" i="4"/>
  <c r="D26" i="4"/>
  <c r="E26" i="4"/>
  <c r="F26" i="4"/>
  <c r="G26" i="4"/>
  <c r="AE26" i="4" s="1"/>
  <c r="H26" i="4"/>
  <c r="I26" i="4"/>
  <c r="J26" i="4"/>
  <c r="K26" i="4"/>
  <c r="L26" i="4"/>
  <c r="M26" i="4"/>
  <c r="N26" i="4"/>
  <c r="O26" i="4"/>
  <c r="AA26" i="4" s="1"/>
  <c r="P26" i="4"/>
  <c r="Q26" i="4"/>
  <c r="R26" i="4"/>
  <c r="S26" i="4"/>
  <c r="T26" i="4"/>
  <c r="U26" i="4"/>
  <c r="V26" i="4"/>
  <c r="W26" i="4"/>
  <c r="AI26" i="4" s="1"/>
  <c r="X26" i="4"/>
  <c r="Y26" i="4"/>
  <c r="AD26" i="4"/>
  <c r="AF26" i="4"/>
  <c r="AG26" i="4"/>
  <c r="AK26" i="4"/>
  <c r="AL26" i="4" s="1"/>
  <c r="AN26" i="4"/>
  <c r="AP26" i="4"/>
  <c r="AR26" i="4"/>
  <c r="AS26" i="4" s="1"/>
  <c r="B27" i="4"/>
  <c r="C27" i="4"/>
  <c r="D27" i="4"/>
  <c r="E27" i="4"/>
  <c r="F27" i="4"/>
  <c r="G27" i="4"/>
  <c r="AE27" i="4" s="1"/>
  <c r="H27" i="4"/>
  <c r="I27" i="4"/>
  <c r="J27" i="4"/>
  <c r="AH27" i="4" s="1"/>
  <c r="K27" i="4"/>
  <c r="L27" i="4"/>
  <c r="M27" i="4"/>
  <c r="N27" i="4"/>
  <c r="O27" i="4"/>
  <c r="AA27" i="4" s="1"/>
  <c r="P27" i="4"/>
  <c r="Q27" i="4"/>
  <c r="R27" i="4"/>
  <c r="AD27" i="4" s="1"/>
  <c r="S27" i="4"/>
  <c r="T27" i="4"/>
  <c r="U27" i="4"/>
  <c r="AG27" i="4" s="1"/>
  <c r="V27" i="4"/>
  <c r="W27" i="4"/>
  <c r="AI27" i="4" s="1"/>
  <c r="X27" i="4"/>
  <c r="Y27" i="4"/>
  <c r="Z27" i="4"/>
  <c r="AF27" i="4"/>
  <c r="AK27" i="4"/>
  <c r="AL27" i="4" s="1"/>
  <c r="AN27" i="4"/>
  <c r="AP27" i="4"/>
  <c r="AQ27" i="4" s="1"/>
  <c r="AR27" i="4"/>
  <c r="AS27" i="4" s="1"/>
  <c r="B28" i="4"/>
  <c r="C28" i="4"/>
  <c r="D28" i="4"/>
  <c r="E28" i="4"/>
  <c r="F28" i="4"/>
  <c r="G28" i="4"/>
  <c r="H28" i="4"/>
  <c r="I28" i="4"/>
  <c r="J28" i="4"/>
  <c r="AH28" i="4" s="1"/>
  <c r="K28" i="4"/>
  <c r="L28" i="4"/>
  <c r="M28" i="4"/>
  <c r="N28" i="4"/>
  <c r="O28" i="4"/>
  <c r="AA28" i="4" s="1"/>
  <c r="P28" i="4"/>
  <c r="Q28" i="4"/>
  <c r="R28" i="4"/>
  <c r="AD28" i="4" s="1"/>
  <c r="S28" i="4"/>
  <c r="T28" i="4"/>
  <c r="U28" i="4"/>
  <c r="AG28" i="4" s="1"/>
  <c r="V28" i="4"/>
  <c r="W28" i="4"/>
  <c r="X28" i="4"/>
  <c r="Y28" i="4"/>
  <c r="Z28" i="4"/>
  <c r="AF28" i="4"/>
  <c r="AK28" i="4"/>
  <c r="AL28" i="4" s="1"/>
  <c r="AN28" i="4"/>
  <c r="AP28" i="4"/>
  <c r="AQ28" i="4" s="1"/>
  <c r="AR28" i="4"/>
  <c r="AS28" i="4" s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Z29" i="4" s="1"/>
  <c r="O29" i="4"/>
  <c r="P29" i="4"/>
  <c r="Q29" i="4"/>
  <c r="AC29" i="4" s="1"/>
  <c r="R29" i="4"/>
  <c r="S29" i="4"/>
  <c r="T29" i="4"/>
  <c r="U29" i="4"/>
  <c r="V29" i="4"/>
  <c r="W29" i="4"/>
  <c r="X29" i="4"/>
  <c r="Y29" i="4"/>
  <c r="AJ29" i="4"/>
  <c r="AK29" i="4"/>
  <c r="AL29" i="4" s="1"/>
  <c r="AN29" i="4"/>
  <c r="AP29" i="4"/>
  <c r="AQ29" i="4" s="1"/>
  <c r="Z30" i="4"/>
  <c r="AA30" i="4"/>
  <c r="AB30" i="4"/>
  <c r="AC30" i="4"/>
  <c r="AD30" i="4"/>
  <c r="AE30" i="4"/>
  <c r="AF30" i="4"/>
  <c r="AG30" i="4"/>
  <c r="AH30" i="4"/>
  <c r="AI30" i="4"/>
  <c r="AJ30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Q33" i="4"/>
  <c r="AR33" i="4"/>
  <c r="AS33" i="4" s="1"/>
  <c r="N34" i="4"/>
  <c r="O34" i="4"/>
  <c r="P34" i="4"/>
  <c r="Q34" i="4"/>
  <c r="R34" i="4"/>
  <c r="S34" i="4"/>
  <c r="T34" i="4"/>
  <c r="U34" i="4"/>
  <c r="V34" i="4"/>
  <c r="W34" i="4"/>
  <c r="X34" i="4"/>
  <c r="Y34" i="4"/>
  <c r="AN34" i="4"/>
  <c r="AP34" i="4"/>
  <c r="M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 s="1"/>
  <c r="AQ35" i="4"/>
  <c r="AR35" i="4"/>
  <c r="AS35" i="4" s="1"/>
  <c r="AA36" i="4"/>
  <c r="AB36" i="4"/>
  <c r="AC36" i="4"/>
  <c r="AD36" i="4"/>
  <c r="AI36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 s="1"/>
  <c r="AQ38" i="4"/>
  <c r="AR38" i="4"/>
  <c r="AS38" i="4" s="1"/>
  <c r="C39" i="4"/>
  <c r="AA39" i="4" s="1"/>
  <c r="D39" i="4"/>
  <c r="AB39" i="4" s="1"/>
  <c r="E39" i="4"/>
  <c r="AC39" i="4" s="1"/>
  <c r="G39" i="4"/>
  <c r="AE39" i="4" s="1"/>
  <c r="I39" i="4"/>
  <c r="AG39" i="4" s="1"/>
  <c r="J39" i="4"/>
  <c r="K39" i="4"/>
  <c r="AI39" i="4" s="1"/>
  <c r="L39" i="4"/>
  <c r="M39" i="4"/>
  <c r="Z39" i="4"/>
  <c r="AD39" i="4"/>
  <c r="AF39" i="4"/>
  <c r="AK39" i="4"/>
  <c r="AQ39" i="4"/>
  <c r="AR39" i="4"/>
  <c r="B40" i="4"/>
  <c r="B44" i="4" s="1"/>
  <c r="C40" i="4"/>
  <c r="AA40" i="4" s="1"/>
  <c r="D40" i="4"/>
  <c r="AB40" i="4" s="1"/>
  <c r="E40" i="4"/>
  <c r="AC40" i="4" s="1"/>
  <c r="F40" i="4"/>
  <c r="G40" i="4"/>
  <c r="AE40" i="4" s="1"/>
  <c r="H40" i="4"/>
  <c r="I40" i="4"/>
  <c r="AG40" i="4" s="1"/>
  <c r="J40" i="4"/>
  <c r="K40" i="4"/>
  <c r="AI40" i="4" s="1"/>
  <c r="L40" i="4"/>
  <c r="AJ40" i="4" s="1"/>
  <c r="M40" i="4"/>
  <c r="AD40" i="4"/>
  <c r="AF40" i="4"/>
  <c r="AH40" i="4"/>
  <c r="AK40" i="4"/>
  <c r="AL40" i="4" s="1"/>
  <c r="AQ40" i="4"/>
  <c r="AR40" i="4"/>
  <c r="AS40" i="4" s="1"/>
  <c r="AP42" i="4"/>
  <c r="AR42" i="4" s="1"/>
  <c r="C43" i="4"/>
  <c r="AA43" i="4" s="1"/>
  <c r="D43" i="4"/>
  <c r="AB43" i="4" s="1"/>
  <c r="E43" i="4"/>
  <c r="F43" i="4"/>
  <c r="G43" i="4"/>
  <c r="H43" i="4"/>
  <c r="AF43" i="4" s="1"/>
  <c r="I43" i="4"/>
  <c r="AG43" i="4" s="1"/>
  <c r="J43" i="4"/>
  <c r="AH43" i="4" s="1"/>
  <c r="K43" i="4"/>
  <c r="AI43" i="4" s="1"/>
  <c r="L43" i="4"/>
  <c r="AJ43" i="4" s="1"/>
  <c r="M43" i="4"/>
  <c r="Z43" i="4"/>
  <c r="AC43" i="4"/>
  <c r="AD43" i="4"/>
  <c r="AE43" i="4"/>
  <c r="AK43" i="4"/>
  <c r="AL43" i="4" s="1"/>
  <c r="AQ43" i="4"/>
  <c r="AR43" i="4"/>
  <c r="AS43" i="4" s="1"/>
  <c r="N44" i="4"/>
  <c r="O44" i="4"/>
  <c r="P44" i="4"/>
  <c r="Q44" i="4"/>
  <c r="R44" i="4"/>
  <c r="S44" i="4"/>
  <c r="T44" i="4"/>
  <c r="U44" i="4"/>
  <c r="V44" i="4"/>
  <c r="W44" i="4"/>
  <c r="X44" i="4"/>
  <c r="Y44" i="4"/>
  <c r="AN44" i="4"/>
  <c r="AP44" i="4"/>
  <c r="AB28" i="4" l="1"/>
  <c r="AJ27" i="4"/>
  <c r="AH23" i="4"/>
  <c r="Z23" i="4"/>
  <c r="AJ28" i="4"/>
  <c r="AB27" i="4"/>
  <c r="AJ26" i="4"/>
  <c r="AB26" i="4"/>
  <c r="AD23" i="4"/>
  <c r="AH26" i="4"/>
  <c r="Z26" i="4"/>
  <c r="AI22" i="4"/>
  <c r="AA22" i="4"/>
  <c r="Z18" i="4"/>
  <c r="AE28" i="4"/>
  <c r="AI28" i="4"/>
  <c r="AF25" i="4"/>
  <c r="AB24" i="4"/>
  <c r="AF22" i="4"/>
  <c r="AC28" i="4"/>
  <c r="AC27" i="4"/>
  <c r="AC26" i="4"/>
  <c r="AH24" i="4"/>
  <c r="Z24" i="4"/>
  <c r="AE21" i="4"/>
  <c r="Z40" i="4"/>
  <c r="AJ20" i="4"/>
  <c r="F16" i="4"/>
  <c r="AH20" i="4"/>
  <c r="C17" i="4"/>
  <c r="AA17" i="4" s="1"/>
  <c r="I15" i="4"/>
  <c r="AG15" i="4" s="1"/>
  <c r="AD25" i="4"/>
  <c r="AC11" i="4"/>
  <c r="AJ25" i="4"/>
  <c r="AB25" i="4"/>
  <c r="AI11" i="4"/>
  <c r="AA11" i="4"/>
  <c r="AI29" i="4"/>
  <c r="AH29" i="4"/>
  <c r="AC19" i="4"/>
  <c r="AJ19" i="4"/>
  <c r="H44" i="4"/>
  <c r="AA25" i="4"/>
  <c r="AG12" i="4"/>
  <c r="H17" i="4"/>
  <c r="AF17" i="4" s="1"/>
  <c r="L17" i="4"/>
  <c r="AJ17" i="4" s="1"/>
  <c r="E17" i="4"/>
  <c r="AC17" i="4" s="1"/>
  <c r="J17" i="4"/>
  <c r="J14" i="4" s="1"/>
  <c r="C41" i="4"/>
  <c r="AA41" i="4" s="1"/>
  <c r="Z17" i="4"/>
  <c r="K16" i="4"/>
  <c r="AI16" i="4" s="1"/>
  <c r="AC15" i="4"/>
  <c r="Z15" i="4"/>
  <c r="AK17" i="4"/>
  <c r="AL17" i="4" s="1"/>
  <c r="M17" i="4"/>
  <c r="Z16" i="4"/>
  <c r="L44" i="4"/>
  <c r="AJ44" i="4" s="1"/>
  <c r="AR29" i="4"/>
  <c r="AS29" i="4" s="1"/>
  <c r="K17" i="4"/>
  <c r="AI17" i="4" s="1"/>
  <c r="I17" i="4"/>
  <c r="AG17" i="4" s="1"/>
  <c r="AD16" i="4"/>
  <c r="AB16" i="4"/>
  <c r="E16" i="4"/>
  <c r="AC16" i="4" s="1"/>
  <c r="G15" i="4"/>
  <c r="C15" i="4"/>
  <c r="AA15" i="4" s="1"/>
  <c r="AH16" i="4"/>
  <c r="AE16" i="4"/>
  <c r="AA16" i="4"/>
  <c r="S42" i="4"/>
  <c r="S41" i="4"/>
  <c r="G34" i="4"/>
  <c r="AE34" i="4" s="1"/>
  <c r="AE17" i="4"/>
  <c r="L15" i="4"/>
  <c r="L14" i="4" s="1"/>
  <c r="AJ14" i="4" s="1"/>
  <c r="J15" i="4"/>
  <c r="H15" i="4"/>
  <c r="F15" i="4"/>
  <c r="D15" i="4"/>
  <c r="B9" i="4"/>
  <c r="Z9" i="4" s="1"/>
  <c r="Z10" i="4"/>
  <c r="AD7" i="4"/>
  <c r="F17" i="4"/>
  <c r="AB7" i="4"/>
  <c r="D17" i="4"/>
  <c r="AS6" i="4"/>
  <c r="AR16" i="4"/>
  <c r="AF6" i="4"/>
  <c r="H16" i="4"/>
  <c r="AN3" i="4"/>
  <c r="AN14" i="4"/>
  <c r="AN32" i="4" s="1"/>
  <c r="K44" i="4"/>
  <c r="AI44" i="4" s="1"/>
  <c r="I44" i="4"/>
  <c r="AG44" i="4" s="1"/>
  <c r="E44" i="4"/>
  <c r="AC44" i="4" s="1"/>
  <c r="C44" i="4"/>
  <c r="AA44" i="4" s="1"/>
  <c r="Y42" i="4"/>
  <c r="Y41" i="4"/>
  <c r="B41" i="4"/>
  <c r="Z41" i="4" s="1"/>
  <c r="AL39" i="4"/>
  <c r="J44" i="4"/>
  <c r="AH44" i="4" s="1"/>
  <c r="J34" i="4"/>
  <c r="AH34" i="4" s="1"/>
  <c r="D34" i="4"/>
  <c r="AB34" i="4" s="1"/>
  <c r="M34" i="4"/>
  <c r="AQ16" i="4"/>
  <c r="AG16" i="4"/>
  <c r="AI15" i="4"/>
  <c r="AE15" i="4"/>
  <c r="AS13" i="4"/>
  <c r="AR17" i="4"/>
  <c r="AK11" i="4"/>
  <c r="AK10" i="4" s="1"/>
  <c r="AL10" i="4" s="1"/>
  <c r="AP15" i="4"/>
  <c r="AP14" i="4" s="1"/>
  <c r="AQ14" i="4" s="1"/>
  <c r="B3" i="4"/>
  <c r="Z4" i="4"/>
  <c r="AK44" i="4"/>
  <c r="AL44" i="4" s="1"/>
  <c r="AR5" i="4"/>
  <c r="AS5" i="4" s="1"/>
  <c r="AR44" i="4"/>
  <c r="AS44" i="4" s="1"/>
  <c r="AQ5" i="4"/>
  <c r="AI18" i="4"/>
  <c r="AF44" i="4"/>
  <c r="AI20" i="4"/>
  <c r="AD19" i="4"/>
  <c r="AB19" i="4"/>
  <c r="AD18" i="4"/>
  <c r="AB18" i="4"/>
  <c r="AR11" i="4"/>
  <c r="F44" i="4"/>
  <c r="AD44" i="4" s="1"/>
  <c r="Z44" i="4"/>
  <c r="AD29" i="4"/>
  <c r="AB29" i="4"/>
  <c r="AQ44" i="4"/>
  <c r="M44" i="4"/>
  <c r="D44" i="4"/>
  <c r="AB44" i="4" s="1"/>
  <c r="V42" i="4"/>
  <c r="P42" i="4"/>
  <c r="V41" i="4"/>
  <c r="P41" i="4"/>
  <c r="AS39" i="4"/>
  <c r="AJ39" i="4"/>
  <c r="AH39" i="4"/>
  <c r="AR34" i="4"/>
  <c r="AK34" i="4"/>
  <c r="AL33" i="4"/>
  <c r="AQ26" i="4"/>
  <c r="AQ23" i="4"/>
  <c r="AS20" i="4"/>
  <c r="AL19" i="4"/>
  <c r="AS18" i="4"/>
  <c r="AQ17" i="4"/>
  <c r="X14" i="4"/>
  <c r="X31" i="4" s="1"/>
  <c r="V14" i="4"/>
  <c r="V31" i="4" s="1"/>
  <c r="T14" i="4"/>
  <c r="T32" i="4" s="1"/>
  <c r="R14" i="4"/>
  <c r="R31" i="4" s="1"/>
  <c r="P14" i="4"/>
  <c r="P31" i="4" s="1"/>
  <c r="B42" i="4"/>
  <c r="Z42" i="4" s="1"/>
  <c r="N14" i="4"/>
  <c r="N31" i="4" s="1"/>
  <c r="B14" i="4"/>
  <c r="B31" i="4" s="1"/>
  <c r="AR10" i="4"/>
  <c r="AR9" i="4" s="1"/>
  <c r="M10" i="4"/>
  <c r="M9" i="4" s="1"/>
  <c r="K10" i="4"/>
  <c r="K9" i="4" s="1"/>
  <c r="I10" i="4"/>
  <c r="I9" i="4" s="1"/>
  <c r="AG9" i="4" s="1"/>
  <c r="E10" i="4"/>
  <c r="AC10" i="4" s="1"/>
  <c r="Y14" i="4"/>
  <c r="Y32" i="4" s="1"/>
  <c r="W14" i="4"/>
  <c r="W32" i="4" s="1"/>
  <c r="U14" i="4"/>
  <c r="U32" i="4" s="1"/>
  <c r="S14" i="4"/>
  <c r="S31" i="4" s="1"/>
  <c r="Q14" i="4"/>
  <c r="Q32" i="4" s="1"/>
  <c r="O14" i="4"/>
  <c r="O32" i="4" s="1"/>
  <c r="M14" i="4"/>
  <c r="M31" i="4" s="1"/>
  <c r="K14" i="4"/>
  <c r="K31" i="4" s="1"/>
  <c r="G14" i="4"/>
  <c r="G32" i="4" s="1"/>
  <c r="AS11" i="4"/>
  <c r="AQ11" i="4"/>
  <c r="L10" i="4"/>
  <c r="AJ10" i="4" s="1"/>
  <c r="J10" i="4"/>
  <c r="J9" i="4" s="1"/>
  <c r="H10" i="4"/>
  <c r="AF10" i="4" s="1"/>
  <c r="F10" i="4"/>
  <c r="AD10" i="4" s="1"/>
  <c r="D10" i="4"/>
  <c r="AB10" i="4" s="1"/>
  <c r="AL8" i="4"/>
  <c r="L4" i="4"/>
  <c r="M4" i="4"/>
  <c r="M3" i="4" s="1"/>
  <c r="K4" i="4"/>
  <c r="AI4" i="4" s="1"/>
  <c r="I4" i="4"/>
  <c r="AG4" i="4" s="1"/>
  <c r="E4" i="4"/>
  <c r="AC4" i="4" s="1"/>
  <c r="C4" i="4"/>
  <c r="J4" i="4"/>
  <c r="J3" i="4" s="1"/>
  <c r="AH3" i="4" s="1"/>
  <c r="H4" i="4"/>
  <c r="AF4" i="4" s="1"/>
  <c r="F4" i="4"/>
  <c r="AD4" i="4" s="1"/>
  <c r="D4" i="4"/>
  <c r="D42" i="4" s="1"/>
  <c r="AB42" i="4" s="1"/>
  <c r="T31" i="4"/>
  <c r="P32" i="4"/>
  <c r="AL11" i="4"/>
  <c r="G9" i="4"/>
  <c r="AE9" i="4" s="1"/>
  <c r="AE10" i="4"/>
  <c r="C9" i="4"/>
  <c r="AA9" i="4" s="1"/>
  <c r="AA10" i="4"/>
  <c r="AJ4" i="4"/>
  <c r="AH4" i="4"/>
  <c r="W31" i="4"/>
  <c r="F9" i="4"/>
  <c r="AD9" i="4" s="1"/>
  <c r="AQ4" i="4"/>
  <c r="G3" i="4"/>
  <c r="AE3" i="4" s="1"/>
  <c r="AE4" i="4"/>
  <c r="Z3" i="4"/>
  <c r="G44" i="4"/>
  <c r="AS42" i="4"/>
  <c r="AQ42" i="4"/>
  <c r="AL22" i="4"/>
  <c r="AP10" i="4"/>
  <c r="AL7" i="4"/>
  <c r="AL6" i="4"/>
  <c r="AK5" i="4"/>
  <c r="AL16" i="4"/>
  <c r="AQ15" i="4"/>
  <c r="AL12" i="4"/>
  <c r="L32" i="4" l="1"/>
  <c r="AJ32" i="4" s="1"/>
  <c r="C14" i="4"/>
  <c r="C31" i="4" s="1"/>
  <c r="J31" i="4"/>
  <c r="AH14" i="4"/>
  <c r="K3" i="4"/>
  <c r="F14" i="4"/>
  <c r="F31" i="4" s="1"/>
  <c r="AD31" i="4" s="1"/>
  <c r="AH17" i="4"/>
  <c r="O31" i="4"/>
  <c r="AI10" i="4"/>
  <c r="E14" i="4"/>
  <c r="E32" i="4" s="1"/>
  <c r="AC32" i="4" s="1"/>
  <c r="E3" i="4"/>
  <c r="F3" i="4"/>
  <c r="AD3" i="4" s="1"/>
  <c r="X32" i="4"/>
  <c r="E9" i="4"/>
  <c r="AC9" i="4" s="1"/>
  <c r="AS10" i="4"/>
  <c r="L31" i="4"/>
  <c r="H14" i="4"/>
  <c r="H31" i="4" s="1"/>
  <c r="AF31" i="4" s="1"/>
  <c r="D14" i="4"/>
  <c r="AB14" i="4" s="1"/>
  <c r="AE14" i="4"/>
  <c r="Z14" i="4"/>
  <c r="AI14" i="4"/>
  <c r="AF14" i="4"/>
  <c r="C3" i="4"/>
  <c r="AH10" i="4"/>
  <c r="K32" i="4"/>
  <c r="AI32" i="4" s="1"/>
  <c r="S32" i="4"/>
  <c r="AE32" i="4" s="1"/>
  <c r="AG10" i="4"/>
  <c r="R32" i="4"/>
  <c r="V32" i="4"/>
  <c r="I14" i="4"/>
  <c r="I32" i="4" s="1"/>
  <c r="AG32" i="4" s="1"/>
  <c r="B34" i="4"/>
  <c r="Z34" i="4" s="1"/>
  <c r="D9" i="4"/>
  <c r="AB9" i="4" s="1"/>
  <c r="H9" i="4"/>
  <c r="AF9" i="4" s="1"/>
  <c r="L9" i="4"/>
  <c r="Q31" i="4"/>
  <c r="U31" i="4"/>
  <c r="Y31" i="4"/>
  <c r="L42" i="4"/>
  <c r="AJ42" i="4" s="1"/>
  <c r="I3" i="4"/>
  <c r="G31" i="4"/>
  <c r="AE31" i="4" s="1"/>
  <c r="B32" i="4"/>
  <c r="F32" i="4"/>
  <c r="J32" i="4"/>
  <c r="AH32" i="4" s="1"/>
  <c r="N32" i="4"/>
  <c r="AB4" i="4"/>
  <c r="AB15" i="4"/>
  <c r="AF15" i="4"/>
  <c r="AJ15" i="4"/>
  <c r="AD15" i="4"/>
  <c r="AH15" i="4"/>
  <c r="M32" i="4"/>
  <c r="AF16" i="4"/>
  <c r="AS16" i="4"/>
  <c r="AB17" i="4"/>
  <c r="AD17" i="4"/>
  <c r="AN31" i="4"/>
  <c r="AS17" i="4"/>
  <c r="G41" i="4"/>
  <c r="AE41" i="4" s="1"/>
  <c r="J42" i="4"/>
  <c r="AH42" i="4" s="1"/>
  <c r="AA4" i="4"/>
  <c r="D3" i="4"/>
  <c r="AB3" i="4" s="1"/>
  <c r="H3" i="4"/>
  <c r="AF3" i="4" s="1"/>
  <c r="L3" i="4"/>
  <c r="AJ3" i="4" s="1"/>
  <c r="AR4" i="4"/>
  <c r="AR15" i="4"/>
  <c r="L41" i="4"/>
  <c r="AJ41" i="4" s="1"/>
  <c r="E42" i="4"/>
  <c r="AC42" i="4" s="1"/>
  <c r="I42" i="4"/>
  <c r="AG42" i="4" s="1"/>
  <c r="M42" i="4"/>
  <c r="H42" i="4"/>
  <c r="AF42" i="4" s="1"/>
  <c r="H41" i="4"/>
  <c r="AF41" i="4" s="1"/>
  <c r="G42" i="4"/>
  <c r="AE42" i="4" s="1"/>
  <c r="D41" i="4"/>
  <c r="AB41" i="4" s="1"/>
  <c r="F41" i="4"/>
  <c r="AD41" i="4" s="1"/>
  <c r="I41" i="4"/>
  <c r="AG41" i="4" s="1"/>
  <c r="K41" i="4"/>
  <c r="AI41" i="4" s="1"/>
  <c r="M41" i="4"/>
  <c r="AP31" i="4"/>
  <c r="AQ31" i="4" s="1"/>
  <c r="AP32" i="4"/>
  <c r="AQ32" i="4" s="1"/>
  <c r="F42" i="4"/>
  <c r="AD42" i="4" s="1"/>
  <c r="E41" i="4"/>
  <c r="AC41" i="4" s="1"/>
  <c r="J41" i="4"/>
  <c r="AH41" i="4" s="1"/>
  <c r="C42" i="4"/>
  <c r="AA42" i="4" s="1"/>
  <c r="K42" i="4"/>
  <c r="AI42" i="4" s="1"/>
  <c r="AK4" i="4"/>
  <c r="AL5" i="4"/>
  <c r="AK15" i="4"/>
  <c r="AP9" i="4"/>
  <c r="AQ9" i="4" s="1"/>
  <c r="AP41" i="4"/>
  <c r="AC3" i="4"/>
  <c r="AG3" i="4"/>
  <c r="AI3" i="4"/>
  <c r="AQ3" i="4"/>
  <c r="AH9" i="4"/>
  <c r="AJ9" i="4"/>
  <c r="AI31" i="4"/>
  <c r="Z31" i="4"/>
  <c r="AJ31" i="4"/>
  <c r="N37" i="4"/>
  <c r="P37" i="4"/>
  <c r="R37" i="4"/>
  <c r="T37" i="4"/>
  <c r="V37" i="4"/>
  <c r="AQ10" i="4"/>
  <c r="AQ34" i="4"/>
  <c r="AS34" i="4"/>
  <c r="AL34" i="4"/>
  <c r="AE44" i="4"/>
  <c r="AA3" i="4"/>
  <c r="AA31" i="4"/>
  <c r="O37" i="4"/>
  <c r="Q37" i="4"/>
  <c r="S37" i="4"/>
  <c r="U37" i="4"/>
  <c r="Y37" i="4"/>
  <c r="AI9" i="4"/>
  <c r="AS9" i="4"/>
  <c r="AK9" i="4"/>
  <c r="AL9" i="4" s="1"/>
  <c r="AK41" i="4"/>
  <c r="AL41" i="4" s="1"/>
  <c r="AH31" i="4"/>
  <c r="X37" i="4"/>
  <c r="AC14" i="4" l="1"/>
  <c r="AA14" i="4"/>
  <c r="H32" i="4"/>
  <c r="AF32" i="4" s="1"/>
  <c r="D32" i="4"/>
  <c r="AB32" i="4" s="1"/>
  <c r="D31" i="4"/>
  <c r="AB31" i="4" s="1"/>
  <c r="C32" i="4"/>
  <c r="AA32" i="4" s="1"/>
  <c r="AD14" i="4"/>
  <c r="E31" i="4"/>
  <c r="AC31" i="4" s="1"/>
  <c r="AD32" i="4"/>
  <c r="AG14" i="4"/>
  <c r="I31" i="4"/>
  <c r="AG31" i="4" s="1"/>
  <c r="Z32" i="4"/>
  <c r="AN37" i="4"/>
  <c r="AR14" i="4"/>
  <c r="AS15" i="4"/>
  <c r="AR3" i="4"/>
  <c r="AS3" i="4" s="1"/>
  <c r="AS4" i="4"/>
  <c r="AP37" i="4"/>
  <c r="J37" i="4"/>
  <c r="D37" i="4"/>
  <c r="L34" i="4"/>
  <c r="W37" i="4"/>
  <c r="C34" i="4"/>
  <c r="H34" i="4"/>
  <c r="G37" i="4"/>
  <c r="AR41" i="4"/>
  <c r="AS41" i="4" s="1"/>
  <c r="AQ41" i="4"/>
  <c r="B37" i="4"/>
  <c r="F34" i="4"/>
  <c r="M37" i="4"/>
  <c r="K34" i="4"/>
  <c r="I34" i="4"/>
  <c r="E34" i="4"/>
  <c r="AL15" i="4"/>
  <c r="AK3" i="4"/>
  <c r="AL3" i="4" s="1"/>
  <c r="AK14" i="4"/>
  <c r="AK42" i="4"/>
  <c r="AL42" i="4" s="1"/>
  <c r="AL4" i="4"/>
  <c r="AS14" i="4" l="1"/>
  <c r="AR32" i="4"/>
  <c r="AS32" i="4" s="1"/>
  <c r="AR31" i="4"/>
  <c r="AC34" i="4"/>
  <c r="AG34" i="4"/>
  <c r="Z37" i="4"/>
  <c r="AQ37" i="4"/>
  <c r="AE37" i="4"/>
  <c r="AA34" i="4"/>
  <c r="AJ34" i="4"/>
  <c r="AK31" i="4"/>
  <c r="AK32" i="4"/>
  <c r="AL32" i="4" s="1"/>
  <c r="AL14" i="4"/>
  <c r="AI34" i="4"/>
  <c r="AD34" i="4"/>
  <c r="AF34" i="4"/>
  <c r="AB37" i="4"/>
  <c r="AH37" i="4"/>
  <c r="AS31" i="4" l="1"/>
  <c r="H37" i="4"/>
  <c r="F37" i="4"/>
  <c r="K37" i="4"/>
  <c r="L37" i="4"/>
  <c r="AL31" i="4"/>
  <c r="C37" i="4"/>
  <c r="I37" i="4"/>
  <c r="E37" i="4"/>
  <c r="AR37" i="4" l="1"/>
  <c r="AA37" i="4"/>
  <c r="AC37" i="4"/>
  <c r="AG37" i="4"/>
  <c r="AK37" i="4"/>
  <c r="AJ37" i="4"/>
  <c r="AI37" i="4"/>
  <c r="AD37" i="4"/>
  <c r="AF37" i="4"/>
  <c r="AS37" i="4" l="1"/>
  <c r="AL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LydiaHuang</author>
  </authors>
  <commentList>
    <comment ref="AP2" authorId="0" shapeId="0" xr:uid="{00000000-0006-0000-0000-000001000000}">
      <text>
        <r>
          <rPr>
            <sz val="12"/>
            <color indexed="81"/>
            <rFont val="新細明體"/>
            <family val="1"/>
            <charset val="136"/>
          </rPr>
          <t>LydiaHuang: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2"/>
            <rFont val="新細明體"/>
            <family val="1"/>
            <charset val="136"/>
          </rPr>
          <t>Target A：
2008 Jan~Dec Actual</t>
        </r>
      </text>
    </comment>
    <comment ref="AR2" authorId="0" shapeId="0" xr:uid="{00000000-0006-0000-0000-000002000000}">
      <text>
        <r>
          <rPr>
            <sz val="12"/>
            <color indexed="81"/>
            <rFont val="新細明體"/>
            <family val="1"/>
            <charset val="136"/>
          </rPr>
          <t xml:space="preserve">LydiaHuang:
</t>
        </r>
        <r>
          <rPr>
            <sz val="12"/>
            <color indexed="61"/>
            <rFont val="新細明體"/>
            <family val="1"/>
            <charset val="136"/>
          </rPr>
          <t>Target B：
( 2008 Target A + 2008 Original Budget ) / 2</t>
        </r>
      </text>
    </comment>
  </commentList>
</comments>
</file>

<file path=xl/sharedStrings.xml><?xml version="1.0" encoding="utf-8"?>
<sst xmlns="http://schemas.openxmlformats.org/spreadsheetml/2006/main" count="69" uniqueCount="67">
  <si>
    <t>Feb (A)</t>
  </si>
  <si>
    <t>Mar (A)</t>
  </si>
  <si>
    <t>Apr (A)</t>
  </si>
  <si>
    <t>May (A)</t>
  </si>
  <si>
    <t>Jun (A)</t>
  </si>
  <si>
    <t>Jul (A)</t>
  </si>
  <si>
    <t>Aug (A)</t>
  </si>
  <si>
    <t>Sep (A)</t>
  </si>
  <si>
    <t>Oct (A)</t>
  </si>
  <si>
    <t>Nov (A)</t>
  </si>
  <si>
    <t>Dec (A)</t>
  </si>
  <si>
    <t>Jan (F)</t>
  </si>
  <si>
    <t>Feb (F)</t>
  </si>
  <si>
    <t>Mar (F)</t>
  </si>
  <si>
    <t>Apr (F)</t>
  </si>
  <si>
    <t>May (F)</t>
  </si>
  <si>
    <t>Jan-Achiev. %</t>
  </si>
  <si>
    <t>Feb-Achiev. %</t>
  </si>
  <si>
    <t>Mar-Achiev. %</t>
  </si>
  <si>
    <t>Apr-Achiev. %</t>
  </si>
  <si>
    <t>May-Achiev. %</t>
  </si>
  <si>
    <t>Jun-Achiev. %</t>
  </si>
  <si>
    <t>Jul-Achiev. %</t>
  </si>
  <si>
    <t>Aug-Achiev.%</t>
  </si>
  <si>
    <t>Sep-Achiev. %</t>
  </si>
  <si>
    <t>Oct-Achiev. %</t>
  </si>
  <si>
    <t>Nov-Achiev. %</t>
  </si>
  <si>
    <t>Revenue Total</t>
  </si>
  <si>
    <t xml:space="preserve">     Internal Revenue</t>
  </si>
  <si>
    <t>Cost Total</t>
  </si>
  <si>
    <t xml:space="preserve">     External Cost </t>
  </si>
  <si>
    <t xml:space="preserve">     External Margin</t>
  </si>
  <si>
    <t xml:space="preserve">     Internal Margin</t>
  </si>
  <si>
    <t>Gross Margin</t>
  </si>
  <si>
    <t xml:space="preserve">     External Margin%</t>
  </si>
  <si>
    <t>Rental&amp;Management Fee</t>
  </si>
  <si>
    <t>Expenses Total</t>
  </si>
  <si>
    <t>G&amp;A Expenses</t>
  </si>
  <si>
    <t>BU direct profit</t>
  </si>
  <si>
    <t>G&amp;A Expenses-From H</t>
  </si>
  <si>
    <t>A/R Collection Days</t>
  </si>
  <si>
    <t>A/P+N/P</t>
  </si>
  <si>
    <t>Virtual Equity</t>
  </si>
  <si>
    <t>e-Learning</t>
  </si>
  <si>
    <t>A/R+N/R (Excluding Internal AR)</t>
  </si>
  <si>
    <t>Jan (A)</t>
    <phoneticPr fontId="10" type="noConversion"/>
  </si>
  <si>
    <t>Jun (F)-T1</t>
    <phoneticPr fontId="10" type="noConversion"/>
  </si>
  <si>
    <t>Jul (F)-T1</t>
    <phoneticPr fontId="10" type="noConversion"/>
  </si>
  <si>
    <t>Aug (F)-T1</t>
    <phoneticPr fontId="10" type="noConversion"/>
  </si>
  <si>
    <t>Sep (F)-T1</t>
    <phoneticPr fontId="10" type="noConversion"/>
  </si>
  <si>
    <t>Oct (F)-T1</t>
    <phoneticPr fontId="10" type="noConversion"/>
  </si>
  <si>
    <t>Nov (F)-T1</t>
    <phoneticPr fontId="10" type="noConversion"/>
  </si>
  <si>
    <t>Dec (F)-T1</t>
    <phoneticPr fontId="10" type="noConversion"/>
  </si>
  <si>
    <t>2008 Total (Actual)</t>
    <phoneticPr fontId="10" type="noConversion"/>
  </si>
  <si>
    <t>Growth%</t>
    <phoneticPr fontId="10" type="noConversion"/>
  </si>
  <si>
    <t xml:space="preserve">2008 Original Budget </t>
    <phoneticPr fontId="10" type="noConversion"/>
  </si>
  <si>
    <t>2008 YTD (Target A)</t>
    <phoneticPr fontId="10" type="noConversion"/>
  </si>
  <si>
    <t>2008 YTD (Target B)</t>
    <phoneticPr fontId="10" type="noConversion"/>
  </si>
  <si>
    <t xml:space="preserve">   External Revenue(by product)</t>
    <phoneticPr fontId="10" type="noConversion"/>
  </si>
  <si>
    <t>Other&amp; (ACA )</t>
    <phoneticPr fontId="10" type="noConversion"/>
  </si>
  <si>
    <t>Quarterly Sales Rebate (1%) to SEA/HK/China/Korea</t>
    <phoneticPr fontId="10" type="noConversion"/>
  </si>
  <si>
    <t>Inventory-instant</t>
    <phoneticPr fontId="10" type="noConversion"/>
  </si>
  <si>
    <t>Inventory turnover days</t>
    <phoneticPr fontId="10" type="noConversion"/>
  </si>
  <si>
    <t>AR+NR amount</t>
    <phoneticPr fontId="10" type="noConversion"/>
  </si>
  <si>
    <t>Company ：Testing</t>
    <phoneticPr fontId="10" type="noConversion"/>
  </si>
  <si>
    <t>PRODUCT-  Y2009</t>
    <phoneticPr fontId="10" type="noConversion"/>
  </si>
  <si>
    <t>Book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</si>
</sst>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_);[Red]\(#,##0\)"/>
    <numFmt numFmtId="178" formatCode="\(&quot;$&quot;#,##0_);&quot;$&quot;\(#,##0\);&quot;$&quot;&quot;-       &quot;;\(@_)"/>
    <numFmt numFmtId="179" formatCode="_(* #,##0_);_(* \(#,##0\);_(* &quot;-      &quot;_);_(@_)"/>
    <numFmt numFmtId="180" formatCode="&quot;$&quot;#,##0_);[Red]&quot;$&quot;\(#,##0\)"/>
    <numFmt numFmtId="181" formatCode="&quot;$&quot;#,##0.00_);[Red]&quot;$&quot;\(#,##0.00\)"/>
    <numFmt numFmtId="182" formatCode="_(&quot;$&quot;#,##0_);_(&quot;$&quot;\(#,##0\);_(&quot;$&quot;&quot;-     &quot;_);_(@_)"/>
    <numFmt numFmtId="183" formatCode="_(&quot;$&quot;#,##0.00_);_(&quot;$&quot;\(#,##0.00\);_(&quot;$&quot;&quot;-     &quot;_);_(@_)"/>
    <numFmt numFmtId="184" formatCode="_(* #,##0.00_);_(* \(#,##0.00\);_(* &quot;-      &quot;??_);_(@_)"/>
    <numFmt numFmtId="185" formatCode="0.00_)"/>
  </numFmts>
  <fonts count="27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0"/>
      <name val="Helv"/>
      <family val="2"/>
    </font>
    <font>
      <sz val="12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10"/>
      <name val="Book Antiqua"/>
      <family val="1"/>
    </font>
    <font>
      <sz val="10"/>
      <name val="Arial"/>
      <family val="2"/>
    </font>
    <font>
      <sz val="12"/>
      <name val="標楷體"/>
      <family val="4"/>
      <charset val="136"/>
    </font>
    <font>
      <sz val="11"/>
      <name val="Tahoma"/>
      <family val="2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u/>
      <sz val="12"/>
      <color indexed="10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b/>
      <sz val="14"/>
      <color indexed="18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u/>
      <sz val="14"/>
      <color indexed="18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Times New Roman"/>
      <family val="1"/>
    </font>
    <font>
      <b/>
      <sz val="12"/>
      <color indexed="55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sz val="12"/>
      <color indexed="61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0" fillId="0" borderId="0">
      <alignment vertical="center"/>
    </xf>
    <xf numFmtId="0" fontId="2" fillId="0" borderId="0"/>
    <xf numFmtId="178" fontId="3" fillId="0" borderId="0"/>
    <xf numFmtId="182" fontId="3" fillId="0" borderId="0" applyFill="0" applyProtection="0"/>
    <xf numFmtId="183" fontId="3" fillId="0" borderId="0"/>
    <xf numFmtId="180" fontId="3" fillId="0" borderId="0"/>
    <xf numFmtId="181" fontId="3" fillId="0" borderId="0"/>
    <xf numFmtId="0" fontId="3" fillId="0" borderId="0" applyFill="0" applyProtection="0"/>
    <xf numFmtId="0" fontId="3" fillId="0" borderId="0"/>
    <xf numFmtId="179" fontId="3" fillId="0" borderId="0"/>
    <xf numFmtId="184" fontId="3" fillId="0" borderId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85" fontId="5" fillId="0" borderId="0"/>
    <xf numFmtId="0" fontId="6" fillId="0" borderId="0"/>
    <xf numFmtId="10" fontId="7" fillId="0" borderId="0" applyFont="0" applyFill="0" applyBorder="0" applyAlignment="0" applyProtection="0"/>
    <xf numFmtId="182" fontId="3" fillId="0" borderId="2" applyFill="0" applyProtection="0"/>
    <xf numFmtId="183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 applyFill="0" applyAlignment="0" applyProtection="0"/>
    <xf numFmtId="9" fontId="1" fillId="0" borderId="0" applyFont="0" applyFill="0" applyBorder="0" applyAlignment="0" applyProtection="0">
      <alignment vertical="center"/>
    </xf>
    <xf numFmtId="0" fontId="9" fillId="0" borderId="0"/>
  </cellStyleXfs>
  <cellXfs count="252">
    <xf numFmtId="0" fontId="0" fillId="0" borderId="0" xfId="0">
      <alignment vertical="center"/>
    </xf>
    <xf numFmtId="176" fontId="11" fillId="0" borderId="0" xfId="19" applyNumberFormat="1" applyFont="1" applyBorder="1" applyAlignment="1">
      <alignment vertical="center"/>
    </xf>
    <xf numFmtId="176" fontId="1" fillId="0" borderId="0" xfId="19" applyNumberFormat="1" applyFont="1" applyBorder="1" applyAlignment="1">
      <alignment vertical="center"/>
    </xf>
    <xf numFmtId="176" fontId="1" fillId="0" borderId="0" xfId="19" applyNumberFormat="1" applyFont="1" applyBorder="1"/>
    <xf numFmtId="176" fontId="1" fillId="0" borderId="0" xfId="19" applyNumberFormat="1" applyFont="1" applyBorder="1" applyAlignment="1">
      <alignment horizontal="center"/>
    </xf>
    <xf numFmtId="176" fontId="11" fillId="0" borderId="0" xfId="19" applyNumberFormat="1" applyFont="1" applyBorder="1"/>
    <xf numFmtId="177" fontId="14" fillId="6" borderId="11" xfId="19" applyNumberFormat="1" applyFont="1" applyFill="1" applyBorder="1" applyAlignment="1">
      <alignment horizontal="center" vertical="center" wrapText="1"/>
    </xf>
    <xf numFmtId="176" fontId="14" fillId="6" borderId="12" xfId="19" applyNumberFormat="1" applyFont="1" applyFill="1" applyBorder="1" applyAlignment="1">
      <alignment horizontal="center" vertical="center" wrapText="1"/>
    </xf>
    <xf numFmtId="176" fontId="11" fillId="0" borderId="0" xfId="19" applyNumberFormat="1" applyFont="1" applyBorder="1" applyAlignment="1">
      <alignment horizontal="center" wrapText="1"/>
    </xf>
    <xf numFmtId="176" fontId="14" fillId="7" borderId="13" xfId="19" applyNumberFormat="1" applyFont="1" applyFill="1" applyBorder="1" applyAlignment="1">
      <alignment horizontal="center" vertical="center" wrapText="1"/>
    </xf>
    <xf numFmtId="176" fontId="14" fillId="0" borderId="14" xfId="19" applyNumberFormat="1" applyFont="1" applyFill="1" applyBorder="1" applyAlignment="1">
      <alignment horizontal="center" vertical="center" wrapText="1"/>
    </xf>
    <xf numFmtId="177" fontId="20" fillId="6" borderId="15" xfId="18" applyNumberFormat="1" applyFont="1" applyFill="1" applyBorder="1" applyAlignment="1">
      <alignment horizontal="center" vertical="center" wrapText="1"/>
    </xf>
    <xf numFmtId="176" fontId="14" fillId="6" borderId="16" xfId="19" applyNumberFormat="1" applyFont="1" applyFill="1" applyBorder="1" applyAlignment="1">
      <alignment horizontal="center" vertical="center" wrapText="1"/>
    </xf>
    <xf numFmtId="177" fontId="20" fillId="12" borderId="17" xfId="18" applyNumberFormat="1" applyFont="1" applyFill="1" applyBorder="1" applyAlignment="1">
      <alignment horizontal="center" vertical="center" wrapText="1"/>
    </xf>
    <xf numFmtId="176" fontId="14" fillId="12" borderId="16" xfId="19" applyNumberFormat="1" applyFont="1" applyFill="1" applyBorder="1" applyAlignment="1">
      <alignment horizontal="center" vertical="center" wrapText="1"/>
    </xf>
    <xf numFmtId="176" fontId="1" fillId="0" borderId="0" xfId="19" applyNumberFormat="1" applyFont="1" applyBorder="1" applyAlignment="1">
      <alignment horizontal="center" wrapText="1"/>
    </xf>
    <xf numFmtId="176" fontId="11" fillId="0" borderId="0" xfId="19" applyNumberFormat="1" applyFont="1" applyBorder="1" applyAlignment="1">
      <alignment horizontal="center" vertical="center" wrapText="1"/>
    </xf>
    <xf numFmtId="176" fontId="11" fillId="12" borderId="22" xfId="19" applyNumberFormat="1" applyFont="1" applyFill="1" applyBorder="1" applyAlignment="1">
      <alignment horizontal="center" vertical="center" wrapText="1"/>
    </xf>
    <xf numFmtId="176" fontId="1" fillId="0" borderId="0" xfId="19" applyNumberFormat="1" applyFont="1" applyBorder="1" applyAlignment="1">
      <alignment horizontal="center" vertical="center" wrapText="1"/>
    </xf>
    <xf numFmtId="176" fontId="3" fillId="0" borderId="0" xfId="19" applyNumberFormat="1" applyFont="1" applyBorder="1" applyAlignment="1">
      <alignment horizontal="center" vertical="center" wrapText="1"/>
    </xf>
    <xf numFmtId="177" fontId="11" fillId="6" borderId="23" xfId="19" applyNumberFormat="1" applyFont="1" applyFill="1" applyBorder="1" applyAlignment="1">
      <alignment horizontal="right" vertical="center" wrapText="1"/>
    </xf>
    <xf numFmtId="10" fontId="11" fillId="6" borderId="24" xfId="23" applyNumberFormat="1" applyFont="1" applyFill="1" applyBorder="1" applyAlignment="1">
      <alignment horizontal="right" vertical="center" wrapText="1"/>
    </xf>
    <xf numFmtId="177" fontId="11" fillId="7" borderId="14" xfId="19" applyNumberFormat="1" applyFont="1" applyFill="1" applyBorder="1" applyAlignment="1">
      <alignment horizontal="center"/>
    </xf>
    <xf numFmtId="177" fontId="11" fillId="0" borderId="14" xfId="19" applyNumberFormat="1" applyFont="1" applyFill="1" applyBorder="1" applyAlignment="1">
      <alignment horizontal="center"/>
    </xf>
    <xf numFmtId="177" fontId="11" fillId="6" borderId="20" xfId="19" applyNumberFormat="1" applyFont="1" applyFill="1" applyBorder="1" applyAlignment="1">
      <alignment horizontal="center"/>
    </xf>
    <xf numFmtId="10" fontId="11" fillId="6" borderId="21" xfId="23" applyNumberFormat="1" applyFont="1" applyFill="1" applyBorder="1" applyAlignment="1">
      <alignment vertical="center"/>
    </xf>
    <xf numFmtId="177" fontId="11" fillId="12" borderId="22" xfId="19" applyNumberFormat="1" applyFont="1" applyFill="1" applyBorder="1" applyAlignment="1">
      <alignment horizontal="center"/>
    </xf>
    <xf numFmtId="10" fontId="11" fillId="12" borderId="21" xfId="23" applyNumberFormat="1" applyFont="1" applyFill="1" applyBorder="1" applyAlignment="1">
      <alignment vertical="center"/>
    </xf>
    <xf numFmtId="177" fontId="11" fillId="4" borderId="23" xfId="19" applyNumberFormat="1" applyFont="1" applyFill="1" applyBorder="1" applyAlignment="1">
      <alignment vertical="center"/>
    </xf>
    <xf numFmtId="10" fontId="11" fillId="4" borderId="24" xfId="23" applyNumberFormat="1" applyFont="1" applyFill="1" applyBorder="1" applyAlignment="1">
      <alignment horizontal="center" vertical="center" wrapText="1"/>
    </xf>
    <xf numFmtId="177" fontId="11" fillId="7" borderId="25" xfId="19" applyNumberFormat="1" applyFont="1" applyFill="1" applyBorder="1" applyAlignment="1">
      <alignment horizontal="center"/>
    </xf>
    <xf numFmtId="177" fontId="11" fillId="6" borderId="26" xfId="19" applyNumberFormat="1" applyFont="1" applyFill="1" applyBorder="1" applyAlignment="1">
      <alignment horizontal="center"/>
    </xf>
    <xf numFmtId="10" fontId="11" fillId="6" borderId="27" xfId="23" applyNumberFormat="1" applyFont="1" applyFill="1" applyBorder="1" applyAlignment="1">
      <alignment vertical="center"/>
    </xf>
    <xf numFmtId="177" fontId="11" fillId="12" borderId="28" xfId="19" applyNumberFormat="1" applyFont="1" applyFill="1" applyBorder="1" applyAlignment="1">
      <alignment horizontal="center"/>
    </xf>
    <xf numFmtId="10" fontId="11" fillId="12" borderId="27" xfId="23" applyNumberFormat="1" applyFont="1" applyFill="1" applyBorder="1" applyAlignment="1">
      <alignment vertical="center"/>
    </xf>
    <xf numFmtId="176" fontId="22" fillId="0" borderId="0" xfId="19" applyNumberFormat="1" applyFont="1" applyBorder="1" applyAlignment="1">
      <alignment vertical="center"/>
    </xf>
    <xf numFmtId="0" fontId="13" fillId="7" borderId="29" xfId="18" applyNumberFormat="1" applyFont="1" applyFill="1" applyBorder="1" applyAlignment="1">
      <alignment horizontal="left" indent="2"/>
    </xf>
    <xf numFmtId="177" fontId="11" fillId="0" borderId="0" xfId="20" applyNumberFormat="1" applyFont="1" applyFill="1" applyBorder="1"/>
    <xf numFmtId="177" fontId="11" fillId="6" borderId="18" xfId="19" applyNumberFormat="1" applyFont="1" applyFill="1" applyBorder="1" applyAlignment="1">
      <alignment vertical="center"/>
    </xf>
    <xf numFmtId="10" fontId="11" fillId="6" borderId="19" xfId="23" applyNumberFormat="1" applyFont="1" applyFill="1" applyBorder="1" applyAlignment="1">
      <alignment horizontal="center" vertical="center" wrapText="1"/>
    </xf>
    <xf numFmtId="177" fontId="11" fillId="6" borderId="20" xfId="19" applyNumberFormat="1" applyFont="1" applyFill="1" applyBorder="1" applyAlignment="1">
      <alignment horizontal="center" vertical="center" wrapText="1"/>
    </xf>
    <xf numFmtId="177" fontId="11" fillId="12" borderId="22" xfId="19" applyNumberFormat="1" applyFont="1" applyFill="1" applyBorder="1" applyAlignment="1">
      <alignment horizontal="center" vertical="center" wrapText="1"/>
    </xf>
    <xf numFmtId="176" fontId="3" fillId="0" borderId="0" xfId="19" applyNumberFormat="1" applyFont="1" applyBorder="1" applyAlignment="1">
      <alignment vertical="center"/>
    </xf>
    <xf numFmtId="0" fontId="13" fillId="7" borderId="30" xfId="18" applyNumberFormat="1" applyFont="1" applyFill="1" applyBorder="1" applyAlignment="1">
      <alignment horizontal="left" indent="2"/>
    </xf>
    <xf numFmtId="176" fontId="11" fillId="0" borderId="0" xfId="20" applyNumberFormat="1" applyFont="1" applyFill="1" applyBorder="1" applyAlignment="1">
      <alignment horizontal="right"/>
    </xf>
    <xf numFmtId="176" fontId="11" fillId="6" borderId="18" xfId="19" applyNumberFormat="1" applyFont="1" applyFill="1" applyBorder="1" applyAlignment="1">
      <alignment horizontal="right"/>
    </xf>
    <xf numFmtId="10" fontId="15" fillId="12" borderId="21" xfId="23" applyNumberFormat="1" applyFont="1" applyFill="1" applyBorder="1" applyAlignment="1">
      <alignment vertical="center"/>
    </xf>
    <xf numFmtId="176" fontId="1" fillId="0" borderId="0" xfId="20" applyNumberFormat="1" applyFont="1" applyFill="1" applyBorder="1" applyAlignment="1">
      <alignment horizontal="right"/>
    </xf>
    <xf numFmtId="176" fontId="11" fillId="9" borderId="23" xfId="19" applyNumberFormat="1" applyFont="1" applyFill="1" applyBorder="1" applyAlignment="1">
      <alignment horizontal="right"/>
    </xf>
    <xf numFmtId="10" fontId="11" fillId="9" borderId="24" xfId="23" applyNumberFormat="1" applyFont="1" applyFill="1" applyBorder="1" applyAlignment="1">
      <alignment horizontal="center" vertical="center" wrapText="1"/>
    </xf>
    <xf numFmtId="176" fontId="11" fillId="0" borderId="0" xfId="20" applyNumberFormat="1" applyFont="1" applyFill="1" applyBorder="1"/>
    <xf numFmtId="176" fontId="11" fillId="6" borderId="18" xfId="19" applyNumberFormat="1" applyFont="1" applyFill="1" applyBorder="1" applyAlignment="1">
      <alignment vertical="center"/>
    </xf>
    <xf numFmtId="176" fontId="1" fillId="0" borderId="0" xfId="20" applyNumberFormat="1" applyFont="1" applyFill="1" applyBorder="1"/>
    <xf numFmtId="177" fontId="11" fillId="6" borderId="26" xfId="19" applyNumberFormat="1" applyFont="1" applyFill="1" applyBorder="1" applyAlignment="1">
      <alignment horizontal="center" vertical="center" wrapText="1"/>
    </xf>
    <xf numFmtId="177" fontId="11" fillId="12" borderId="28" xfId="19" applyNumberFormat="1" applyFont="1" applyFill="1" applyBorder="1" applyAlignment="1">
      <alignment horizontal="center" vertical="center" wrapText="1"/>
    </xf>
    <xf numFmtId="177" fontId="11" fillId="9" borderId="23" xfId="19" applyNumberFormat="1" applyFont="1" applyFill="1" applyBorder="1" applyAlignment="1">
      <alignment vertical="center"/>
    </xf>
    <xf numFmtId="177" fontId="11" fillId="11" borderId="33" xfId="19" applyNumberFormat="1" applyFont="1" applyFill="1" applyBorder="1" applyAlignment="1">
      <alignment vertical="center"/>
    </xf>
    <xf numFmtId="10" fontId="11" fillId="11" borderId="34" xfId="23" applyNumberFormat="1" applyFont="1" applyFill="1" applyBorder="1" applyAlignment="1">
      <alignment horizontal="center" vertical="center" wrapText="1"/>
    </xf>
    <xf numFmtId="176" fontId="11" fillId="11" borderId="0" xfId="19" applyNumberFormat="1" applyFont="1" applyFill="1" applyBorder="1" applyAlignment="1">
      <alignment vertical="center"/>
    </xf>
    <xf numFmtId="177" fontId="11" fillId="11" borderId="35" xfId="19" applyNumberFormat="1" applyFont="1" applyFill="1" applyBorder="1" applyAlignment="1">
      <alignment horizontal="center"/>
    </xf>
    <xf numFmtId="177" fontId="11" fillId="11" borderId="14" xfId="19" applyNumberFormat="1" applyFont="1" applyFill="1" applyBorder="1" applyAlignment="1">
      <alignment horizontal="center"/>
    </xf>
    <xf numFmtId="177" fontId="11" fillId="11" borderId="36" xfId="19" applyNumberFormat="1" applyFont="1" applyFill="1" applyBorder="1" applyAlignment="1">
      <alignment horizontal="center"/>
    </xf>
    <xf numFmtId="10" fontId="11" fillId="11" borderId="37" xfId="23" applyNumberFormat="1" applyFont="1" applyFill="1" applyBorder="1" applyAlignment="1">
      <alignment vertical="center"/>
    </xf>
    <xf numFmtId="177" fontId="11" fillId="11" borderId="38" xfId="19" applyNumberFormat="1" applyFont="1" applyFill="1" applyBorder="1" applyAlignment="1">
      <alignment horizontal="center"/>
    </xf>
    <xf numFmtId="177" fontId="11" fillId="9" borderId="39" xfId="19" applyNumberFormat="1" applyFont="1" applyFill="1" applyBorder="1" applyAlignment="1">
      <alignment horizontal="right" vertical="center"/>
    </xf>
    <xf numFmtId="10" fontId="11" fillId="0" borderId="19" xfId="23" applyNumberFormat="1" applyFont="1" applyFill="1" applyBorder="1" applyAlignment="1">
      <alignment horizontal="center" vertical="center" wrapText="1"/>
    </xf>
    <xf numFmtId="176" fontId="11" fillId="0" borderId="0" xfId="19" applyNumberFormat="1" applyFont="1" applyFill="1" applyBorder="1" applyAlignment="1">
      <alignment vertical="center"/>
    </xf>
    <xf numFmtId="176" fontId="11" fillId="0" borderId="21" xfId="19" applyNumberFormat="1" applyFont="1" applyFill="1" applyBorder="1"/>
    <xf numFmtId="176" fontId="1" fillId="0" borderId="0" xfId="19" applyNumberFormat="1" applyFont="1" applyFill="1" applyBorder="1" applyAlignment="1">
      <alignment vertical="center"/>
    </xf>
    <xf numFmtId="176" fontId="3" fillId="0" borderId="0" xfId="19" applyNumberFormat="1" applyFont="1" applyFill="1" applyBorder="1" applyAlignment="1">
      <alignment vertical="center"/>
    </xf>
    <xf numFmtId="10" fontId="11" fillId="0" borderId="40" xfId="23" applyNumberFormat="1" applyFont="1" applyFill="1" applyBorder="1" applyAlignment="1">
      <alignment horizontal="right"/>
    </xf>
    <xf numFmtId="10" fontId="11" fillId="4" borderId="40" xfId="23" applyNumberFormat="1" applyFont="1" applyFill="1" applyBorder="1" applyAlignment="1">
      <alignment horizontal="right"/>
    </xf>
    <xf numFmtId="10" fontId="11" fillId="5" borderId="40" xfId="23" applyNumberFormat="1" applyFont="1" applyFill="1" applyBorder="1" applyAlignment="1">
      <alignment horizontal="right"/>
    </xf>
    <xf numFmtId="10" fontId="11" fillId="8" borderId="40" xfId="23" applyNumberFormat="1" applyFont="1" applyFill="1" applyBorder="1" applyAlignment="1">
      <alignment horizontal="right"/>
    </xf>
    <xf numFmtId="10" fontId="11" fillId="9" borderId="40" xfId="23" applyNumberFormat="1" applyFont="1" applyFill="1" applyBorder="1" applyAlignment="1">
      <alignment horizontal="right"/>
    </xf>
    <xf numFmtId="10" fontId="11" fillId="4" borderId="33" xfId="23" applyNumberFormat="1" applyFont="1" applyFill="1" applyBorder="1" applyAlignment="1"/>
    <xf numFmtId="10" fontId="11" fillId="4" borderId="34" xfId="23" applyNumberFormat="1" applyFont="1" applyFill="1" applyBorder="1" applyAlignment="1">
      <alignment horizontal="center" vertical="center" wrapText="1"/>
    </xf>
    <xf numFmtId="10" fontId="11" fillId="7" borderId="35" xfId="23" applyNumberFormat="1" applyFont="1" applyFill="1" applyBorder="1" applyAlignment="1">
      <alignment horizontal="center"/>
    </xf>
    <xf numFmtId="10" fontId="11" fillId="0" borderId="14" xfId="23" applyNumberFormat="1" applyFont="1" applyFill="1" applyBorder="1" applyAlignment="1">
      <alignment horizontal="center"/>
    </xf>
    <xf numFmtId="10" fontId="11" fillId="6" borderId="36" xfId="23" applyNumberFormat="1" applyFont="1" applyFill="1" applyBorder="1" applyAlignment="1">
      <alignment horizontal="center"/>
    </xf>
    <xf numFmtId="10" fontId="11" fillId="6" borderId="37" xfId="23" applyNumberFormat="1" applyFont="1" applyFill="1" applyBorder="1" applyAlignment="1">
      <alignment vertical="center"/>
    </xf>
    <xf numFmtId="10" fontId="11" fillId="12" borderId="38" xfId="23" applyNumberFormat="1" applyFont="1" applyFill="1" applyBorder="1" applyAlignment="1"/>
    <xf numFmtId="10" fontId="15" fillId="12" borderId="37" xfId="23" applyNumberFormat="1" applyFont="1" applyFill="1" applyBorder="1" applyAlignment="1">
      <alignment vertical="center"/>
    </xf>
    <xf numFmtId="10" fontId="15" fillId="12" borderId="27" xfId="23" applyNumberFormat="1" applyFont="1" applyFill="1" applyBorder="1" applyAlignment="1">
      <alignment vertical="center"/>
    </xf>
    <xf numFmtId="176" fontId="11" fillId="0" borderId="14" xfId="19" applyNumberFormat="1" applyFont="1" applyFill="1" applyBorder="1"/>
    <xf numFmtId="176" fontId="11" fillId="7" borderId="14" xfId="19" applyNumberFormat="1" applyFont="1" applyFill="1" applyBorder="1"/>
    <xf numFmtId="177" fontId="11" fillId="7" borderId="14" xfId="19" applyNumberFormat="1" applyFont="1" applyFill="1" applyBorder="1"/>
    <xf numFmtId="177" fontId="11" fillId="0" borderId="14" xfId="19" applyNumberFormat="1" applyFont="1" applyFill="1" applyBorder="1"/>
    <xf numFmtId="10" fontId="15" fillId="6" borderId="21" xfId="23" applyNumberFormat="1" applyFont="1" applyFill="1" applyBorder="1" applyAlignment="1">
      <alignment vertical="center"/>
    </xf>
    <xf numFmtId="176" fontId="11" fillId="6" borderId="23" xfId="19" applyNumberFormat="1" applyFont="1" applyFill="1" applyBorder="1" applyAlignment="1">
      <alignment horizontal="right" vertical="center"/>
    </xf>
    <xf numFmtId="177" fontId="11" fillId="7" borderId="25" xfId="19" applyNumberFormat="1" applyFont="1" applyFill="1" applyBorder="1"/>
    <xf numFmtId="10" fontId="15" fillId="6" borderId="27" xfId="23" applyNumberFormat="1" applyFont="1" applyFill="1" applyBorder="1" applyAlignment="1">
      <alignment vertical="center"/>
    </xf>
    <xf numFmtId="177" fontId="11" fillId="12" borderId="28" xfId="19" applyNumberFormat="1" applyFont="1" applyFill="1" applyBorder="1"/>
    <xf numFmtId="177" fontId="11" fillId="7" borderId="23" xfId="19" applyNumberFormat="1" applyFont="1" applyFill="1" applyBorder="1" applyAlignment="1">
      <alignment vertical="center"/>
    </xf>
    <xf numFmtId="10" fontId="11" fillId="7" borderId="24" xfId="23" applyNumberFormat="1" applyFont="1" applyFill="1" applyBorder="1" applyAlignment="1">
      <alignment horizontal="center" vertical="center" wrapText="1"/>
    </xf>
    <xf numFmtId="177" fontId="11" fillId="10" borderId="18" xfId="19" applyNumberFormat="1" applyFont="1" applyFill="1" applyBorder="1" applyAlignment="1">
      <alignment vertical="center"/>
    </xf>
    <xf numFmtId="10" fontId="11" fillId="10" borderId="19" xfId="23" applyNumberFormat="1" applyFont="1" applyFill="1" applyBorder="1" applyAlignment="1">
      <alignment horizontal="center" vertical="center" wrapText="1"/>
    </xf>
    <xf numFmtId="177" fontId="11" fillId="7" borderId="14" xfId="19" applyNumberFormat="1" applyFont="1" applyFill="1" applyBorder="1" applyAlignment="1">
      <alignment vertical="center"/>
    </xf>
    <xf numFmtId="177" fontId="11" fillId="0" borderId="14" xfId="19" applyNumberFormat="1" applyFont="1" applyFill="1" applyBorder="1" applyAlignment="1">
      <alignment vertical="center"/>
    </xf>
    <xf numFmtId="176" fontId="11" fillId="0" borderId="18" xfId="19" applyNumberFormat="1" applyFont="1" applyFill="1" applyBorder="1" applyAlignment="1">
      <alignment vertical="center"/>
    </xf>
    <xf numFmtId="177" fontId="11" fillId="0" borderId="20" xfId="19" applyNumberFormat="1" applyFont="1" applyFill="1" applyBorder="1" applyAlignment="1">
      <alignment horizontal="center"/>
    </xf>
    <xf numFmtId="177" fontId="11" fillId="0" borderId="22" xfId="19" applyNumberFormat="1" applyFont="1" applyFill="1" applyBorder="1"/>
    <xf numFmtId="176" fontId="11" fillId="10" borderId="23" xfId="19" applyNumberFormat="1" applyFont="1" applyFill="1" applyBorder="1" applyAlignment="1">
      <alignment vertical="center"/>
    </xf>
    <xf numFmtId="10" fontId="11" fillId="10" borderId="24" xfId="23" applyNumberFormat="1" applyFont="1" applyFill="1" applyBorder="1" applyAlignment="1">
      <alignment horizontal="center" vertical="center" wrapText="1"/>
    </xf>
    <xf numFmtId="176" fontId="11" fillId="10" borderId="18" xfId="19" applyNumberFormat="1" applyFont="1" applyFill="1" applyBorder="1" applyAlignment="1">
      <alignment vertical="center"/>
    </xf>
    <xf numFmtId="10" fontId="11" fillId="10" borderId="19" xfId="19" applyNumberFormat="1" applyFont="1" applyFill="1" applyBorder="1" applyAlignment="1">
      <alignment vertical="center"/>
    </xf>
    <xf numFmtId="177" fontId="11" fillId="7" borderId="42" xfId="19" applyNumberFormat="1" applyFont="1" applyFill="1" applyBorder="1"/>
    <xf numFmtId="177" fontId="11" fillId="6" borderId="43" xfId="19" applyNumberFormat="1" applyFont="1" applyFill="1" applyBorder="1" applyAlignment="1">
      <alignment horizontal="center" vertical="center" wrapText="1"/>
    </xf>
    <xf numFmtId="10" fontId="11" fillId="6" borderId="44" xfId="23" applyNumberFormat="1" applyFont="1" applyFill="1" applyBorder="1" applyAlignment="1">
      <alignment vertical="center"/>
    </xf>
    <xf numFmtId="177" fontId="11" fillId="12" borderId="45" xfId="19" applyNumberFormat="1" applyFont="1" applyFill="1" applyBorder="1" applyAlignment="1">
      <alignment horizontal="center" vertical="center" wrapText="1"/>
    </xf>
    <xf numFmtId="10" fontId="11" fillId="12" borderId="44" xfId="23" applyNumberFormat="1" applyFont="1" applyFill="1" applyBorder="1" applyAlignment="1">
      <alignment vertical="center"/>
    </xf>
    <xf numFmtId="176" fontId="11" fillId="10" borderId="46" xfId="19" applyNumberFormat="1" applyFont="1" applyFill="1" applyBorder="1" applyAlignment="1">
      <alignment vertical="center"/>
    </xf>
    <xf numFmtId="10" fontId="11" fillId="10" borderId="47" xfId="19" applyNumberFormat="1" applyFont="1" applyFill="1" applyBorder="1" applyAlignment="1">
      <alignment vertical="center"/>
    </xf>
    <xf numFmtId="176" fontId="11" fillId="10" borderId="33" xfId="19" applyNumberFormat="1" applyFont="1" applyFill="1" applyBorder="1" applyAlignment="1">
      <alignment vertical="center"/>
    </xf>
    <xf numFmtId="10" fontId="11" fillId="10" borderId="34" xfId="19" applyNumberFormat="1" applyFont="1" applyFill="1" applyBorder="1" applyAlignment="1">
      <alignment vertical="center"/>
    </xf>
    <xf numFmtId="176" fontId="11" fillId="7" borderId="35" xfId="19" applyNumberFormat="1" applyFont="1" applyFill="1" applyBorder="1"/>
    <xf numFmtId="177" fontId="11" fillId="6" borderId="36" xfId="19" applyNumberFormat="1" applyFont="1" applyFill="1" applyBorder="1" applyAlignment="1">
      <alignment horizontal="center" vertical="center" wrapText="1"/>
    </xf>
    <xf numFmtId="10" fontId="15" fillId="6" borderId="37" xfId="23" applyNumberFormat="1" applyFont="1" applyFill="1" applyBorder="1" applyAlignment="1">
      <alignment vertical="center"/>
    </xf>
    <xf numFmtId="176" fontId="11" fillId="12" borderId="38" xfId="19" applyNumberFormat="1" applyFont="1" applyFill="1" applyBorder="1" applyAlignment="1">
      <alignment horizontal="center" vertical="center" wrapText="1"/>
    </xf>
    <xf numFmtId="177" fontId="11" fillId="0" borderId="48" xfId="20" applyNumberFormat="1" applyFont="1" applyFill="1" applyBorder="1"/>
    <xf numFmtId="176" fontId="11" fillId="12" borderId="18" xfId="19" applyNumberFormat="1" applyFont="1" applyFill="1" applyBorder="1" applyAlignment="1">
      <alignment vertical="center"/>
    </xf>
    <xf numFmtId="10" fontId="11" fillId="12" borderId="19" xfId="19" applyNumberFormat="1" applyFont="1" applyFill="1" applyBorder="1" applyAlignment="1">
      <alignment vertical="center"/>
    </xf>
    <xf numFmtId="176" fontId="11" fillId="0" borderId="0" xfId="19" applyNumberFormat="1" applyFont="1" applyBorder="1" applyAlignment="1">
      <alignment horizontal="center"/>
    </xf>
    <xf numFmtId="176" fontId="13" fillId="5" borderId="49" xfId="19" applyNumberFormat="1" applyFont="1" applyFill="1" applyBorder="1" applyAlignment="1">
      <alignment horizontal="right"/>
    </xf>
    <xf numFmtId="176" fontId="11" fillId="5" borderId="50" xfId="19" applyNumberFormat="1" applyFont="1" applyFill="1" applyBorder="1" applyAlignment="1">
      <alignment horizontal="right"/>
    </xf>
    <xf numFmtId="177" fontId="11" fillId="5" borderId="51" xfId="19" applyNumberFormat="1" applyFont="1" applyFill="1" applyBorder="1" applyAlignment="1">
      <alignment horizontal="center"/>
    </xf>
    <xf numFmtId="0" fontId="24" fillId="0" borderId="0" xfId="19" applyFont="1"/>
    <xf numFmtId="0" fontId="24" fillId="0" borderId="0" xfId="19" applyFont="1" applyAlignment="1">
      <alignment horizontal="center"/>
    </xf>
    <xf numFmtId="0" fontId="25" fillId="0" borderId="0" xfId="19" applyFont="1"/>
    <xf numFmtId="176" fontId="14" fillId="0" borderId="0" xfId="21" applyNumberFormat="1" applyFont="1" applyBorder="1"/>
    <xf numFmtId="177" fontId="11" fillId="0" borderId="0" xfId="21" applyNumberFormat="1" applyFont="1" applyBorder="1" applyAlignment="1">
      <alignment horizontal="right"/>
    </xf>
    <xf numFmtId="177" fontId="11" fillId="0" borderId="0" xfId="21" applyNumberFormat="1" applyFont="1" applyFill="1" applyBorder="1" applyAlignment="1">
      <alignment horizontal="right"/>
    </xf>
    <xf numFmtId="177" fontId="11" fillId="5" borderId="0" xfId="21" applyNumberFormat="1" applyFont="1" applyFill="1" applyBorder="1"/>
    <xf numFmtId="177" fontId="11" fillId="4" borderId="0" xfId="21" applyNumberFormat="1" applyFont="1" applyFill="1" applyBorder="1"/>
    <xf numFmtId="177" fontId="11" fillId="8" borderId="0" xfId="21" applyNumberFormat="1" applyFont="1" applyFill="1" applyBorder="1"/>
    <xf numFmtId="176" fontId="11" fillId="9" borderId="0" xfId="21" applyNumberFormat="1" applyFont="1" applyFill="1" applyBorder="1"/>
    <xf numFmtId="176" fontId="11" fillId="6" borderId="0" xfId="21" applyNumberFormat="1" applyFont="1" applyFill="1" applyBorder="1"/>
    <xf numFmtId="176" fontId="11" fillId="0" borderId="0" xfId="21" applyNumberFormat="1" applyFont="1" applyBorder="1"/>
    <xf numFmtId="176" fontId="11" fillId="5" borderId="0" xfId="21" applyNumberFormat="1" applyFont="1" applyFill="1" applyBorder="1"/>
    <xf numFmtId="176" fontId="11" fillId="4" borderId="0" xfId="21" applyNumberFormat="1" applyFont="1" applyFill="1" applyBorder="1"/>
    <xf numFmtId="176" fontId="11" fillId="8" borderId="0" xfId="21" applyNumberFormat="1" applyFont="1" applyFill="1" applyBorder="1"/>
    <xf numFmtId="176" fontId="12" fillId="0" borderId="2" xfId="21" applyNumberFormat="1" applyFont="1" applyFill="1" applyBorder="1" applyAlignment="1">
      <alignment horizontal="center" vertical="center" wrapText="1"/>
    </xf>
    <xf numFmtId="177" fontId="11" fillId="0" borderId="2" xfId="21" applyNumberFormat="1" applyFont="1" applyFill="1" applyBorder="1" applyAlignment="1">
      <alignment horizontal="center" vertical="center" wrapText="1"/>
    </xf>
    <xf numFmtId="177" fontId="11" fillId="5" borderId="2" xfId="21" applyNumberFormat="1" applyFont="1" applyFill="1" applyBorder="1" applyAlignment="1">
      <alignment horizontal="center" vertical="center" wrapText="1"/>
    </xf>
    <xf numFmtId="177" fontId="11" fillId="4" borderId="2" xfId="21" applyNumberFormat="1" applyFont="1" applyFill="1" applyBorder="1" applyAlignment="1">
      <alignment horizontal="center" vertical="center" wrapText="1"/>
    </xf>
    <xf numFmtId="177" fontId="11" fillId="8" borderId="2" xfId="21" applyNumberFormat="1" applyFont="1" applyFill="1" applyBorder="1" applyAlignment="1">
      <alignment horizontal="center" vertical="center" wrapText="1"/>
    </xf>
    <xf numFmtId="177" fontId="11" fillId="9" borderId="2" xfId="21" applyNumberFormat="1" applyFont="1" applyFill="1" applyBorder="1" applyAlignment="1">
      <alignment horizontal="center" vertical="center" wrapText="1"/>
    </xf>
    <xf numFmtId="176" fontId="11" fillId="6" borderId="2" xfId="21" applyNumberFormat="1" applyFont="1" applyFill="1" applyBorder="1" applyAlignment="1">
      <alignment horizontal="center" vertical="center" wrapText="1"/>
    </xf>
    <xf numFmtId="176" fontId="11" fillId="0" borderId="0" xfId="21" applyNumberFormat="1" applyFont="1" applyBorder="1" applyAlignment="1">
      <alignment horizontal="center" vertical="center" wrapText="1"/>
    </xf>
    <xf numFmtId="176" fontId="21" fillId="6" borderId="4" xfId="21" applyNumberFormat="1" applyFont="1" applyFill="1" applyBorder="1"/>
    <xf numFmtId="177" fontId="11" fillId="0" borderId="4" xfId="21" applyNumberFormat="1" applyFont="1" applyFill="1" applyBorder="1" applyAlignment="1">
      <alignment horizontal="right" vertical="center" wrapText="1"/>
    </xf>
    <xf numFmtId="177" fontId="11" fillId="5" borderId="4" xfId="21" applyNumberFormat="1" applyFont="1" applyFill="1" applyBorder="1" applyAlignment="1">
      <alignment horizontal="right" vertical="center" wrapText="1"/>
    </xf>
    <xf numFmtId="177" fontId="11" fillId="4" borderId="4" xfId="21" applyNumberFormat="1" applyFont="1" applyFill="1" applyBorder="1" applyAlignment="1">
      <alignment horizontal="right" vertical="center" wrapText="1"/>
    </xf>
    <xf numFmtId="177" fontId="11" fillId="8" borderId="4" xfId="21" applyNumberFormat="1" applyFont="1" applyFill="1" applyBorder="1" applyAlignment="1">
      <alignment horizontal="right" vertical="center" wrapText="1"/>
    </xf>
    <xf numFmtId="177" fontId="11" fillId="9" borderId="4" xfId="21" applyNumberFormat="1" applyFont="1" applyFill="1" applyBorder="1" applyAlignment="1">
      <alignment horizontal="right" vertical="center" wrapText="1"/>
    </xf>
    <xf numFmtId="10" fontId="11" fillId="6" borderId="4" xfId="21" applyNumberFormat="1" applyFont="1" applyFill="1" applyBorder="1" applyAlignment="1">
      <alignment horizontal="right"/>
    </xf>
    <xf numFmtId="176" fontId="11" fillId="4" borderId="31" xfId="21" applyNumberFormat="1" applyFont="1" applyFill="1" applyBorder="1"/>
    <xf numFmtId="177" fontId="11" fillId="0" borderId="31" xfId="21" applyNumberFormat="1" applyFont="1" applyFill="1" applyBorder="1" applyAlignment="1">
      <alignment horizontal="right"/>
    </xf>
    <xf numFmtId="177" fontId="11" fillId="5" borderId="31" xfId="21" applyNumberFormat="1" applyFont="1" applyFill="1" applyBorder="1"/>
    <xf numFmtId="177" fontId="11" fillId="4" borderId="31" xfId="21" applyNumberFormat="1" applyFont="1" applyFill="1" applyBorder="1"/>
    <xf numFmtId="177" fontId="11" fillId="8" borderId="31" xfId="21" applyNumberFormat="1" applyFont="1" applyFill="1" applyBorder="1"/>
    <xf numFmtId="177" fontId="11" fillId="9" borderId="31" xfId="21" applyNumberFormat="1" applyFont="1" applyFill="1" applyBorder="1"/>
    <xf numFmtId="10" fontId="11" fillId="6" borderId="31" xfId="21" applyNumberFormat="1" applyFont="1" applyFill="1" applyBorder="1" applyAlignment="1">
      <alignment horizontal="right"/>
    </xf>
    <xf numFmtId="10" fontId="11" fillId="6" borderId="7" xfId="21" applyNumberFormat="1" applyFont="1" applyFill="1" applyBorder="1" applyAlignment="1">
      <alignment horizontal="right"/>
    </xf>
    <xf numFmtId="177" fontId="11" fillId="4" borderId="7" xfId="21" applyNumberFormat="1" applyFont="1" applyFill="1" applyBorder="1"/>
    <xf numFmtId="177" fontId="11" fillId="8" borderId="7" xfId="21" applyNumberFormat="1" applyFont="1" applyFill="1" applyBorder="1"/>
    <xf numFmtId="176" fontId="11" fillId="0" borderId="0" xfId="21" applyNumberFormat="1" applyFont="1" applyFill="1" applyBorder="1"/>
    <xf numFmtId="177" fontId="11" fillId="9" borderId="0" xfId="21" applyNumberFormat="1" applyFont="1" applyFill="1" applyBorder="1"/>
    <xf numFmtId="10" fontId="11" fillId="6" borderId="0" xfId="21" applyNumberFormat="1" applyFont="1" applyFill="1" applyBorder="1" applyAlignment="1">
      <alignment horizontal="right"/>
    </xf>
    <xf numFmtId="177" fontId="11" fillId="5" borderId="0" xfId="21" applyNumberFormat="1" applyFont="1" applyFill="1" applyBorder="1" applyAlignment="1">
      <alignment horizontal="right"/>
    </xf>
    <xf numFmtId="177" fontId="11" fillId="4" borderId="0" xfId="21" applyNumberFormat="1" applyFont="1" applyFill="1" applyBorder="1" applyAlignment="1">
      <alignment horizontal="right"/>
    </xf>
    <xf numFmtId="177" fontId="11" fillId="8" borderId="0" xfId="21" applyNumberFormat="1" applyFont="1" applyFill="1" applyBorder="1" applyAlignment="1">
      <alignment horizontal="right"/>
    </xf>
    <xf numFmtId="177" fontId="11" fillId="9" borderId="0" xfId="21" applyNumberFormat="1" applyFont="1" applyFill="1" applyBorder="1" applyAlignment="1">
      <alignment horizontal="right"/>
    </xf>
    <xf numFmtId="176" fontId="11" fillId="9" borderId="5" xfId="21" applyNumberFormat="1" applyFont="1" applyFill="1" applyBorder="1"/>
    <xf numFmtId="177" fontId="11" fillId="0" borderId="5" xfId="21" applyNumberFormat="1" applyFont="1" applyFill="1" applyBorder="1" applyAlignment="1">
      <alignment horizontal="right"/>
    </xf>
    <xf numFmtId="176" fontId="11" fillId="5" borderId="5" xfId="21" applyNumberFormat="1" applyFont="1" applyFill="1" applyBorder="1" applyAlignment="1">
      <alignment horizontal="right"/>
    </xf>
    <xf numFmtId="176" fontId="11" fillId="4" borderId="5" xfId="21" applyNumberFormat="1" applyFont="1" applyFill="1" applyBorder="1" applyAlignment="1">
      <alignment horizontal="right"/>
    </xf>
    <xf numFmtId="176" fontId="11" fillId="8" borderId="5" xfId="21" applyNumberFormat="1" applyFont="1" applyFill="1" applyBorder="1" applyAlignment="1">
      <alignment horizontal="right"/>
    </xf>
    <xf numFmtId="176" fontId="11" fillId="9" borderId="5" xfId="21" applyNumberFormat="1" applyFont="1" applyFill="1" applyBorder="1" applyAlignment="1">
      <alignment horizontal="right"/>
    </xf>
    <xf numFmtId="10" fontId="11" fillId="6" borderId="5" xfId="21" applyNumberFormat="1" applyFont="1" applyFill="1" applyBorder="1" applyAlignment="1">
      <alignment horizontal="right"/>
    </xf>
    <xf numFmtId="176" fontId="11" fillId="6" borderId="52" xfId="21" applyNumberFormat="1" applyFont="1" applyFill="1" applyBorder="1"/>
    <xf numFmtId="177" fontId="11" fillId="0" borderId="3" xfId="21" applyNumberFormat="1" applyFont="1" applyFill="1" applyBorder="1" applyAlignment="1">
      <alignment horizontal="right" vertical="center" wrapText="1"/>
    </xf>
    <xf numFmtId="177" fontId="11" fillId="5" borderId="3" xfId="21" applyNumberFormat="1" applyFont="1" applyFill="1" applyBorder="1" applyAlignment="1">
      <alignment horizontal="right" vertical="center" wrapText="1"/>
    </xf>
    <xf numFmtId="177" fontId="11" fillId="4" borderId="3" xfId="21" applyNumberFormat="1" applyFont="1" applyFill="1" applyBorder="1" applyAlignment="1">
      <alignment horizontal="right" vertical="center" wrapText="1"/>
    </xf>
    <xf numFmtId="177" fontId="11" fillId="8" borderId="3" xfId="21" applyNumberFormat="1" applyFont="1" applyFill="1" applyBorder="1" applyAlignment="1">
      <alignment horizontal="right" vertical="center" wrapText="1"/>
    </xf>
    <xf numFmtId="177" fontId="11" fillId="9" borderId="3" xfId="21" applyNumberFormat="1" applyFont="1" applyFill="1" applyBorder="1" applyAlignment="1">
      <alignment horizontal="right" vertical="center" wrapText="1"/>
    </xf>
    <xf numFmtId="10" fontId="11" fillId="6" borderId="3" xfId="21" applyNumberFormat="1" applyFont="1" applyFill="1" applyBorder="1" applyAlignment="1">
      <alignment horizontal="right"/>
    </xf>
    <xf numFmtId="176" fontId="13" fillId="4" borderId="7" xfId="21" applyNumberFormat="1" applyFont="1" applyFill="1" applyBorder="1"/>
    <xf numFmtId="177" fontId="11" fillId="0" borderId="7" xfId="21" applyNumberFormat="1" applyFont="1" applyFill="1" applyBorder="1" applyAlignment="1">
      <alignment horizontal="right"/>
    </xf>
    <xf numFmtId="177" fontId="11" fillId="5" borderId="7" xfId="21" applyNumberFormat="1" applyFont="1" applyFill="1" applyBorder="1"/>
    <xf numFmtId="177" fontId="11" fillId="9" borderId="7" xfId="21" applyNumberFormat="1" applyFont="1" applyFill="1" applyBorder="1"/>
    <xf numFmtId="176" fontId="13" fillId="7" borderId="29" xfId="21" applyNumberFormat="1" applyFont="1" applyFill="1" applyBorder="1" applyAlignment="1">
      <alignment horizontal="left" indent="2"/>
    </xf>
    <xf numFmtId="177" fontId="11" fillId="7" borderId="0" xfId="21" applyNumberFormat="1" applyFont="1" applyFill="1" applyBorder="1" applyAlignment="1">
      <alignment horizontal="right"/>
    </xf>
    <xf numFmtId="177" fontId="11" fillId="11" borderId="0" xfId="21" applyNumberFormat="1" applyFont="1" applyFill="1" applyBorder="1" applyAlignment="1">
      <alignment horizontal="right"/>
    </xf>
    <xf numFmtId="176" fontId="13" fillId="7" borderId="30" xfId="21" applyNumberFormat="1" applyFont="1" applyFill="1" applyBorder="1" applyAlignment="1">
      <alignment horizontal="left" indent="2"/>
    </xf>
    <xf numFmtId="176" fontId="13" fillId="7" borderId="0" xfId="21" applyNumberFormat="1" applyFont="1" applyFill="1" applyBorder="1" applyAlignment="1">
      <alignment horizontal="left" indent="2"/>
    </xf>
    <xf numFmtId="10" fontId="11" fillId="6" borderId="8" xfId="21" applyNumberFormat="1" applyFont="1" applyFill="1" applyBorder="1" applyAlignment="1">
      <alignment horizontal="right"/>
    </xf>
    <xf numFmtId="10" fontId="11" fillId="6" borderId="32" xfId="21" applyNumberFormat="1" applyFont="1" applyFill="1" applyBorder="1" applyAlignment="1">
      <alignment horizontal="right"/>
    </xf>
    <xf numFmtId="176" fontId="11" fillId="9" borderId="8" xfId="21" applyNumberFormat="1" applyFont="1" applyFill="1" applyBorder="1"/>
    <xf numFmtId="176" fontId="11" fillId="4" borderId="8" xfId="21" applyNumberFormat="1" applyFont="1" applyFill="1" applyBorder="1"/>
    <xf numFmtId="177" fontId="11" fillId="0" borderId="8" xfId="21" applyNumberFormat="1" applyFont="1" applyFill="1" applyBorder="1" applyAlignment="1">
      <alignment horizontal="right"/>
    </xf>
    <xf numFmtId="177" fontId="11" fillId="5" borderId="8" xfId="21" applyNumberFormat="1" applyFont="1" applyFill="1" applyBorder="1"/>
    <xf numFmtId="177" fontId="11" fillId="4" borderId="8" xfId="21" applyNumberFormat="1" applyFont="1" applyFill="1" applyBorder="1"/>
    <xf numFmtId="177" fontId="11" fillId="8" borderId="8" xfId="21" applyNumberFormat="1" applyFont="1" applyFill="1" applyBorder="1"/>
    <xf numFmtId="177" fontId="11" fillId="9" borderId="8" xfId="21" applyNumberFormat="1" applyFont="1" applyFill="1" applyBorder="1"/>
    <xf numFmtId="176" fontId="23" fillId="7" borderId="0" xfId="21" applyNumberFormat="1" applyFont="1" applyFill="1" applyBorder="1" applyAlignment="1">
      <alignment horizontal="left" indent="2"/>
    </xf>
    <xf numFmtId="176" fontId="11" fillId="0" borderId="0" xfId="21" applyNumberFormat="1" applyFont="1" applyFill="1" applyBorder="1" applyAlignment="1"/>
    <xf numFmtId="176" fontId="11" fillId="0" borderId="0" xfId="21" applyNumberFormat="1" applyFont="1" applyBorder="1" applyAlignment="1">
      <alignment horizontal="left" indent="1"/>
    </xf>
    <xf numFmtId="176" fontId="11" fillId="0" borderId="0" xfId="21" applyNumberFormat="1" applyFont="1" applyBorder="1" applyAlignment="1">
      <alignment wrapText="1"/>
    </xf>
    <xf numFmtId="176" fontId="11" fillId="6" borderId="53" xfId="21" applyNumberFormat="1" applyFont="1" applyFill="1" applyBorder="1"/>
    <xf numFmtId="177" fontId="11" fillId="0" borderId="6" xfId="21" applyNumberFormat="1" applyFont="1" applyFill="1" applyBorder="1" applyAlignment="1">
      <alignment horizontal="right"/>
    </xf>
    <xf numFmtId="177" fontId="11" fillId="5" borderId="6" xfId="21" applyNumberFormat="1" applyFont="1" applyFill="1" applyBorder="1"/>
    <xf numFmtId="177" fontId="11" fillId="4" borderId="6" xfId="21" applyNumberFormat="1" applyFont="1" applyFill="1" applyBorder="1"/>
    <xf numFmtId="177" fontId="11" fillId="8" borderId="6" xfId="21" applyNumberFormat="1" applyFont="1" applyFill="1" applyBorder="1"/>
    <xf numFmtId="177" fontId="11" fillId="9" borderId="6" xfId="21" applyNumberFormat="1" applyFont="1" applyFill="1" applyBorder="1"/>
    <xf numFmtId="10" fontId="11" fillId="6" borderId="6" xfId="21" applyNumberFormat="1" applyFont="1" applyFill="1" applyBorder="1" applyAlignment="1">
      <alignment horizontal="right"/>
    </xf>
    <xf numFmtId="176" fontId="11" fillId="4" borderId="54" xfId="21" applyNumberFormat="1" applyFont="1" applyFill="1" applyBorder="1"/>
    <xf numFmtId="10" fontId="11" fillId="6" borderId="40" xfId="21" applyNumberFormat="1" applyFont="1" applyFill="1" applyBorder="1" applyAlignment="1">
      <alignment horizontal="right"/>
    </xf>
    <xf numFmtId="176" fontId="13" fillId="7" borderId="41" xfId="21" applyNumberFormat="1" applyFont="1" applyFill="1" applyBorder="1" applyAlignment="1">
      <alignment horizontal="left" indent="1"/>
    </xf>
    <xf numFmtId="176" fontId="21" fillId="6" borderId="9" xfId="21" applyNumberFormat="1" applyFont="1" applyFill="1" applyBorder="1" applyAlignment="1"/>
    <xf numFmtId="177" fontId="11" fillId="0" borderId="9" xfId="21" applyNumberFormat="1" applyFont="1" applyFill="1" applyBorder="1" applyAlignment="1">
      <alignment horizontal="right"/>
    </xf>
    <xf numFmtId="176" fontId="11" fillId="5" borderId="9" xfId="21" applyNumberFormat="1" applyFont="1" applyFill="1" applyBorder="1"/>
    <xf numFmtId="176" fontId="11" fillId="4" borderId="9" xfId="21" applyNumberFormat="1" applyFont="1" applyFill="1" applyBorder="1"/>
    <xf numFmtId="176" fontId="11" fillId="8" borderId="9" xfId="21" applyNumberFormat="1" applyFont="1" applyFill="1" applyBorder="1"/>
    <xf numFmtId="176" fontId="11" fillId="9" borderId="9" xfId="21" applyNumberFormat="1" applyFont="1" applyFill="1" applyBorder="1"/>
    <xf numFmtId="10" fontId="11" fillId="6" borderId="9" xfId="21" applyNumberFormat="1" applyFont="1" applyFill="1" applyBorder="1" applyAlignment="1">
      <alignment horizontal="right"/>
    </xf>
    <xf numFmtId="10" fontId="16" fillId="6" borderId="9" xfId="21" applyNumberFormat="1" applyFont="1" applyFill="1" applyBorder="1" applyAlignment="1">
      <alignment horizontal="right"/>
    </xf>
    <xf numFmtId="177" fontId="11" fillId="4" borderId="9" xfId="21" applyNumberFormat="1" applyFont="1" applyFill="1" applyBorder="1"/>
    <xf numFmtId="177" fontId="11" fillId="8" borderId="9" xfId="21" applyNumberFormat="1" applyFont="1" applyFill="1" applyBorder="1"/>
    <xf numFmtId="177" fontId="11" fillId="9" borderId="9" xfId="21" applyNumberFormat="1" applyFont="1" applyFill="1" applyBorder="1"/>
    <xf numFmtId="176" fontId="21" fillId="0" borderId="9" xfId="21" applyNumberFormat="1" applyFont="1" applyBorder="1"/>
    <xf numFmtId="177" fontId="11" fillId="5" borderId="9" xfId="21" applyNumberFormat="1" applyFont="1" applyFill="1" applyBorder="1"/>
    <xf numFmtId="176" fontId="21" fillId="10" borderId="9" xfId="21" applyNumberFormat="1" applyFont="1" applyFill="1" applyBorder="1"/>
    <xf numFmtId="176" fontId="21" fillId="10" borderId="10" xfId="21" applyNumberFormat="1" applyFont="1" applyFill="1" applyBorder="1"/>
    <xf numFmtId="177" fontId="11" fillId="0" borderId="10" xfId="21" applyNumberFormat="1" applyFont="1" applyFill="1" applyBorder="1" applyAlignment="1">
      <alignment horizontal="right"/>
    </xf>
    <xf numFmtId="177" fontId="11" fillId="5" borderId="10" xfId="21" applyNumberFormat="1" applyFont="1" applyFill="1" applyBorder="1"/>
    <xf numFmtId="177" fontId="11" fillId="4" borderId="10" xfId="21" applyNumberFormat="1" applyFont="1" applyFill="1" applyBorder="1"/>
    <xf numFmtId="177" fontId="11" fillId="8" borderId="10" xfId="21" applyNumberFormat="1" applyFont="1" applyFill="1" applyBorder="1"/>
    <xf numFmtId="177" fontId="11" fillId="9" borderId="10" xfId="21" applyNumberFormat="1" applyFont="1" applyFill="1" applyBorder="1"/>
    <xf numFmtId="10" fontId="11" fillId="6" borderId="10" xfId="21" applyNumberFormat="1" applyFont="1" applyFill="1" applyBorder="1" applyAlignment="1">
      <alignment horizontal="right"/>
    </xf>
    <xf numFmtId="176" fontId="11" fillId="5" borderId="10" xfId="21" applyNumberFormat="1" applyFont="1" applyFill="1" applyBorder="1" applyAlignment="1">
      <alignment horizontal="right"/>
    </xf>
    <xf numFmtId="176" fontId="11" fillId="4" borderId="10" xfId="21" applyNumberFormat="1" applyFont="1" applyFill="1" applyBorder="1" applyAlignment="1">
      <alignment horizontal="right"/>
    </xf>
    <xf numFmtId="176" fontId="11" fillId="8" borderId="10" xfId="21" applyNumberFormat="1" applyFont="1" applyFill="1" applyBorder="1" applyAlignment="1">
      <alignment horizontal="right"/>
    </xf>
    <xf numFmtId="176" fontId="11" fillId="9" borderId="10" xfId="21" applyNumberFormat="1" applyFont="1" applyFill="1" applyBorder="1" applyAlignment="1">
      <alignment horizontal="right"/>
    </xf>
    <xf numFmtId="176" fontId="11" fillId="9" borderId="10" xfId="21" applyNumberFormat="1" applyFont="1" applyFill="1" applyBorder="1"/>
    <xf numFmtId="177" fontId="11" fillId="5" borderId="10" xfId="21" applyNumberFormat="1" applyFont="1" applyFill="1" applyBorder="1" applyAlignment="1">
      <alignment horizontal="right"/>
    </xf>
    <xf numFmtId="177" fontId="11" fillId="4" borderId="10" xfId="21" applyNumberFormat="1" applyFont="1" applyFill="1" applyBorder="1" applyAlignment="1">
      <alignment horizontal="right"/>
    </xf>
    <xf numFmtId="177" fontId="11" fillId="8" borderId="10" xfId="21" applyNumberFormat="1" applyFont="1" applyFill="1" applyBorder="1" applyAlignment="1">
      <alignment horizontal="right"/>
    </xf>
    <xf numFmtId="177" fontId="11" fillId="9" borderId="10" xfId="21" applyNumberFormat="1" applyFont="1" applyFill="1" applyBorder="1" applyAlignment="1">
      <alignment horizontal="right"/>
    </xf>
    <xf numFmtId="176" fontId="21" fillId="13" borderId="55" xfId="21" applyNumberFormat="1" applyFont="1" applyFill="1" applyBorder="1"/>
    <xf numFmtId="177" fontId="11" fillId="0" borderId="0" xfId="21" applyNumberFormat="1" applyFont="1" applyBorder="1"/>
    <xf numFmtId="176" fontId="13" fillId="0" borderId="0" xfId="21" applyNumberFormat="1" applyFont="1" applyBorder="1" applyAlignment="1">
      <alignment horizontal="left"/>
    </xf>
  </cellXfs>
  <cellStyles count="25">
    <cellStyle name="$-" xfId="2" xr:uid="{00000000-0005-0000-0000-000000000000}"/>
    <cellStyle name="$0" xfId="3" xr:uid="{00000000-0005-0000-0000-000001000000}"/>
    <cellStyle name="$0.00" xfId="4" xr:uid="{00000000-0005-0000-0000-000002000000}"/>
    <cellStyle name="$123" xfId="5" xr:uid="{00000000-0005-0000-0000-000003000000}"/>
    <cellStyle name="$123.00" xfId="6" xr:uid="{00000000-0005-0000-0000-000004000000}"/>
    <cellStyle name="0" xfId="7" xr:uid="{00000000-0005-0000-0000-000005000000}"/>
    <cellStyle name="0.00" xfId="8" xr:uid="{00000000-0005-0000-0000-000006000000}"/>
    <cellStyle name="123" xfId="9" xr:uid="{00000000-0005-0000-0000-000007000000}"/>
    <cellStyle name="123.00" xfId="10" xr:uid="{00000000-0005-0000-0000-000008000000}"/>
    <cellStyle name="Grey" xfId="11" xr:uid="{00000000-0005-0000-0000-000009000000}"/>
    <cellStyle name="Input [yellow]" xfId="12" xr:uid="{00000000-0005-0000-0000-00000A000000}"/>
    <cellStyle name="Normal - Style1" xfId="13" xr:uid="{00000000-0005-0000-0000-00000B000000}"/>
    <cellStyle name="Normal_Assumptions" xfId="14" xr:uid="{00000000-0005-0000-0000-00000C000000}"/>
    <cellStyle name="Percent [2]" xfId="15" xr:uid="{00000000-0005-0000-0000-00000D000000}"/>
    <cellStyle name="total" xfId="16" xr:uid="{00000000-0005-0000-0000-00000E000000}"/>
    <cellStyle name="total.00" xfId="17" xr:uid="{00000000-0005-0000-0000-00000F000000}"/>
    <cellStyle name="一般" xfId="0" builtinId="0"/>
    <cellStyle name="一般_2008 BU BP_T100" xfId="18" xr:uid="{00000000-0005-0000-0000-000011000000}"/>
    <cellStyle name="一般_2009 BU OP-T300" xfId="19" xr:uid="{00000000-0005-0000-0000-000012000000}"/>
    <cellStyle name="一般_2009 BU 彙總-T000-V.5" xfId="20" xr:uid="{00000000-0005-0000-0000-000013000000}"/>
    <cellStyle name="一般_2009.12_GTT_BU_Report" xfId="21" xr:uid="{00000000-0005-0000-0000-000014000000}"/>
    <cellStyle name="中文字形" xfId="22" xr:uid="{00000000-0005-0000-0000-000015000000}"/>
    <cellStyle name="百分比" xfId="23" builtinId="5"/>
    <cellStyle name="樣式 1" xfId="1" xr:uid="{00000000-0005-0000-0000-000017000000}"/>
    <cellStyle name="표준_P&amp;L" xfId="24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0</xdr:colOff>
      <xdr:row>6</xdr:row>
      <xdr:rowOff>0</xdr:rowOff>
    </xdr:from>
    <xdr:ext cx="104775" cy="24447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 txBox="1">
          <a:spLocks noChangeArrowheads="1"/>
        </xdr:cNvSpPr>
      </xdr:nvSpPr>
      <xdr:spPr bwMode="auto">
        <a:xfrm>
          <a:off x="18326100" y="2047875"/>
          <a:ext cx="1047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oneCellAnchor>
  <xdr:oneCellAnchor>
    <xdr:from>
      <xdr:col>50</xdr:col>
      <xdr:colOff>0</xdr:colOff>
      <xdr:row>6</xdr:row>
      <xdr:rowOff>0</xdr:rowOff>
    </xdr:from>
    <xdr:ext cx="104775" cy="244475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 txBox="1">
          <a:spLocks noChangeArrowheads="1"/>
        </xdr:cNvSpPr>
      </xdr:nvSpPr>
      <xdr:spPr bwMode="auto">
        <a:xfrm>
          <a:off x="18326100" y="2047875"/>
          <a:ext cx="1047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AX49"/>
  <sheetViews>
    <sheetView tabSelected="1" zoomScale="75" workbookViewId="0">
      <selection activeCell="A30" sqref="A30"/>
    </sheetView>
  </sheetViews>
  <sheetFormatPr defaultColWidth="17.6328125" defaultRowHeight="17" x14ac:dyDescent="0.4"/>
  <cols>
    <col min="1" max="1" width="38.6328125" style="137" customWidth="1"/>
    <col min="2" max="2" width="15.1796875" style="130" customWidth="1"/>
    <col min="3" max="3" width="14.90625" style="130" customWidth="1"/>
    <col min="4" max="4" width="14.6328125" style="130" customWidth="1"/>
    <col min="5" max="6" width="14.08984375" style="130" customWidth="1"/>
    <col min="7" max="7" width="13.81640625" style="131" customWidth="1"/>
    <col min="8" max="8" width="13.6328125" style="131" customWidth="1"/>
    <col min="9" max="9" width="14.36328125" style="131" customWidth="1"/>
    <col min="10" max="10" width="14.81640625" style="131" customWidth="1"/>
    <col min="11" max="11" width="14" style="131" customWidth="1"/>
    <col min="12" max="12" width="14.36328125" style="131" customWidth="1"/>
    <col min="13" max="13" width="13.81640625" style="131" customWidth="1"/>
    <col min="14" max="15" width="14.08984375" style="250" customWidth="1"/>
    <col min="16" max="16" width="15.6328125" style="250" customWidth="1"/>
    <col min="17" max="17" width="15" style="250" customWidth="1"/>
    <col min="18" max="20" width="14" style="250" customWidth="1"/>
    <col min="21" max="21" width="14.1796875" style="250" customWidth="1"/>
    <col min="22" max="22" width="14.6328125" style="250" customWidth="1"/>
    <col min="23" max="23" width="15.453125" style="137" customWidth="1"/>
    <col min="24" max="24" width="14.453125" style="137" customWidth="1"/>
    <col min="25" max="25" width="16.453125" style="137" customWidth="1"/>
    <col min="26" max="26" width="13.453125" style="137" hidden="1" customWidth="1"/>
    <col min="27" max="27" width="13.6328125" style="137" hidden="1" customWidth="1"/>
    <col min="28" max="28" width="14.90625" style="137" hidden="1" customWidth="1"/>
    <col min="29" max="29" width="12.6328125" style="137" hidden="1" customWidth="1"/>
    <col min="30" max="30" width="12.36328125" style="137" hidden="1" customWidth="1"/>
    <col min="31" max="31" width="13" style="137" hidden="1" customWidth="1"/>
    <col min="32" max="32" width="13.453125" style="137" hidden="1" customWidth="1"/>
    <col min="33" max="33" width="11.81640625" style="137" hidden="1" customWidth="1"/>
    <col min="34" max="34" width="12.6328125" style="137" hidden="1" customWidth="1"/>
    <col min="35" max="36" width="13.6328125" style="137" hidden="1" customWidth="1"/>
    <col min="37" max="37" width="16.453125" style="1" hidden="1" customWidth="1"/>
    <col min="38" max="38" width="13.453125" style="1" hidden="1" customWidth="1"/>
    <col min="39" max="39" width="2" style="2" hidden="1" customWidth="1"/>
    <col min="40" max="40" width="15.1796875" style="3" hidden="1" customWidth="1"/>
    <col min="41" max="41" width="2.08984375" style="3" hidden="1" customWidth="1"/>
    <col min="42" max="42" width="15.36328125" style="4" hidden="1" customWidth="1"/>
    <col min="43" max="43" width="12.36328125" style="5" hidden="1" customWidth="1"/>
    <col min="44" max="44" width="15.90625" style="3" hidden="1" customWidth="1"/>
    <col min="45" max="45" width="12" style="5" hidden="1" customWidth="1"/>
    <col min="46" max="46" width="17.6328125" style="2" hidden="1" customWidth="1"/>
    <col min="47" max="50" width="17.6328125" style="42" hidden="1" customWidth="1"/>
    <col min="51" max="16384" width="17.6328125" style="137"/>
  </cols>
  <sheetData>
    <row r="1" spans="1:50" ht="24" customHeight="1" x14ac:dyDescent="0.45">
      <c r="A1" s="129" t="s">
        <v>64</v>
      </c>
      <c r="C1" s="131"/>
      <c r="D1" s="131"/>
      <c r="E1" s="131"/>
      <c r="F1" s="131"/>
      <c r="N1" s="132"/>
      <c r="O1" s="132"/>
      <c r="P1" s="132"/>
      <c r="Q1" s="133"/>
      <c r="R1" s="133"/>
      <c r="S1" s="133"/>
      <c r="T1" s="134"/>
      <c r="U1" s="134"/>
      <c r="V1" s="134"/>
      <c r="W1" s="135"/>
      <c r="X1" s="135"/>
      <c r="Y1" s="135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U1" s="2"/>
      <c r="AV1" s="2"/>
      <c r="AW1" s="2"/>
      <c r="AX1" s="2"/>
    </row>
    <row r="2" spans="1:50" s="148" customFormat="1" ht="61.5" customHeight="1" thickBot="1" x14ac:dyDescent="0.45">
      <c r="A2" s="141" t="s">
        <v>65</v>
      </c>
      <c r="B2" s="142" t="s">
        <v>45</v>
      </c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3" t="s">
        <v>11</v>
      </c>
      <c r="O2" s="143" t="s">
        <v>12</v>
      </c>
      <c r="P2" s="143" t="s">
        <v>13</v>
      </c>
      <c r="Q2" s="144" t="s">
        <v>14</v>
      </c>
      <c r="R2" s="144" t="s">
        <v>15</v>
      </c>
      <c r="S2" s="144" t="s">
        <v>46</v>
      </c>
      <c r="T2" s="145" t="s">
        <v>47</v>
      </c>
      <c r="U2" s="145" t="s">
        <v>48</v>
      </c>
      <c r="V2" s="145" t="s">
        <v>49</v>
      </c>
      <c r="W2" s="146" t="s">
        <v>50</v>
      </c>
      <c r="X2" s="146" t="s">
        <v>51</v>
      </c>
      <c r="Y2" s="146" t="s">
        <v>52</v>
      </c>
      <c r="Z2" s="147" t="s">
        <v>16</v>
      </c>
      <c r="AA2" s="147" t="s">
        <v>17</v>
      </c>
      <c r="AB2" s="147" t="s">
        <v>18</v>
      </c>
      <c r="AC2" s="147" t="s">
        <v>19</v>
      </c>
      <c r="AD2" s="147" t="s">
        <v>20</v>
      </c>
      <c r="AE2" s="147" t="s">
        <v>21</v>
      </c>
      <c r="AF2" s="147" t="s">
        <v>22</v>
      </c>
      <c r="AG2" s="147" t="s">
        <v>23</v>
      </c>
      <c r="AH2" s="147" t="s">
        <v>24</v>
      </c>
      <c r="AI2" s="147" t="s">
        <v>25</v>
      </c>
      <c r="AJ2" s="147" t="s">
        <v>26</v>
      </c>
      <c r="AK2" s="6" t="s">
        <v>53</v>
      </c>
      <c r="AL2" s="7" t="s">
        <v>54</v>
      </c>
      <c r="AM2" s="8"/>
      <c r="AN2" s="9" t="s">
        <v>55</v>
      </c>
      <c r="AO2" s="10"/>
      <c r="AP2" s="11" t="s">
        <v>56</v>
      </c>
      <c r="AQ2" s="12" t="s">
        <v>54</v>
      </c>
      <c r="AR2" s="13" t="s">
        <v>57</v>
      </c>
      <c r="AS2" s="14" t="s">
        <v>54</v>
      </c>
      <c r="AT2" s="15"/>
      <c r="AU2" s="15"/>
      <c r="AV2" s="15"/>
      <c r="AW2" s="15"/>
      <c r="AX2" s="15"/>
    </row>
    <row r="3" spans="1:50" s="148" customFormat="1" ht="23.25" customHeight="1" thickTop="1" thickBot="1" x14ac:dyDescent="0.5">
      <c r="A3" s="149" t="s">
        <v>27</v>
      </c>
      <c r="B3" s="150">
        <f t="shared" ref="B3:Y3" si="0">B4+B8</f>
        <v>3047915</v>
      </c>
      <c r="C3" s="150">
        <f t="shared" si="0"/>
        <v>5893965</v>
      </c>
      <c r="D3" s="150">
        <f t="shared" si="0"/>
        <v>4252232</v>
      </c>
      <c r="E3" s="150">
        <f t="shared" si="0"/>
        <v>2829006</v>
      </c>
      <c r="F3" s="150">
        <f t="shared" si="0"/>
        <v>2398372</v>
      </c>
      <c r="G3" s="150">
        <f t="shared" si="0"/>
        <v>3522273</v>
      </c>
      <c r="H3" s="150">
        <f t="shared" si="0"/>
        <v>3211868</v>
      </c>
      <c r="I3" s="150">
        <f t="shared" si="0"/>
        <v>3870881</v>
      </c>
      <c r="J3" s="150">
        <f t="shared" si="0"/>
        <v>8257433</v>
      </c>
      <c r="K3" s="150">
        <f t="shared" si="0"/>
        <v>3713570</v>
      </c>
      <c r="L3" s="150">
        <f t="shared" si="0"/>
        <v>2242656</v>
      </c>
      <c r="M3" s="150">
        <f t="shared" si="0"/>
        <v>2971123</v>
      </c>
      <c r="N3" s="151">
        <f t="shared" si="0"/>
        <v>5466400</v>
      </c>
      <c r="O3" s="151">
        <f t="shared" si="0"/>
        <v>6688800</v>
      </c>
      <c r="P3" s="151">
        <f t="shared" si="0"/>
        <v>6088800</v>
      </c>
      <c r="Q3" s="152">
        <f t="shared" si="0"/>
        <v>6244160</v>
      </c>
      <c r="R3" s="152">
        <f t="shared" si="0"/>
        <v>5444160</v>
      </c>
      <c r="S3" s="152">
        <f t="shared" si="0"/>
        <v>6258880</v>
      </c>
      <c r="T3" s="153">
        <f t="shared" si="0"/>
        <v>5403520</v>
      </c>
      <c r="U3" s="153">
        <f t="shared" si="0"/>
        <v>6903520</v>
      </c>
      <c r="V3" s="153">
        <f t="shared" si="0"/>
        <v>17884960</v>
      </c>
      <c r="W3" s="154">
        <f t="shared" si="0"/>
        <v>6068576</v>
      </c>
      <c r="X3" s="154">
        <f t="shared" si="0"/>
        <v>5468576</v>
      </c>
      <c r="Y3" s="154">
        <f t="shared" si="0"/>
        <v>6639648</v>
      </c>
      <c r="Z3" s="155">
        <f t="shared" ref="Z3:AJ6" si="1">+B3/N3</f>
        <v>0.5575726254939265</v>
      </c>
      <c r="AA3" s="155">
        <f t="shared" si="1"/>
        <v>0.88116926803013995</v>
      </c>
      <c r="AB3" s="155">
        <f t="shared" si="1"/>
        <v>0.69836946524766785</v>
      </c>
      <c r="AC3" s="155">
        <f t="shared" si="1"/>
        <v>0.45306430328498948</v>
      </c>
      <c r="AD3" s="155">
        <f t="shared" si="1"/>
        <v>0.44054032210662436</v>
      </c>
      <c r="AE3" s="155">
        <f t="shared" si="1"/>
        <v>0.56276410475995708</v>
      </c>
      <c r="AF3" s="155">
        <f t="shared" si="1"/>
        <v>0.59440290773421767</v>
      </c>
      <c r="AG3" s="155">
        <f t="shared" si="1"/>
        <v>0.56071120240109396</v>
      </c>
      <c r="AH3" s="155">
        <f t="shared" si="1"/>
        <v>0.46169703482702784</v>
      </c>
      <c r="AI3" s="155">
        <f t="shared" si="1"/>
        <v>0.61193433187620949</v>
      </c>
      <c r="AJ3" s="155">
        <f t="shared" si="1"/>
        <v>0.41009871674088466</v>
      </c>
      <c r="AK3" s="20">
        <f>AK4+AK8</f>
        <v>53586248</v>
      </c>
      <c r="AL3" s="21" t="e">
        <f>ROUND(#REF!/AK3,4)-1</f>
        <v>#REF!</v>
      </c>
      <c r="AM3" s="16"/>
      <c r="AN3" s="22">
        <f>AN4+AN8</f>
        <v>92000000</v>
      </c>
      <c r="AO3" s="23"/>
      <c r="AP3" s="24">
        <f>AP4+AP8</f>
        <v>53586248</v>
      </c>
      <c r="AQ3" s="25" t="e">
        <f>ROUND((#REF!-AP3)/ABS(AP3),2)</f>
        <v>#REF!</v>
      </c>
      <c r="AR3" s="26">
        <f>AR4+AR8</f>
        <v>72793124</v>
      </c>
      <c r="AS3" s="27" t="e">
        <f>ROUND((#REF!-AR3)/ABS(AR3),2)</f>
        <v>#REF!</v>
      </c>
      <c r="AT3" s="18"/>
      <c r="AU3" s="19"/>
      <c r="AV3" s="19"/>
      <c r="AW3" s="19"/>
      <c r="AX3" s="19"/>
    </row>
    <row r="4" spans="1:50" ht="19.5" customHeight="1" thickTop="1" x14ac:dyDescent="0.4">
      <c r="A4" s="156" t="s">
        <v>58</v>
      </c>
      <c r="B4" s="157">
        <f t="shared" ref="B4:Y4" si="2">SUM(B5:B7)</f>
        <v>3047915</v>
      </c>
      <c r="C4" s="157">
        <f t="shared" si="2"/>
        <v>5893965</v>
      </c>
      <c r="D4" s="157">
        <f t="shared" si="2"/>
        <v>4252232</v>
      </c>
      <c r="E4" s="157">
        <f t="shared" si="2"/>
        <v>2829006</v>
      </c>
      <c r="F4" s="157">
        <f t="shared" si="2"/>
        <v>2398372</v>
      </c>
      <c r="G4" s="157">
        <f t="shared" si="2"/>
        <v>3522273</v>
      </c>
      <c r="H4" s="157">
        <f t="shared" si="2"/>
        <v>3211868</v>
      </c>
      <c r="I4" s="157">
        <f t="shared" si="2"/>
        <v>3870881</v>
      </c>
      <c r="J4" s="157">
        <f t="shared" si="2"/>
        <v>8257433</v>
      </c>
      <c r="K4" s="157">
        <f t="shared" si="2"/>
        <v>3713570</v>
      </c>
      <c r="L4" s="157">
        <f t="shared" si="2"/>
        <v>2242656</v>
      </c>
      <c r="M4" s="157">
        <f t="shared" si="2"/>
        <v>2971123</v>
      </c>
      <c r="N4" s="158">
        <f t="shared" si="2"/>
        <v>5466400</v>
      </c>
      <c r="O4" s="158">
        <f t="shared" si="2"/>
        <v>6688800</v>
      </c>
      <c r="P4" s="158">
        <f t="shared" si="2"/>
        <v>6088800</v>
      </c>
      <c r="Q4" s="159">
        <f t="shared" si="2"/>
        <v>6244160</v>
      </c>
      <c r="R4" s="159">
        <f t="shared" si="2"/>
        <v>5444160</v>
      </c>
      <c r="S4" s="159">
        <f t="shared" si="2"/>
        <v>6258880</v>
      </c>
      <c r="T4" s="160">
        <f t="shared" si="2"/>
        <v>5403520</v>
      </c>
      <c r="U4" s="160">
        <f t="shared" si="2"/>
        <v>6903520</v>
      </c>
      <c r="V4" s="160">
        <f t="shared" si="2"/>
        <v>17884960</v>
      </c>
      <c r="W4" s="161">
        <f t="shared" si="2"/>
        <v>6068576</v>
      </c>
      <c r="X4" s="161">
        <f t="shared" si="2"/>
        <v>5468576</v>
      </c>
      <c r="Y4" s="161">
        <f t="shared" si="2"/>
        <v>6639648</v>
      </c>
      <c r="Z4" s="162">
        <f t="shared" si="1"/>
        <v>0.5575726254939265</v>
      </c>
      <c r="AA4" s="162">
        <f t="shared" si="1"/>
        <v>0.88116926803013995</v>
      </c>
      <c r="AB4" s="162">
        <f t="shared" si="1"/>
        <v>0.69836946524766785</v>
      </c>
      <c r="AC4" s="162">
        <f t="shared" si="1"/>
        <v>0.45306430328498948</v>
      </c>
      <c r="AD4" s="162">
        <f t="shared" si="1"/>
        <v>0.44054032210662436</v>
      </c>
      <c r="AE4" s="162">
        <f t="shared" si="1"/>
        <v>0.56276410475995708</v>
      </c>
      <c r="AF4" s="162">
        <f t="shared" si="1"/>
        <v>0.59440290773421767</v>
      </c>
      <c r="AG4" s="162">
        <f t="shared" si="1"/>
        <v>0.56071120240109396</v>
      </c>
      <c r="AH4" s="162">
        <f t="shared" si="1"/>
        <v>0.46169703482702784</v>
      </c>
      <c r="AI4" s="162">
        <f t="shared" si="1"/>
        <v>0.61193433187620949</v>
      </c>
      <c r="AJ4" s="162">
        <f t="shared" si="1"/>
        <v>0.41009871674088466</v>
      </c>
      <c r="AK4" s="28">
        <f>SUM(AK5:AK7)</f>
        <v>53586248</v>
      </c>
      <c r="AL4" s="29" t="e">
        <f>ROUND(#REF!/AK4,4)-1</f>
        <v>#REF!</v>
      </c>
      <c r="AM4" s="1"/>
      <c r="AN4" s="30">
        <f>SUM(AN5:AN7)</f>
        <v>92000000</v>
      </c>
      <c r="AO4" s="23"/>
      <c r="AP4" s="31">
        <f>SUM(AP5:AP7)</f>
        <v>53586248</v>
      </c>
      <c r="AQ4" s="32" t="e">
        <f>ROUND((#REF!-AP4)/ABS(AP4),2)</f>
        <v>#REF!</v>
      </c>
      <c r="AR4" s="33">
        <f>SUM(AR5:AR7)</f>
        <v>72793124</v>
      </c>
      <c r="AS4" s="34" t="e">
        <f>ROUND((#REF!-AR4)/ABS(AR4),2)</f>
        <v>#REF!</v>
      </c>
      <c r="AT4" s="1"/>
      <c r="AU4" s="35"/>
      <c r="AV4" s="35"/>
      <c r="AW4" s="35"/>
      <c r="AX4" s="35"/>
    </row>
    <row r="5" spans="1:50" x14ac:dyDescent="0.4">
      <c r="A5" s="36" t="s">
        <v>66</v>
      </c>
      <c r="B5" s="37">
        <v>3029906</v>
      </c>
      <c r="C5" s="131">
        <f>5363542+427088+48645</f>
        <v>5839275</v>
      </c>
      <c r="D5" s="131">
        <f>4007129-5204+66916</f>
        <v>4068841</v>
      </c>
      <c r="E5" s="131">
        <f>2307189+67091+26378</f>
        <v>2400658</v>
      </c>
      <c r="F5" s="131">
        <f>1855546-5214-9061</f>
        <v>1841271</v>
      </c>
      <c r="G5" s="131">
        <f>3361536-65700+1980</f>
        <v>3297816</v>
      </c>
      <c r="H5" s="131">
        <f>2673883-4189+8357</f>
        <v>2678051</v>
      </c>
      <c r="I5" s="131">
        <f>3411565+165791+30986</f>
        <v>3608342</v>
      </c>
      <c r="J5" s="131">
        <f>7303213+442178+144816</f>
        <v>7890207</v>
      </c>
      <c r="K5" s="131">
        <f>3192715-37818+164357</f>
        <v>3319254</v>
      </c>
      <c r="L5" s="131">
        <f>2143481-36639+7200</f>
        <v>2114042</v>
      </c>
      <c r="M5" s="131">
        <f>2445088+6742</f>
        <v>2451830</v>
      </c>
      <c r="N5" s="132">
        <v>4000000</v>
      </c>
      <c r="O5" s="132">
        <v>6000000</v>
      </c>
      <c r="P5" s="132">
        <v>5000000</v>
      </c>
      <c r="Q5" s="133">
        <v>4500000</v>
      </c>
      <c r="R5" s="133">
        <v>3500000</v>
      </c>
      <c r="S5" s="133">
        <v>3800000</v>
      </c>
      <c r="T5" s="134">
        <v>4000000</v>
      </c>
      <c r="U5" s="134">
        <v>5500000</v>
      </c>
      <c r="V5" s="134">
        <v>16000000</v>
      </c>
      <c r="W5" s="167">
        <v>4000000</v>
      </c>
      <c r="X5" s="167">
        <v>3500000</v>
      </c>
      <c r="Y5" s="167">
        <v>4500000</v>
      </c>
      <c r="Z5" s="168">
        <f t="shared" si="1"/>
        <v>0.7574765</v>
      </c>
      <c r="AA5" s="168">
        <f t="shared" si="1"/>
        <v>0.97321250000000004</v>
      </c>
      <c r="AB5" s="168">
        <f t="shared" si="1"/>
        <v>0.81376820000000005</v>
      </c>
      <c r="AC5" s="168">
        <f t="shared" si="1"/>
        <v>0.5334795555555556</v>
      </c>
      <c r="AD5" s="168">
        <f t="shared" si="1"/>
        <v>0.52607742857142858</v>
      </c>
      <c r="AE5" s="168">
        <f t="shared" si="1"/>
        <v>0.86784631578947369</v>
      </c>
      <c r="AF5" s="168">
        <f t="shared" si="1"/>
        <v>0.66951274999999999</v>
      </c>
      <c r="AG5" s="168">
        <f t="shared" si="1"/>
        <v>0.65606218181818177</v>
      </c>
      <c r="AH5" s="168">
        <f t="shared" si="1"/>
        <v>0.49313793750000001</v>
      </c>
      <c r="AI5" s="168">
        <f t="shared" si="1"/>
        <v>0.82981349999999998</v>
      </c>
      <c r="AJ5" s="168">
        <f t="shared" si="1"/>
        <v>0.60401199999999999</v>
      </c>
      <c r="AK5" s="38">
        <f t="shared" ref="AK5:AK8" si="3">AP5</f>
        <v>46108570</v>
      </c>
      <c r="AL5" s="39" t="e">
        <f>ROUND(#REF!/AK5,4)-1</f>
        <v>#REF!</v>
      </c>
      <c r="AM5" s="1"/>
      <c r="AN5" s="22">
        <v>67987000</v>
      </c>
      <c r="AO5" s="23"/>
      <c r="AP5" s="40">
        <f>43449118+2659452</f>
        <v>46108570</v>
      </c>
      <c r="AQ5" s="25" t="e">
        <f>ROUND((#REF!-AP5)/ABS(AP5),2)</f>
        <v>#REF!</v>
      </c>
      <c r="AR5" s="41">
        <f t="shared" ref="AR5:AR8" si="4">SUM(AN5+AP5)/2</f>
        <v>57047785</v>
      </c>
      <c r="AS5" s="27" t="e">
        <f>ROUND((#REF!-AR5)/ABS(AR5),2)</f>
        <v>#REF!</v>
      </c>
    </row>
    <row r="6" spans="1:50" x14ac:dyDescent="0.4">
      <c r="A6" s="43" t="s">
        <v>43</v>
      </c>
      <c r="B6" s="44">
        <v>18009</v>
      </c>
      <c r="C6" s="131">
        <v>12000</v>
      </c>
      <c r="D6" s="131">
        <v>157143</v>
      </c>
      <c r="E6" s="131">
        <f>0</f>
        <v>0</v>
      </c>
      <c r="F6" s="131">
        <f>427333</f>
        <v>427333</v>
      </c>
      <c r="G6" s="131">
        <v>0</v>
      </c>
      <c r="H6" s="131">
        <f>76115+166000</f>
        <v>242115</v>
      </c>
      <c r="I6" s="131">
        <v>59048</v>
      </c>
      <c r="J6" s="131">
        <f>176190</f>
        <v>176190</v>
      </c>
      <c r="K6" s="131">
        <f>0</f>
        <v>0</v>
      </c>
      <c r="L6" s="131">
        <v>0</v>
      </c>
      <c r="M6" s="131">
        <f>0</f>
        <v>0</v>
      </c>
      <c r="N6" s="132">
        <v>300000</v>
      </c>
      <c r="O6" s="132">
        <v>300000</v>
      </c>
      <c r="P6" s="132">
        <v>700000</v>
      </c>
      <c r="Q6" s="133">
        <v>500000</v>
      </c>
      <c r="R6" s="133">
        <v>700000</v>
      </c>
      <c r="S6" s="133">
        <v>800000</v>
      </c>
      <c r="T6" s="134">
        <v>600000</v>
      </c>
      <c r="U6" s="134">
        <v>600000</v>
      </c>
      <c r="V6" s="134">
        <v>900000</v>
      </c>
      <c r="W6" s="167">
        <v>700000</v>
      </c>
      <c r="X6" s="167">
        <v>600000</v>
      </c>
      <c r="Y6" s="167">
        <v>600000</v>
      </c>
      <c r="Z6" s="168">
        <f t="shared" si="1"/>
        <v>6.003E-2</v>
      </c>
      <c r="AA6" s="168">
        <f t="shared" si="1"/>
        <v>0.04</v>
      </c>
      <c r="AB6" s="168">
        <f t="shared" si="1"/>
        <v>0.22449</v>
      </c>
      <c r="AC6" s="168">
        <f t="shared" si="1"/>
        <v>0</v>
      </c>
      <c r="AD6" s="168">
        <f t="shared" si="1"/>
        <v>0.61047571428571423</v>
      </c>
      <c r="AE6" s="168">
        <f t="shared" si="1"/>
        <v>0</v>
      </c>
      <c r="AF6" s="168">
        <f t="shared" si="1"/>
        <v>0.40352500000000002</v>
      </c>
      <c r="AG6" s="168">
        <f t="shared" si="1"/>
        <v>9.8413333333333339E-2</v>
      </c>
      <c r="AH6" s="168">
        <f t="shared" si="1"/>
        <v>0.19576666666666667</v>
      </c>
      <c r="AI6" s="168">
        <f t="shared" si="1"/>
        <v>0</v>
      </c>
      <c r="AJ6" s="168">
        <f t="shared" si="1"/>
        <v>0</v>
      </c>
      <c r="AK6" s="45">
        <f t="shared" si="3"/>
        <v>5203532</v>
      </c>
      <c r="AL6" s="39" t="e">
        <f>ROUND(#REF!/AK6,4)-1</f>
        <v>#REF!</v>
      </c>
      <c r="AM6" s="1"/>
      <c r="AN6" s="22">
        <v>16013000</v>
      </c>
      <c r="AO6" s="23"/>
      <c r="AP6" s="40">
        <v>5203532</v>
      </c>
      <c r="AQ6" s="25" t="e">
        <f>ROUND((#REF!-AP6)/ABS(AP6),2)</f>
        <v>#REF!</v>
      </c>
      <c r="AR6" s="41">
        <f t="shared" si="4"/>
        <v>10608266</v>
      </c>
      <c r="AS6" s="46" t="e">
        <f>ROUND((#REF!-AR6)/ABS(AR6),2)</f>
        <v>#REF!</v>
      </c>
    </row>
    <row r="7" spans="1:50" x14ac:dyDescent="0.4">
      <c r="A7" s="43" t="s">
        <v>59</v>
      </c>
      <c r="B7" s="47"/>
      <c r="C7" s="131">
        <f>42690</f>
        <v>42690</v>
      </c>
      <c r="D7" s="131">
        <f>-838+27086</f>
        <v>26248</v>
      </c>
      <c r="E7" s="131">
        <f>276347+152001</f>
        <v>428348</v>
      </c>
      <c r="F7" s="131">
        <f>108571+21197</f>
        <v>129768</v>
      </c>
      <c r="G7" s="131">
        <v>224457</v>
      </c>
      <c r="H7" s="131">
        <f>117524+174178</f>
        <v>291702</v>
      </c>
      <c r="I7" s="131">
        <f>150629+52862</f>
        <v>203491</v>
      </c>
      <c r="J7" s="131">
        <f>24953+166083</f>
        <v>191036</v>
      </c>
      <c r="K7" s="131">
        <f>294895+99421</f>
        <v>394316</v>
      </c>
      <c r="L7" s="131">
        <f>121981+6633</f>
        <v>128614</v>
      </c>
      <c r="M7" s="131">
        <f>516303+2990</f>
        <v>519293</v>
      </c>
      <c r="N7" s="132">
        <v>1166400</v>
      </c>
      <c r="O7" s="132">
        <v>388800</v>
      </c>
      <c r="P7" s="132">
        <v>388800</v>
      </c>
      <c r="Q7" s="133">
        <v>1244160</v>
      </c>
      <c r="R7" s="133">
        <v>1244160</v>
      </c>
      <c r="S7" s="133">
        <v>1658880</v>
      </c>
      <c r="T7" s="134">
        <v>803520</v>
      </c>
      <c r="U7" s="134">
        <v>803520</v>
      </c>
      <c r="V7" s="134">
        <v>984960</v>
      </c>
      <c r="W7" s="167">
        <v>1368576</v>
      </c>
      <c r="X7" s="167">
        <v>1368576</v>
      </c>
      <c r="Y7" s="167">
        <v>1539648</v>
      </c>
      <c r="Z7" s="168">
        <f>+B7/N7</f>
        <v>0</v>
      </c>
      <c r="AA7" s="168">
        <f>+C7/O7</f>
        <v>0.10979938271604939</v>
      </c>
      <c r="AB7" s="168">
        <f>(+D7-P7)/ABS(P7)</f>
        <v>-0.93248971193415642</v>
      </c>
      <c r="AC7" s="168">
        <f t="shared" ref="AC7:AJ7" si="5">+E7/Q7</f>
        <v>0.34428690843621401</v>
      </c>
      <c r="AD7" s="168">
        <f t="shared" si="5"/>
        <v>0.1043016975308642</v>
      </c>
      <c r="AE7" s="168">
        <f t="shared" si="5"/>
        <v>0.13530635127314813</v>
      </c>
      <c r="AF7" s="168">
        <f t="shared" si="5"/>
        <v>0.36303016726403825</v>
      </c>
      <c r="AG7" s="168">
        <f t="shared" si="5"/>
        <v>0.25324945240939867</v>
      </c>
      <c r="AH7" s="168">
        <f t="shared" si="5"/>
        <v>0.19395305393112411</v>
      </c>
      <c r="AI7" s="168">
        <f t="shared" si="5"/>
        <v>0.28812137579498692</v>
      </c>
      <c r="AJ7" s="168">
        <f t="shared" si="5"/>
        <v>9.3976512813318369E-2</v>
      </c>
      <c r="AK7" s="45">
        <f t="shared" si="3"/>
        <v>2274146</v>
      </c>
      <c r="AL7" s="39" t="e">
        <f>ROUND(#REF!/AK7,4)-1</f>
        <v>#REF!</v>
      </c>
      <c r="AM7" s="1"/>
      <c r="AN7" s="22">
        <v>8000000</v>
      </c>
      <c r="AO7" s="23"/>
      <c r="AP7" s="40">
        <v>2274146</v>
      </c>
      <c r="AQ7" s="25" t="e">
        <f>ROUND((#REF!-AP7)/ABS(AP7),2)</f>
        <v>#REF!</v>
      </c>
      <c r="AR7" s="41">
        <f t="shared" si="4"/>
        <v>5137073</v>
      </c>
      <c r="AS7" s="27" t="e">
        <f>ROUND((#REF!-AR7)/ABS(AR7),2)</f>
        <v>#REF!</v>
      </c>
    </row>
    <row r="8" spans="1:50" ht="21" customHeight="1" thickBot="1" x14ac:dyDescent="0.45">
      <c r="A8" s="173" t="s">
        <v>28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5"/>
      <c r="O8" s="175"/>
      <c r="P8" s="175"/>
      <c r="Q8" s="176"/>
      <c r="R8" s="176"/>
      <c r="S8" s="176"/>
      <c r="T8" s="177"/>
      <c r="U8" s="177"/>
      <c r="V8" s="177"/>
      <c r="W8" s="178"/>
      <c r="X8" s="178"/>
      <c r="Y8" s="178"/>
      <c r="Z8" s="179" t="e">
        <f t="shared" ref="Z8:Z15" si="6">+B8/N8</f>
        <v>#DIV/0!</v>
      </c>
      <c r="AA8" s="179"/>
      <c r="AB8" s="179" t="e">
        <f t="shared" ref="AB8:AB12" si="7">+D8/P8</f>
        <v>#DIV/0!</v>
      </c>
      <c r="AC8" s="179" t="e">
        <f t="shared" ref="AC8:AC12" si="8">+E8/Q8</f>
        <v>#DIV/0!</v>
      </c>
      <c r="AD8" s="179" t="e">
        <f t="shared" ref="AD8:AD12" si="9">+F8/R8</f>
        <v>#DIV/0!</v>
      </c>
      <c r="AE8" s="179"/>
      <c r="AF8" s="179"/>
      <c r="AG8" s="179"/>
      <c r="AH8" s="179" t="e">
        <f t="shared" ref="AH8:AH16" si="10">+J8/V8</f>
        <v>#DIV/0!</v>
      </c>
      <c r="AI8" s="179" t="e">
        <f t="shared" ref="AI8:AI16" si="11">+K8/W8</f>
        <v>#DIV/0!</v>
      </c>
      <c r="AJ8" s="179" t="e">
        <f t="shared" ref="AJ8:AJ16" si="12">+L8/X8</f>
        <v>#DIV/0!</v>
      </c>
      <c r="AK8" s="48">
        <f t="shared" si="3"/>
        <v>0</v>
      </c>
      <c r="AL8" s="49" t="e">
        <f>ROUND(#REF!/AK8,4)-1</f>
        <v>#REF!</v>
      </c>
      <c r="AM8" s="1"/>
      <c r="AN8" s="30"/>
      <c r="AO8" s="23"/>
      <c r="AP8" s="31"/>
      <c r="AQ8" s="32" t="e">
        <f>ROUND((#REF!-AP8)/ABS(AP8),2)</f>
        <v>#REF!</v>
      </c>
      <c r="AR8" s="33">
        <f t="shared" si="4"/>
        <v>0</v>
      </c>
      <c r="AS8" s="34" t="e">
        <f>ROUND((#REF!-AR8)/ABS(AR8),2)</f>
        <v>#REF!</v>
      </c>
    </row>
    <row r="9" spans="1:50" ht="18.75" customHeight="1" thickTop="1" thickBot="1" x14ac:dyDescent="0.45">
      <c r="A9" s="180" t="s">
        <v>29</v>
      </c>
      <c r="B9" s="181" t="e">
        <f>B10+#REF!</f>
        <v>#REF!</v>
      </c>
      <c r="C9" s="181" t="e">
        <f>C10+#REF!</f>
        <v>#REF!</v>
      </c>
      <c r="D9" s="181" t="e">
        <f>D10+#REF!</f>
        <v>#REF!</v>
      </c>
      <c r="E9" s="181" t="e">
        <f>E10+#REF!</f>
        <v>#REF!</v>
      </c>
      <c r="F9" s="181" t="e">
        <f>F10+#REF!</f>
        <v>#REF!</v>
      </c>
      <c r="G9" s="181" t="e">
        <f>G10+#REF!</f>
        <v>#REF!</v>
      </c>
      <c r="H9" s="181" t="e">
        <f>H10+#REF!</f>
        <v>#REF!</v>
      </c>
      <c r="I9" s="181" t="e">
        <f>I10+#REF!</f>
        <v>#REF!</v>
      </c>
      <c r="J9" s="181" t="e">
        <f>J10+#REF!</f>
        <v>#REF!</v>
      </c>
      <c r="K9" s="181" t="e">
        <f>K10+#REF!</f>
        <v>#REF!</v>
      </c>
      <c r="L9" s="181" t="e">
        <f>L10+#REF!</f>
        <v>#REF!</v>
      </c>
      <c r="M9" s="181" t="e">
        <f>M10+#REF!</f>
        <v>#REF!</v>
      </c>
      <c r="N9" s="182" t="e">
        <f>N10+#REF!</f>
        <v>#REF!</v>
      </c>
      <c r="O9" s="182" t="e">
        <f>O10+#REF!</f>
        <v>#REF!</v>
      </c>
      <c r="P9" s="182" t="e">
        <f>P10+#REF!</f>
        <v>#REF!</v>
      </c>
      <c r="Q9" s="183" t="e">
        <f>Q10+#REF!</f>
        <v>#REF!</v>
      </c>
      <c r="R9" s="183" t="e">
        <f>R10+#REF!</f>
        <v>#REF!</v>
      </c>
      <c r="S9" s="183" t="e">
        <f>S10+#REF!</f>
        <v>#REF!</v>
      </c>
      <c r="T9" s="184" t="e">
        <f>T10+#REF!</f>
        <v>#REF!</v>
      </c>
      <c r="U9" s="184" t="e">
        <f>U10+#REF!</f>
        <v>#REF!</v>
      </c>
      <c r="V9" s="184" t="e">
        <f>V10+#REF!</f>
        <v>#REF!</v>
      </c>
      <c r="W9" s="185" t="e">
        <f>W10+#REF!</f>
        <v>#REF!</v>
      </c>
      <c r="X9" s="185" t="e">
        <f>X10+#REF!</f>
        <v>#REF!</v>
      </c>
      <c r="Y9" s="185" t="e">
        <f>Y10+#REF!</f>
        <v>#REF!</v>
      </c>
      <c r="Z9" s="186" t="e">
        <f t="shared" si="6"/>
        <v>#REF!</v>
      </c>
      <c r="AA9" s="186" t="e">
        <f t="shared" ref="AA9:AA17" si="13">+C9/O9</f>
        <v>#REF!</v>
      </c>
      <c r="AB9" s="186" t="e">
        <f t="shared" si="7"/>
        <v>#REF!</v>
      </c>
      <c r="AC9" s="186" t="e">
        <f t="shared" si="8"/>
        <v>#REF!</v>
      </c>
      <c r="AD9" s="186" t="e">
        <f t="shared" si="9"/>
        <v>#REF!</v>
      </c>
      <c r="AE9" s="186" t="e">
        <f t="shared" ref="AE9:AG13" si="14">+G9/S9</f>
        <v>#REF!</v>
      </c>
      <c r="AF9" s="186" t="e">
        <f t="shared" si="14"/>
        <v>#REF!</v>
      </c>
      <c r="AG9" s="186" t="e">
        <f t="shared" si="14"/>
        <v>#REF!</v>
      </c>
      <c r="AH9" s="186" t="e">
        <f t="shared" si="10"/>
        <v>#REF!</v>
      </c>
      <c r="AI9" s="186" t="e">
        <f t="shared" si="11"/>
        <v>#REF!</v>
      </c>
      <c r="AJ9" s="186" t="e">
        <f t="shared" si="12"/>
        <v>#REF!</v>
      </c>
      <c r="AK9" s="20" t="e">
        <f>AK10+#REF!</f>
        <v>#REF!</v>
      </c>
      <c r="AL9" s="21" t="e">
        <f>ROUND(#REF!/AK9,4)-1</f>
        <v>#REF!</v>
      </c>
      <c r="AM9" s="1"/>
      <c r="AN9" s="22" t="e">
        <f>AN10+#REF!</f>
        <v>#REF!</v>
      </c>
      <c r="AO9" s="23"/>
      <c r="AP9" s="31" t="e">
        <f>AP10+#REF!</f>
        <v>#REF!</v>
      </c>
      <c r="AQ9" s="32" t="e">
        <f>ROUND((#REF!-AP9)/ABS(AP9),2)</f>
        <v>#REF!</v>
      </c>
      <c r="AR9" s="33" t="e">
        <f>AR10+#REF!</f>
        <v>#REF!</v>
      </c>
      <c r="AS9" s="34" t="e">
        <f>ROUND((#REF!-AR9)/ABS(AR9),2)</f>
        <v>#REF!</v>
      </c>
    </row>
    <row r="10" spans="1:50" ht="17.5" thickTop="1" x14ac:dyDescent="0.4">
      <c r="A10" s="187" t="s">
        <v>30</v>
      </c>
      <c r="B10" s="188">
        <f t="shared" ref="B10:Y10" si="15">SUM(B11:B13)</f>
        <v>1946509</v>
      </c>
      <c r="C10" s="188">
        <f t="shared" si="15"/>
        <v>3247808</v>
      </c>
      <c r="D10" s="188">
        <f t="shared" si="15"/>
        <v>1856429</v>
      </c>
      <c r="E10" s="188">
        <f t="shared" si="15"/>
        <v>1915060</v>
      </c>
      <c r="F10" s="188">
        <f t="shared" si="15"/>
        <v>1718913</v>
      </c>
      <c r="G10" s="188">
        <f t="shared" si="15"/>
        <v>2370416</v>
      </c>
      <c r="H10" s="188">
        <f t="shared" si="15"/>
        <v>2099361</v>
      </c>
      <c r="I10" s="188">
        <f t="shared" si="15"/>
        <v>2397469</v>
      </c>
      <c r="J10" s="188">
        <f t="shared" si="15"/>
        <v>4688802</v>
      </c>
      <c r="K10" s="188">
        <f t="shared" si="15"/>
        <v>2288858</v>
      </c>
      <c r="L10" s="188">
        <f t="shared" si="15"/>
        <v>1417898</v>
      </c>
      <c r="M10" s="188">
        <f t="shared" si="15"/>
        <v>1085866</v>
      </c>
      <c r="N10" s="189">
        <f t="shared" si="15"/>
        <v>3631966.4</v>
      </c>
      <c r="O10" s="189">
        <f t="shared" si="15"/>
        <v>4167988.8</v>
      </c>
      <c r="P10" s="189">
        <f t="shared" si="15"/>
        <v>3754822.4</v>
      </c>
      <c r="Q10" s="164">
        <f t="shared" si="15"/>
        <v>3983120</v>
      </c>
      <c r="R10" s="164">
        <f t="shared" si="15"/>
        <v>3467120</v>
      </c>
      <c r="S10" s="164">
        <f t="shared" si="15"/>
        <v>4244160</v>
      </c>
      <c r="T10" s="165">
        <f t="shared" si="15"/>
        <v>3595443.52</v>
      </c>
      <c r="U10" s="165">
        <f t="shared" si="15"/>
        <v>4434640</v>
      </c>
      <c r="V10" s="165">
        <f t="shared" si="15"/>
        <v>10484884.08</v>
      </c>
      <c r="W10" s="190">
        <f t="shared" si="15"/>
        <v>3870432</v>
      </c>
      <c r="X10" s="190">
        <f t="shared" si="15"/>
        <v>3507063.4240000001</v>
      </c>
      <c r="Y10" s="190">
        <f t="shared" si="15"/>
        <v>4258275.648</v>
      </c>
      <c r="Z10" s="163">
        <f t="shared" si="6"/>
        <v>0.53593805273088435</v>
      </c>
      <c r="AA10" s="163">
        <f t="shared" si="13"/>
        <v>0.77922666202941815</v>
      </c>
      <c r="AB10" s="163">
        <f t="shared" si="7"/>
        <v>0.4944119327721066</v>
      </c>
      <c r="AC10" s="163">
        <f t="shared" si="8"/>
        <v>0.48079395047098755</v>
      </c>
      <c r="AD10" s="163">
        <f t="shared" si="9"/>
        <v>0.49577545628648562</v>
      </c>
      <c r="AE10" s="163">
        <f t="shared" si="14"/>
        <v>0.55851240292543169</v>
      </c>
      <c r="AF10" s="163">
        <f t="shared" si="14"/>
        <v>0.58389486257317147</v>
      </c>
      <c r="AG10" s="163">
        <f t="shared" si="14"/>
        <v>0.54062313964605924</v>
      </c>
      <c r="AH10" s="163">
        <f t="shared" si="10"/>
        <v>0.44719636041984739</v>
      </c>
      <c r="AI10" s="163">
        <f t="shared" si="11"/>
        <v>0.59137016229712858</v>
      </c>
      <c r="AJ10" s="163">
        <f t="shared" si="12"/>
        <v>0.40429779236293617</v>
      </c>
      <c r="AK10" s="28">
        <f>SUM(AK11:AK13)</f>
        <v>34350712</v>
      </c>
      <c r="AL10" s="29" t="e">
        <f>ROUND(#REF!/AK10,4)-1</f>
        <v>#REF!</v>
      </c>
      <c r="AM10" s="1"/>
      <c r="AN10" s="30">
        <f>SUM(AN11:AN13)</f>
        <v>56793000</v>
      </c>
      <c r="AO10" s="23"/>
      <c r="AP10" s="31">
        <f>SUM(AP11:AP13)</f>
        <v>34350712</v>
      </c>
      <c r="AQ10" s="32" t="e">
        <f>ROUND((#REF!-AP10)/ABS(AP10),2)</f>
        <v>#REF!</v>
      </c>
      <c r="AR10" s="33">
        <f>SUM(AR11:AR13)</f>
        <v>45571856</v>
      </c>
      <c r="AS10" s="34" t="e">
        <f>ROUND((#REF!-AR10)/ABS(AR10),2)</f>
        <v>#REF!</v>
      </c>
      <c r="AT10" s="1"/>
      <c r="AU10" s="35"/>
      <c r="AV10" s="35"/>
      <c r="AW10" s="35"/>
      <c r="AX10" s="35"/>
    </row>
    <row r="11" spans="1:50" x14ac:dyDescent="0.4">
      <c r="A11" s="191" t="str">
        <f>A5</f>
        <v>Book</v>
      </c>
      <c r="B11" s="37">
        <v>1904224</v>
      </c>
      <c r="C11" s="131">
        <f>2911220+245482+55399</f>
        <v>3212101</v>
      </c>
      <c r="D11" s="131">
        <f>1633950+12371+56443+30000</f>
        <v>1732764</v>
      </c>
      <c r="E11" s="192">
        <f>1545368+4390+38907+2000+75172</f>
        <v>1665837</v>
      </c>
      <c r="F11" s="131">
        <f>1380737+7400+15065+7000</f>
        <v>1410202</v>
      </c>
      <c r="G11" s="131">
        <f>2149096+6418+28735</f>
        <v>2184249</v>
      </c>
      <c r="H11" s="193">
        <f>1898976-9801+18572-208283</f>
        <v>1699464</v>
      </c>
      <c r="I11" s="131">
        <f>2030761+133905+36550</f>
        <v>2201216</v>
      </c>
      <c r="J11" s="131">
        <f>4043340+235445+135594</f>
        <v>4414379</v>
      </c>
      <c r="K11" s="131">
        <f>1757725+1036+133451+67400</f>
        <v>1959612</v>
      </c>
      <c r="L11" s="131">
        <f>1211893-24689-1138+130100</f>
        <v>1316166</v>
      </c>
      <c r="M11" s="193">
        <f>697119+28991+107694</f>
        <v>833804</v>
      </c>
      <c r="N11" s="132">
        <v>2600000</v>
      </c>
      <c r="O11" s="132">
        <v>3720000</v>
      </c>
      <c r="P11" s="132">
        <v>3100000</v>
      </c>
      <c r="Q11" s="133">
        <v>2790000</v>
      </c>
      <c r="R11" s="133">
        <v>2170000</v>
      </c>
      <c r="S11" s="133">
        <v>2584000</v>
      </c>
      <c r="T11" s="134">
        <v>2680000</v>
      </c>
      <c r="U11" s="134">
        <v>3520000</v>
      </c>
      <c r="V11" s="134">
        <v>9280000</v>
      </c>
      <c r="W11" s="167">
        <v>2480000</v>
      </c>
      <c r="X11" s="167">
        <v>2170000</v>
      </c>
      <c r="Y11" s="167">
        <v>2790000</v>
      </c>
      <c r="Z11" s="168">
        <f t="shared" si="6"/>
        <v>0.73239384615384617</v>
      </c>
      <c r="AA11" s="168">
        <f t="shared" si="13"/>
        <v>0.8634680107526882</v>
      </c>
      <c r="AB11" s="168">
        <f t="shared" si="7"/>
        <v>0.55895612903225811</v>
      </c>
      <c r="AC11" s="168">
        <f t="shared" si="8"/>
        <v>0.59707419354838709</v>
      </c>
      <c r="AD11" s="168">
        <f t="shared" si="9"/>
        <v>0.64986267281105992</v>
      </c>
      <c r="AE11" s="168">
        <f t="shared" si="14"/>
        <v>0.84529760061919501</v>
      </c>
      <c r="AF11" s="168">
        <f t="shared" si="14"/>
        <v>0.63412835820895519</v>
      </c>
      <c r="AG11" s="168">
        <f t="shared" si="14"/>
        <v>0.62534545454545454</v>
      </c>
      <c r="AH11" s="168">
        <f t="shared" si="10"/>
        <v>0.47568739224137929</v>
      </c>
      <c r="AI11" s="168">
        <f t="shared" si="11"/>
        <v>0.79016612903225802</v>
      </c>
      <c r="AJ11" s="168">
        <f t="shared" si="12"/>
        <v>0.6065281105990783</v>
      </c>
      <c r="AK11" s="38">
        <f t="shared" ref="AK11:AK13" si="16">AP11</f>
        <v>29520223</v>
      </c>
      <c r="AL11" s="39" t="e">
        <f>ROUND(#REF!/AK11,4)-1</f>
        <v>#REF!</v>
      </c>
      <c r="AM11" s="1"/>
      <c r="AN11" s="22">
        <v>42257860</v>
      </c>
      <c r="AO11" s="23"/>
      <c r="AP11" s="40">
        <f>27826196+1694027</f>
        <v>29520223</v>
      </c>
      <c r="AQ11" s="25" t="e">
        <f>ROUND((#REF!-AP11)/ABS(AP11),2)</f>
        <v>#REF!</v>
      </c>
      <c r="AR11" s="41">
        <f t="shared" ref="AR11:AR13" si="17">SUM(AN11+AP11)/2</f>
        <v>35889041.5</v>
      </c>
      <c r="AS11" s="27" t="e">
        <f>ROUND((#REF!-AR11)/ABS(AR11),2)</f>
        <v>#REF!</v>
      </c>
    </row>
    <row r="12" spans="1:50" x14ac:dyDescent="0.4">
      <c r="A12" s="194" t="str">
        <f>A6</f>
        <v>e-Learning</v>
      </c>
      <c r="B12" s="50">
        <v>42285</v>
      </c>
      <c r="C12" s="131">
        <v>6608</v>
      </c>
      <c r="D12" s="131">
        <v>97142</v>
      </c>
      <c r="E12" s="131">
        <f>0</f>
        <v>0</v>
      </c>
      <c r="F12" s="131">
        <v>227908</v>
      </c>
      <c r="G12" s="131">
        <v>0</v>
      </c>
      <c r="H12" s="131">
        <f>53333+94857</f>
        <v>148190</v>
      </c>
      <c r="I12" s="131">
        <f>24381</f>
        <v>24381</v>
      </c>
      <c r="J12" s="131">
        <v>65335</v>
      </c>
      <c r="K12" s="131">
        <v>0</v>
      </c>
      <c r="L12" s="131">
        <v>0</v>
      </c>
      <c r="M12" s="131">
        <v>0</v>
      </c>
      <c r="N12" s="132">
        <v>156000</v>
      </c>
      <c r="O12" s="132">
        <v>156000</v>
      </c>
      <c r="P12" s="132">
        <v>364000</v>
      </c>
      <c r="Q12" s="133">
        <v>260000</v>
      </c>
      <c r="R12" s="133">
        <v>364000</v>
      </c>
      <c r="S12" s="133">
        <v>416000</v>
      </c>
      <c r="T12" s="134">
        <v>312000</v>
      </c>
      <c r="U12" s="134">
        <v>312000</v>
      </c>
      <c r="V12" s="134">
        <v>468000</v>
      </c>
      <c r="W12" s="167">
        <v>364000</v>
      </c>
      <c r="X12" s="167">
        <v>312000</v>
      </c>
      <c r="Y12" s="167">
        <v>312000</v>
      </c>
      <c r="Z12" s="168">
        <f t="shared" si="6"/>
        <v>0.27105769230769233</v>
      </c>
      <c r="AA12" s="168">
        <f t="shared" si="13"/>
        <v>4.2358974358974358E-2</v>
      </c>
      <c r="AB12" s="168">
        <f t="shared" si="7"/>
        <v>0.26687362637362638</v>
      </c>
      <c r="AC12" s="168">
        <f t="shared" si="8"/>
        <v>0</v>
      </c>
      <c r="AD12" s="168">
        <f t="shared" si="9"/>
        <v>0.6261208791208791</v>
      </c>
      <c r="AE12" s="168">
        <f t="shared" si="14"/>
        <v>0</v>
      </c>
      <c r="AF12" s="168">
        <f t="shared" si="14"/>
        <v>0.47496794871794873</v>
      </c>
      <c r="AG12" s="168">
        <f t="shared" si="14"/>
        <v>7.8144230769230771E-2</v>
      </c>
      <c r="AH12" s="168">
        <f t="shared" si="10"/>
        <v>0.13960470085470086</v>
      </c>
      <c r="AI12" s="168">
        <f t="shared" si="11"/>
        <v>0</v>
      </c>
      <c r="AJ12" s="168">
        <f t="shared" si="12"/>
        <v>0</v>
      </c>
      <c r="AK12" s="51">
        <f t="shared" si="16"/>
        <v>3018417</v>
      </c>
      <c r="AL12" s="39" t="e">
        <f>ROUND(#REF!/AK12,4)-1</f>
        <v>#REF!</v>
      </c>
      <c r="AM12" s="1"/>
      <c r="AN12" s="22">
        <v>10135140</v>
      </c>
      <c r="AO12" s="23"/>
      <c r="AP12" s="40">
        <v>3018417</v>
      </c>
      <c r="AQ12" s="25" t="e">
        <f>ROUND((#REF!-AP12)/ABS(AP12),2)</f>
        <v>#REF!</v>
      </c>
      <c r="AR12" s="41">
        <f t="shared" si="17"/>
        <v>6576778.5</v>
      </c>
      <c r="AS12" s="46" t="e">
        <f>ROUND((#REF!-AR12)/ABS(AR12),2)</f>
        <v>#REF!</v>
      </c>
    </row>
    <row r="13" spans="1:50" x14ac:dyDescent="0.4">
      <c r="A13" s="194" t="str">
        <f>A7</f>
        <v>Other&amp; (ACA )</v>
      </c>
      <c r="B13" s="52"/>
      <c r="C13" s="131">
        <v>29099</v>
      </c>
      <c r="D13" s="131">
        <f>-715+27238</f>
        <v>26523</v>
      </c>
      <c r="E13" s="131">
        <f>152453+96770</f>
        <v>249223</v>
      </c>
      <c r="F13" s="131">
        <f>61624+19179</f>
        <v>80803</v>
      </c>
      <c r="G13" s="131">
        <v>186167</v>
      </c>
      <c r="H13" s="131">
        <f>87759+163948</f>
        <v>251707</v>
      </c>
      <c r="I13" s="131">
        <f>122835+49037</f>
        <v>171872</v>
      </c>
      <c r="J13" s="131">
        <f>45124+163964</f>
        <v>209088</v>
      </c>
      <c r="K13" s="131">
        <f>235453+93793</f>
        <v>329246</v>
      </c>
      <c r="L13" s="131">
        <f>96420+5312</f>
        <v>101732</v>
      </c>
      <c r="M13" s="131">
        <f>248345+3717</f>
        <v>252062</v>
      </c>
      <c r="N13" s="132">
        <v>875966.4</v>
      </c>
      <c r="O13" s="132">
        <v>291988.8</v>
      </c>
      <c r="P13" s="132">
        <v>290822.40000000002</v>
      </c>
      <c r="Q13" s="133">
        <v>933120</v>
      </c>
      <c r="R13" s="133">
        <v>933120</v>
      </c>
      <c r="S13" s="133">
        <v>1244160</v>
      </c>
      <c r="T13" s="134">
        <v>603443.52</v>
      </c>
      <c r="U13" s="134">
        <v>602640</v>
      </c>
      <c r="V13" s="134">
        <v>736884.08</v>
      </c>
      <c r="W13" s="167">
        <v>1026432</v>
      </c>
      <c r="X13" s="167">
        <v>1025063.424</v>
      </c>
      <c r="Y13" s="167">
        <v>1156275.648</v>
      </c>
      <c r="Z13" s="168">
        <f t="shared" si="6"/>
        <v>0</v>
      </c>
      <c r="AA13" s="168">
        <f t="shared" si="13"/>
        <v>9.9657932085066278E-2</v>
      </c>
      <c r="AB13" s="168">
        <f>(+D13-P13)/ABS(P13)</f>
        <v>-0.90880000990295107</v>
      </c>
      <c r="AC13" s="168">
        <f t="shared" ref="AC13:AC30" si="18">+E13/Q13</f>
        <v>0.26708569101508917</v>
      </c>
      <c r="AD13" s="168">
        <f t="shared" ref="AD13:AD30" si="19">+F13/R13</f>
        <v>8.6594435871056238E-2</v>
      </c>
      <c r="AE13" s="168">
        <f t="shared" si="14"/>
        <v>0.14963268389917694</v>
      </c>
      <c r="AF13" s="168">
        <f t="shared" si="14"/>
        <v>0.41711774450738986</v>
      </c>
      <c r="AG13" s="168">
        <f t="shared" si="14"/>
        <v>0.28519846010885436</v>
      </c>
      <c r="AH13" s="168">
        <f t="shared" si="10"/>
        <v>0.28374612191377513</v>
      </c>
      <c r="AI13" s="168">
        <f t="shared" si="11"/>
        <v>0.32076747412395562</v>
      </c>
      <c r="AJ13" s="168">
        <f t="shared" si="12"/>
        <v>9.9244590742513905E-2</v>
      </c>
      <c r="AK13" s="51">
        <f t="shared" si="16"/>
        <v>1812072</v>
      </c>
      <c r="AL13" s="39" t="e">
        <f>ROUND(#REF!/AK13,4)-1</f>
        <v>#REF!</v>
      </c>
      <c r="AM13" s="1"/>
      <c r="AN13" s="22">
        <v>4400000</v>
      </c>
      <c r="AO13" s="23"/>
      <c r="AP13" s="40">
        <v>1812072</v>
      </c>
      <c r="AQ13" s="25" t="e">
        <f>ROUND((#REF!-AP13)/ABS(AP13),2)</f>
        <v>#REF!</v>
      </c>
      <c r="AR13" s="41">
        <f t="shared" si="17"/>
        <v>3106036</v>
      </c>
      <c r="AS13" s="27" t="e">
        <f>ROUND((#REF!-AR13)/ABS(AR13),2)</f>
        <v>#REF!</v>
      </c>
    </row>
    <row r="14" spans="1:50" ht="20.25" customHeight="1" x14ac:dyDescent="0.4">
      <c r="A14" s="199" t="s">
        <v>31</v>
      </c>
      <c r="B14" s="200" t="e">
        <f t="shared" ref="B14:H14" si="20">SUM(B15:B28)</f>
        <v>#REF!</v>
      </c>
      <c r="C14" s="200" t="e">
        <f t="shared" si="20"/>
        <v>#REF!</v>
      </c>
      <c r="D14" s="200" t="e">
        <f t="shared" si="20"/>
        <v>#REF!</v>
      </c>
      <c r="E14" s="200" t="e">
        <f t="shared" si="20"/>
        <v>#REF!</v>
      </c>
      <c r="F14" s="200" t="e">
        <f t="shared" si="20"/>
        <v>#REF!</v>
      </c>
      <c r="G14" s="200" t="e">
        <f t="shared" si="20"/>
        <v>#REF!</v>
      </c>
      <c r="H14" s="200" t="e">
        <f t="shared" si="20"/>
        <v>#REF!</v>
      </c>
      <c r="I14" s="200" t="e">
        <f>SUM(I15:I21)</f>
        <v>#REF!</v>
      </c>
      <c r="J14" s="200" t="e">
        <f t="shared" ref="J14:Y14" si="21">SUM(J15:J28)</f>
        <v>#REF!</v>
      </c>
      <c r="K14" s="200" t="e">
        <f t="shared" si="21"/>
        <v>#REF!</v>
      </c>
      <c r="L14" s="200" t="e">
        <f t="shared" si="21"/>
        <v>#REF!</v>
      </c>
      <c r="M14" s="200" t="e">
        <f t="shared" si="21"/>
        <v>#REF!</v>
      </c>
      <c r="N14" s="201" t="e">
        <f t="shared" si="21"/>
        <v>#REF!</v>
      </c>
      <c r="O14" s="201" t="e">
        <f t="shared" si="21"/>
        <v>#REF!</v>
      </c>
      <c r="P14" s="201" t="e">
        <f t="shared" si="21"/>
        <v>#REF!</v>
      </c>
      <c r="Q14" s="202" t="e">
        <f t="shared" si="21"/>
        <v>#REF!</v>
      </c>
      <c r="R14" s="202" t="e">
        <f t="shared" si="21"/>
        <v>#REF!</v>
      </c>
      <c r="S14" s="202" t="e">
        <f t="shared" si="21"/>
        <v>#REF!</v>
      </c>
      <c r="T14" s="203" t="e">
        <f t="shared" si="21"/>
        <v>#REF!</v>
      </c>
      <c r="U14" s="203" t="e">
        <f t="shared" si="21"/>
        <v>#REF!</v>
      </c>
      <c r="V14" s="203" t="e">
        <f t="shared" si="21"/>
        <v>#REF!</v>
      </c>
      <c r="W14" s="204" t="e">
        <f t="shared" si="21"/>
        <v>#REF!</v>
      </c>
      <c r="X14" s="204" t="e">
        <f t="shared" si="21"/>
        <v>#REF!</v>
      </c>
      <c r="Y14" s="204" t="e">
        <f t="shared" si="21"/>
        <v>#REF!</v>
      </c>
      <c r="Z14" s="196" t="e">
        <f t="shared" si="6"/>
        <v>#REF!</v>
      </c>
      <c r="AA14" s="196" t="e">
        <f t="shared" si="13"/>
        <v>#REF!</v>
      </c>
      <c r="AB14" s="196" t="e">
        <f t="shared" ref="AB14:AB16" si="22">+D14/P14</f>
        <v>#REF!</v>
      </c>
      <c r="AC14" s="196" t="e">
        <f t="shared" si="18"/>
        <v>#REF!</v>
      </c>
      <c r="AD14" s="196" t="e">
        <f t="shared" si="19"/>
        <v>#REF!</v>
      </c>
      <c r="AE14" s="196" t="e">
        <f>+G14/S14</f>
        <v>#REF!</v>
      </c>
      <c r="AF14" s="196" t="e">
        <f t="shared" ref="AF14:AF17" si="23">+H14/T14</f>
        <v>#REF!</v>
      </c>
      <c r="AG14" s="196" t="e">
        <f>+I14/U14</f>
        <v>#REF!</v>
      </c>
      <c r="AH14" s="196" t="e">
        <f t="shared" si="10"/>
        <v>#REF!</v>
      </c>
      <c r="AI14" s="196" t="e">
        <f t="shared" si="11"/>
        <v>#REF!</v>
      </c>
      <c r="AJ14" s="196" t="e">
        <f t="shared" si="12"/>
        <v>#REF!</v>
      </c>
      <c r="AK14" s="28">
        <f>AK4-AK10</f>
        <v>19235536</v>
      </c>
      <c r="AL14" s="29" t="e">
        <f>ROUND(#REF!/AK14,4)-1</f>
        <v>#REF!</v>
      </c>
      <c r="AM14" s="1"/>
      <c r="AN14" s="30">
        <f>AN4-AN10</f>
        <v>35207000</v>
      </c>
      <c r="AO14" s="23"/>
      <c r="AP14" s="53" t="e">
        <f>SUM(AP15:AP28)</f>
        <v>#REF!</v>
      </c>
      <c r="AQ14" s="32" t="e">
        <f>ROUND((#REF!-AP14)/ABS(AP14),2)</f>
        <v>#REF!</v>
      </c>
      <c r="AR14" s="54" t="e">
        <f>SUM(AR15:AR28)</f>
        <v>#REF!</v>
      </c>
      <c r="AS14" s="34" t="e">
        <f>ROUND((#REF!-AR14)/ABS(AR14),2)</f>
        <v>#REF!</v>
      </c>
      <c r="AT14" s="1"/>
      <c r="AU14" s="35"/>
      <c r="AV14" s="35"/>
      <c r="AW14" s="35"/>
      <c r="AX14" s="35"/>
    </row>
    <row r="15" spans="1:50" x14ac:dyDescent="0.4">
      <c r="A15" s="195" t="str">
        <f>A5</f>
        <v>Book</v>
      </c>
      <c r="B15" s="131">
        <f t="shared" ref="B15:Y15" si="24">+B5-B11</f>
        <v>1125682</v>
      </c>
      <c r="C15" s="131">
        <f t="shared" si="24"/>
        <v>2627174</v>
      </c>
      <c r="D15" s="131">
        <f t="shared" si="24"/>
        <v>2336077</v>
      </c>
      <c r="E15" s="131">
        <f t="shared" si="24"/>
        <v>734821</v>
      </c>
      <c r="F15" s="131">
        <f t="shared" si="24"/>
        <v>431069</v>
      </c>
      <c r="G15" s="131">
        <f t="shared" si="24"/>
        <v>1113567</v>
      </c>
      <c r="H15" s="131">
        <f t="shared" si="24"/>
        <v>978587</v>
      </c>
      <c r="I15" s="131">
        <f t="shared" si="24"/>
        <v>1407126</v>
      </c>
      <c r="J15" s="131">
        <f t="shared" si="24"/>
        <v>3475828</v>
      </c>
      <c r="K15" s="131">
        <f t="shared" si="24"/>
        <v>1359642</v>
      </c>
      <c r="L15" s="131">
        <f t="shared" si="24"/>
        <v>797876</v>
      </c>
      <c r="M15" s="131">
        <f t="shared" si="24"/>
        <v>1618026</v>
      </c>
      <c r="N15" s="169">
        <f t="shared" si="24"/>
        <v>1400000</v>
      </c>
      <c r="O15" s="169">
        <f t="shared" si="24"/>
        <v>2280000</v>
      </c>
      <c r="P15" s="169">
        <f t="shared" si="24"/>
        <v>1900000</v>
      </c>
      <c r="Q15" s="170">
        <f t="shared" si="24"/>
        <v>1710000</v>
      </c>
      <c r="R15" s="170">
        <f t="shared" si="24"/>
        <v>1330000</v>
      </c>
      <c r="S15" s="170">
        <f t="shared" si="24"/>
        <v>1216000</v>
      </c>
      <c r="T15" s="171">
        <f t="shared" si="24"/>
        <v>1320000</v>
      </c>
      <c r="U15" s="171">
        <f t="shared" si="24"/>
        <v>1980000</v>
      </c>
      <c r="V15" s="171">
        <f t="shared" si="24"/>
        <v>6720000</v>
      </c>
      <c r="W15" s="172">
        <f t="shared" si="24"/>
        <v>1520000</v>
      </c>
      <c r="X15" s="172">
        <f t="shared" si="24"/>
        <v>1330000</v>
      </c>
      <c r="Y15" s="172">
        <f t="shared" si="24"/>
        <v>1710000</v>
      </c>
      <c r="Z15" s="168">
        <f t="shared" si="6"/>
        <v>0.8040585714285714</v>
      </c>
      <c r="AA15" s="168">
        <f t="shared" si="13"/>
        <v>1.152269298245614</v>
      </c>
      <c r="AB15" s="168">
        <f t="shared" si="22"/>
        <v>1.2295142105263157</v>
      </c>
      <c r="AC15" s="168">
        <f t="shared" si="18"/>
        <v>0.42971988304093567</v>
      </c>
      <c r="AD15" s="168">
        <f t="shared" si="19"/>
        <v>0.32411203007518796</v>
      </c>
      <c r="AE15" s="168">
        <f>+G15/S15</f>
        <v>0.91576233552631581</v>
      </c>
      <c r="AF15" s="168">
        <f t="shared" si="23"/>
        <v>0.74135378787878792</v>
      </c>
      <c r="AG15" s="168">
        <f>+I15/U15</f>
        <v>0.71066969696969695</v>
      </c>
      <c r="AH15" s="168">
        <f t="shared" si="10"/>
        <v>0.5172363095238095</v>
      </c>
      <c r="AI15" s="168">
        <f t="shared" si="11"/>
        <v>0.89450131578947367</v>
      </c>
      <c r="AJ15" s="168">
        <f t="shared" si="12"/>
        <v>0.59990676691729328</v>
      </c>
      <c r="AK15" s="38">
        <f>AK5-AK11</f>
        <v>16588347</v>
      </c>
      <c r="AL15" s="39" t="e">
        <f>ROUND(#REF!/AK15,4)-1</f>
        <v>#REF!</v>
      </c>
      <c r="AM15" s="1"/>
      <c r="AN15" s="22">
        <f>AN5-AN11</f>
        <v>25729140</v>
      </c>
      <c r="AO15" s="23"/>
      <c r="AP15" s="40">
        <f>AP5-AP11</f>
        <v>16588347</v>
      </c>
      <c r="AQ15" s="25" t="e">
        <f>ROUND((#REF!-AP15)/ABS(AP15),2)</f>
        <v>#REF!</v>
      </c>
      <c r="AR15" s="41">
        <f>AR5-AR11</f>
        <v>21158743.5</v>
      </c>
      <c r="AS15" s="27" t="e">
        <f>ROUND((#REF!-AR15)/ABS(AR15),2)</f>
        <v>#REF!</v>
      </c>
    </row>
    <row r="16" spans="1:50" x14ac:dyDescent="0.4">
      <c r="A16" s="195" t="str">
        <f>A6</f>
        <v>e-Learning</v>
      </c>
      <c r="B16" s="131">
        <f t="shared" ref="B16:Y16" si="25">+B6-B12</f>
        <v>-24276</v>
      </c>
      <c r="C16" s="131">
        <f t="shared" si="25"/>
        <v>5392</v>
      </c>
      <c r="D16" s="131">
        <f t="shared" si="25"/>
        <v>60001</v>
      </c>
      <c r="E16" s="131">
        <f t="shared" si="25"/>
        <v>0</v>
      </c>
      <c r="F16" s="131">
        <f t="shared" si="25"/>
        <v>199425</v>
      </c>
      <c r="G16" s="131">
        <f t="shared" si="25"/>
        <v>0</v>
      </c>
      <c r="H16" s="131">
        <f t="shared" si="25"/>
        <v>93925</v>
      </c>
      <c r="I16" s="131">
        <f t="shared" si="25"/>
        <v>34667</v>
      </c>
      <c r="J16" s="131">
        <f t="shared" si="25"/>
        <v>110855</v>
      </c>
      <c r="K16" s="131">
        <f t="shared" si="25"/>
        <v>0</v>
      </c>
      <c r="L16" s="131">
        <f t="shared" si="25"/>
        <v>0</v>
      </c>
      <c r="M16" s="131">
        <f t="shared" si="25"/>
        <v>0</v>
      </c>
      <c r="N16" s="169">
        <f t="shared" si="25"/>
        <v>144000</v>
      </c>
      <c r="O16" s="169">
        <f t="shared" si="25"/>
        <v>144000</v>
      </c>
      <c r="P16" s="169">
        <f t="shared" si="25"/>
        <v>336000</v>
      </c>
      <c r="Q16" s="170">
        <f t="shared" si="25"/>
        <v>240000</v>
      </c>
      <c r="R16" s="170">
        <f t="shared" si="25"/>
        <v>336000</v>
      </c>
      <c r="S16" s="170">
        <f t="shared" si="25"/>
        <v>384000</v>
      </c>
      <c r="T16" s="171">
        <f t="shared" si="25"/>
        <v>288000</v>
      </c>
      <c r="U16" s="171">
        <f t="shared" si="25"/>
        <v>288000</v>
      </c>
      <c r="V16" s="171">
        <f t="shared" si="25"/>
        <v>432000</v>
      </c>
      <c r="W16" s="172">
        <f t="shared" si="25"/>
        <v>336000</v>
      </c>
      <c r="X16" s="172">
        <f t="shared" si="25"/>
        <v>288000</v>
      </c>
      <c r="Y16" s="172">
        <f t="shared" si="25"/>
        <v>288000</v>
      </c>
      <c r="Z16" s="168">
        <f>(+B16-N16)/ABS(N16)</f>
        <v>-1.1685833333333333</v>
      </c>
      <c r="AA16" s="168">
        <f t="shared" si="13"/>
        <v>3.7444444444444447E-2</v>
      </c>
      <c r="AB16" s="168">
        <f t="shared" si="22"/>
        <v>0.17857440476190475</v>
      </c>
      <c r="AC16" s="168">
        <f t="shared" si="18"/>
        <v>0</v>
      </c>
      <c r="AD16" s="168">
        <f t="shared" si="19"/>
        <v>0.59352678571428574</v>
      </c>
      <c r="AE16" s="168">
        <f>+G16/S16</f>
        <v>0</v>
      </c>
      <c r="AF16" s="168">
        <f t="shared" si="23"/>
        <v>0.32612847222222224</v>
      </c>
      <c r="AG16" s="168">
        <f>+I16/U16</f>
        <v>0.12037152777777778</v>
      </c>
      <c r="AH16" s="168">
        <f t="shared" si="10"/>
        <v>0.25660879629629629</v>
      </c>
      <c r="AI16" s="168">
        <f t="shared" si="11"/>
        <v>0</v>
      </c>
      <c r="AJ16" s="168">
        <f t="shared" si="12"/>
        <v>0</v>
      </c>
      <c r="AK16" s="38">
        <f>AK6-AK12</f>
        <v>2185115</v>
      </c>
      <c r="AL16" s="39" t="e">
        <f>ROUND(#REF!/AK16,4)-1</f>
        <v>#REF!</v>
      </c>
      <c r="AM16" s="1"/>
      <c r="AN16" s="22">
        <f>AN6-AN12</f>
        <v>5877860</v>
      </c>
      <c r="AO16" s="23"/>
      <c r="AP16" s="40">
        <f>AP6-AP12</f>
        <v>2185115</v>
      </c>
      <c r="AQ16" s="25" t="e">
        <f>ROUND((#REF!-AP16)/ABS(AP16),2)</f>
        <v>#REF!</v>
      </c>
      <c r="AR16" s="41">
        <f>AR6-AR12</f>
        <v>4031487.5</v>
      </c>
      <c r="AS16" s="46" t="e">
        <f>ROUND((#REF!-AR16)/ABS(AR16),2)</f>
        <v>#REF!</v>
      </c>
    </row>
    <row r="17" spans="1:50" x14ac:dyDescent="0.4">
      <c r="A17" s="195" t="str">
        <f>A7</f>
        <v>Other&amp; (ACA )</v>
      </c>
      <c r="B17" s="131">
        <f t="shared" ref="B17:Y17" si="26">+B7-B13</f>
        <v>0</v>
      </c>
      <c r="C17" s="131">
        <f t="shared" si="26"/>
        <v>13591</v>
      </c>
      <c r="D17" s="131">
        <f t="shared" si="26"/>
        <v>-275</v>
      </c>
      <c r="E17" s="131">
        <f t="shared" si="26"/>
        <v>179125</v>
      </c>
      <c r="F17" s="131">
        <f t="shared" si="26"/>
        <v>48965</v>
      </c>
      <c r="G17" s="131">
        <f t="shared" si="26"/>
        <v>38290</v>
      </c>
      <c r="H17" s="131">
        <f t="shared" si="26"/>
        <v>39995</v>
      </c>
      <c r="I17" s="131">
        <f t="shared" si="26"/>
        <v>31619</v>
      </c>
      <c r="J17" s="131">
        <f t="shared" si="26"/>
        <v>-18052</v>
      </c>
      <c r="K17" s="131">
        <f t="shared" si="26"/>
        <v>65070</v>
      </c>
      <c r="L17" s="131">
        <f t="shared" si="26"/>
        <v>26882</v>
      </c>
      <c r="M17" s="131">
        <f t="shared" si="26"/>
        <v>267231</v>
      </c>
      <c r="N17" s="169">
        <f t="shared" si="26"/>
        <v>290433.59999999998</v>
      </c>
      <c r="O17" s="169">
        <f t="shared" si="26"/>
        <v>96811.200000000012</v>
      </c>
      <c r="P17" s="169">
        <f t="shared" si="26"/>
        <v>97977.599999999977</v>
      </c>
      <c r="Q17" s="170">
        <f t="shared" si="26"/>
        <v>311040</v>
      </c>
      <c r="R17" s="170">
        <f t="shared" si="26"/>
        <v>311040</v>
      </c>
      <c r="S17" s="170">
        <f t="shared" si="26"/>
        <v>414720</v>
      </c>
      <c r="T17" s="171">
        <f t="shared" si="26"/>
        <v>200076.47999999998</v>
      </c>
      <c r="U17" s="171">
        <f t="shared" si="26"/>
        <v>200880</v>
      </c>
      <c r="V17" s="171">
        <f t="shared" si="26"/>
        <v>248075.92000000004</v>
      </c>
      <c r="W17" s="172">
        <f t="shared" si="26"/>
        <v>342144</v>
      </c>
      <c r="X17" s="172">
        <f t="shared" si="26"/>
        <v>343512.576</v>
      </c>
      <c r="Y17" s="172">
        <f t="shared" si="26"/>
        <v>383372.35199999996</v>
      </c>
      <c r="Z17" s="168">
        <f t="shared" ref="Z17:Z31" si="27">+B17/N17</f>
        <v>0</v>
      </c>
      <c r="AA17" s="168">
        <f t="shared" si="13"/>
        <v>0.14038664947857271</v>
      </c>
      <c r="AB17" s="168">
        <f>(+D17-P17)/ABS(P17)</f>
        <v>-1.0028067639950355</v>
      </c>
      <c r="AC17" s="168">
        <f t="shared" si="18"/>
        <v>0.57589056069958844</v>
      </c>
      <c r="AD17" s="168">
        <f t="shared" si="19"/>
        <v>0.15742348251028807</v>
      </c>
      <c r="AE17" s="168">
        <f>+G17/S17</f>
        <v>9.2327353395061734E-2</v>
      </c>
      <c r="AF17" s="168">
        <f t="shared" si="23"/>
        <v>0.19989855879111829</v>
      </c>
      <c r="AG17" s="168">
        <f>+I17/U17</f>
        <v>0.15740242931103146</v>
      </c>
      <c r="AH17" s="168">
        <f>(+J17-V17)/ABS(V17)</f>
        <v>-1.072768046169092</v>
      </c>
      <c r="AI17" s="168">
        <f>+K17/W17</f>
        <v>0.1901830808080808</v>
      </c>
      <c r="AJ17" s="168">
        <f>+L17/X17</f>
        <v>7.825623245886637E-2</v>
      </c>
      <c r="AK17" s="38">
        <f>AK7-AK13</f>
        <v>462074</v>
      </c>
      <c r="AL17" s="39" t="e">
        <f>ROUND(#REF!/AK17,4)-1</f>
        <v>#REF!</v>
      </c>
      <c r="AM17" s="1"/>
      <c r="AN17" s="22">
        <f>AN7-AN13</f>
        <v>3600000</v>
      </c>
      <c r="AO17" s="23"/>
      <c r="AP17" s="40">
        <f>AP7-AP13</f>
        <v>462074</v>
      </c>
      <c r="AQ17" s="25" t="e">
        <f>ROUND((#REF!-AP17)/ABS(AP17),2)</f>
        <v>#REF!</v>
      </c>
      <c r="AR17" s="41">
        <f>AR7-AR13</f>
        <v>2031037</v>
      </c>
      <c r="AS17" s="27" t="e">
        <f>ROUND((#REF!-AR17)/ABS(AR17),2)</f>
        <v>#REF!</v>
      </c>
    </row>
    <row r="18" spans="1:50" hidden="1" x14ac:dyDescent="0.4">
      <c r="A18" s="195"/>
      <c r="B18" s="131" t="e">
        <f>+#REF!-#REF!</f>
        <v>#REF!</v>
      </c>
      <c r="C18" s="131" t="e">
        <f>+#REF!-#REF!</f>
        <v>#REF!</v>
      </c>
      <c r="D18" s="131" t="e">
        <f>+#REF!-#REF!</f>
        <v>#REF!</v>
      </c>
      <c r="E18" s="131" t="e">
        <f>+#REF!-#REF!</f>
        <v>#REF!</v>
      </c>
      <c r="F18" s="131" t="e">
        <f>+#REF!-#REF!</f>
        <v>#REF!</v>
      </c>
      <c r="G18" s="131" t="e">
        <f>+#REF!-#REF!</f>
        <v>#REF!</v>
      </c>
      <c r="H18" s="131" t="e">
        <f>+#REF!-#REF!</f>
        <v>#REF!</v>
      </c>
      <c r="I18" s="131" t="e">
        <f>+#REF!-#REF!</f>
        <v>#REF!</v>
      </c>
      <c r="J18" s="131" t="e">
        <f>+#REF!-#REF!</f>
        <v>#REF!</v>
      </c>
      <c r="K18" s="131" t="e">
        <f>+#REF!-#REF!</f>
        <v>#REF!</v>
      </c>
      <c r="L18" s="131" t="e">
        <f>+#REF!-#REF!</f>
        <v>#REF!</v>
      </c>
      <c r="M18" s="131" t="e">
        <f>+#REF!-#REF!</f>
        <v>#REF!</v>
      </c>
      <c r="N18" s="130" t="e">
        <f>+#REF!-#REF!</f>
        <v>#REF!</v>
      </c>
      <c r="O18" s="169" t="e">
        <f>+#REF!-#REF!</f>
        <v>#REF!</v>
      </c>
      <c r="P18" s="169" t="e">
        <f>+#REF!-#REF!</f>
        <v>#REF!</v>
      </c>
      <c r="Q18" s="170" t="e">
        <f>+#REF!-#REF!</f>
        <v>#REF!</v>
      </c>
      <c r="R18" s="170" t="e">
        <f>+#REF!-#REF!</f>
        <v>#REF!</v>
      </c>
      <c r="S18" s="170" t="e">
        <f>+#REF!-#REF!</f>
        <v>#REF!</v>
      </c>
      <c r="T18" s="171" t="e">
        <f>+#REF!-#REF!</f>
        <v>#REF!</v>
      </c>
      <c r="U18" s="171" t="e">
        <f>+#REF!-#REF!</f>
        <v>#REF!</v>
      </c>
      <c r="V18" s="171" t="e">
        <f>+#REF!-#REF!</f>
        <v>#REF!</v>
      </c>
      <c r="W18" s="172" t="e">
        <f>+#REF!-#REF!</f>
        <v>#REF!</v>
      </c>
      <c r="X18" s="172" t="e">
        <f>+#REF!-#REF!</f>
        <v>#REF!</v>
      </c>
      <c r="Y18" s="172" t="e">
        <f>+#REF!-#REF!</f>
        <v>#REF!</v>
      </c>
      <c r="Z18" s="168" t="e">
        <f t="shared" si="27"/>
        <v>#REF!</v>
      </c>
      <c r="AA18" s="168"/>
      <c r="AB18" s="168" t="e">
        <f t="shared" ref="AB18:AB30" si="28">+D18/P18</f>
        <v>#REF!</v>
      </c>
      <c r="AC18" s="168" t="e">
        <f t="shared" si="18"/>
        <v>#REF!</v>
      </c>
      <c r="AD18" s="168" t="e">
        <f t="shared" si="19"/>
        <v>#REF!</v>
      </c>
      <c r="AE18" s="168"/>
      <c r="AF18" s="168"/>
      <c r="AG18" s="168"/>
      <c r="AH18" s="168"/>
      <c r="AI18" s="168" t="e">
        <f t="shared" ref="AI18:AI30" si="29">+K18/W18</f>
        <v>#REF!</v>
      </c>
      <c r="AJ18" s="168"/>
      <c r="AK18" s="38" t="e">
        <f>#REF!-#REF!</f>
        <v>#REF!</v>
      </c>
      <c r="AL18" s="39" t="e">
        <f>ROUND(#REF!/AK18,4)-1</f>
        <v>#REF!</v>
      </c>
      <c r="AM18" s="1"/>
      <c r="AN18" s="22" t="e">
        <f>#REF!-#REF!</f>
        <v>#REF!</v>
      </c>
      <c r="AO18" s="23"/>
      <c r="AP18" s="40" t="e">
        <f>#REF!-#REF!</f>
        <v>#REF!</v>
      </c>
      <c r="AQ18" s="25" t="e">
        <f>ROUND((#REF!-AP18)/ABS(AP18),2)</f>
        <v>#REF!</v>
      </c>
      <c r="AR18" s="41" t="e">
        <f>#REF!-#REF!</f>
        <v>#REF!</v>
      </c>
      <c r="AS18" s="27" t="e">
        <f>ROUND((#REF!-AR18)/ABS(AR18),2)</f>
        <v>#REF!</v>
      </c>
    </row>
    <row r="19" spans="1:50" hidden="1" x14ac:dyDescent="0.4">
      <c r="A19" s="195"/>
      <c r="B19" s="131" t="e">
        <f>+#REF!-#REF!</f>
        <v>#REF!</v>
      </c>
      <c r="C19" s="131" t="e">
        <f>+#REF!-#REF!</f>
        <v>#REF!</v>
      </c>
      <c r="D19" s="131" t="e">
        <f>+#REF!-#REF!</f>
        <v>#REF!</v>
      </c>
      <c r="E19" s="131" t="e">
        <f>+#REF!-#REF!</f>
        <v>#REF!</v>
      </c>
      <c r="F19" s="131" t="e">
        <f>+#REF!-#REF!</f>
        <v>#REF!</v>
      </c>
      <c r="G19" s="131" t="e">
        <f>+#REF!-#REF!</f>
        <v>#REF!</v>
      </c>
      <c r="H19" s="131" t="e">
        <f>+#REF!-#REF!</f>
        <v>#REF!</v>
      </c>
      <c r="I19" s="131" t="e">
        <f>+#REF!-#REF!</f>
        <v>#REF!</v>
      </c>
      <c r="J19" s="131" t="e">
        <f>+#REF!-#REF!</f>
        <v>#REF!</v>
      </c>
      <c r="K19" s="131" t="e">
        <f>+#REF!-#REF!</f>
        <v>#REF!</v>
      </c>
      <c r="L19" s="131" t="e">
        <f>+#REF!-#REF!</f>
        <v>#REF!</v>
      </c>
      <c r="M19" s="131" t="e">
        <f>+#REF!-#REF!</f>
        <v>#REF!</v>
      </c>
      <c r="N19" s="130" t="e">
        <f>+#REF!-#REF!</f>
        <v>#REF!</v>
      </c>
      <c r="O19" s="169" t="e">
        <f>+#REF!-#REF!</f>
        <v>#REF!</v>
      </c>
      <c r="P19" s="169" t="e">
        <f>+#REF!-#REF!</f>
        <v>#REF!</v>
      </c>
      <c r="Q19" s="170" t="e">
        <f>+#REF!-#REF!</f>
        <v>#REF!</v>
      </c>
      <c r="R19" s="170" t="e">
        <f>+#REF!-#REF!</f>
        <v>#REF!</v>
      </c>
      <c r="S19" s="170" t="e">
        <f>+#REF!-#REF!</f>
        <v>#REF!</v>
      </c>
      <c r="T19" s="171" t="e">
        <f>+#REF!-#REF!</f>
        <v>#REF!</v>
      </c>
      <c r="U19" s="171" t="e">
        <f>+#REF!-#REF!</f>
        <v>#REF!</v>
      </c>
      <c r="V19" s="171" t="e">
        <f>+#REF!-#REF!</f>
        <v>#REF!</v>
      </c>
      <c r="W19" s="172" t="e">
        <f>+#REF!-#REF!</f>
        <v>#REF!</v>
      </c>
      <c r="X19" s="172" t="e">
        <f>+#REF!-#REF!</f>
        <v>#REF!</v>
      </c>
      <c r="Y19" s="172" t="e">
        <f>+#REF!-#REF!</f>
        <v>#REF!</v>
      </c>
      <c r="Z19" s="168" t="e">
        <f t="shared" si="27"/>
        <v>#REF!</v>
      </c>
      <c r="AA19" s="168"/>
      <c r="AB19" s="168" t="e">
        <f t="shared" si="28"/>
        <v>#REF!</v>
      </c>
      <c r="AC19" s="168" t="e">
        <f t="shared" si="18"/>
        <v>#REF!</v>
      </c>
      <c r="AD19" s="168" t="e">
        <f t="shared" si="19"/>
        <v>#REF!</v>
      </c>
      <c r="AE19" s="168"/>
      <c r="AF19" s="168"/>
      <c r="AG19" s="168"/>
      <c r="AH19" s="168" t="e">
        <f t="shared" ref="AH19:AH30" si="30">+J19/V19</f>
        <v>#REF!</v>
      </c>
      <c r="AI19" s="168" t="e">
        <f t="shared" si="29"/>
        <v>#REF!</v>
      </c>
      <c r="AJ19" s="168" t="e">
        <f t="shared" ref="AJ19:AJ30" si="31">+L19/X19</f>
        <v>#REF!</v>
      </c>
      <c r="AK19" s="38" t="e">
        <f>#REF!-#REF!</f>
        <v>#REF!</v>
      </c>
      <c r="AL19" s="39" t="e">
        <f>ROUND(#REF!/AK19,4)-1</f>
        <v>#REF!</v>
      </c>
      <c r="AM19" s="1"/>
      <c r="AN19" s="22" t="e">
        <f>#REF!-#REF!</f>
        <v>#REF!</v>
      </c>
      <c r="AO19" s="23"/>
      <c r="AP19" s="40" t="e">
        <f>#REF!-#REF!</f>
        <v>#REF!</v>
      </c>
      <c r="AQ19" s="25" t="e">
        <f>ROUND((#REF!-AP19)/ABS(AP19),2)</f>
        <v>#REF!</v>
      </c>
      <c r="AR19" s="26" t="e">
        <f>#REF!-#REF!</f>
        <v>#REF!</v>
      </c>
      <c r="AS19" s="27" t="e">
        <f>ROUND((#REF!-AR19)/ABS(AR19),2)</f>
        <v>#REF!</v>
      </c>
    </row>
    <row r="20" spans="1:50" hidden="1" x14ac:dyDescent="0.4">
      <c r="A20" s="195"/>
      <c r="B20" s="131" t="e">
        <f>+#REF!-#REF!</f>
        <v>#REF!</v>
      </c>
      <c r="C20" s="131" t="e">
        <f>+#REF!-#REF!</f>
        <v>#REF!</v>
      </c>
      <c r="D20" s="131" t="e">
        <f>+#REF!-#REF!</f>
        <v>#REF!</v>
      </c>
      <c r="E20" s="131" t="e">
        <f>+#REF!-#REF!</f>
        <v>#REF!</v>
      </c>
      <c r="F20" s="131" t="e">
        <f>+#REF!-#REF!</f>
        <v>#REF!</v>
      </c>
      <c r="G20" s="131" t="e">
        <f>+#REF!-#REF!</f>
        <v>#REF!</v>
      </c>
      <c r="H20" s="131" t="e">
        <f>+#REF!-#REF!</f>
        <v>#REF!</v>
      </c>
      <c r="I20" s="131" t="e">
        <f>+#REF!-#REF!</f>
        <v>#REF!</v>
      </c>
      <c r="J20" s="131" t="e">
        <f>+#REF!-#REF!</f>
        <v>#REF!</v>
      </c>
      <c r="K20" s="131" t="e">
        <f>+#REF!-#REF!</f>
        <v>#REF!</v>
      </c>
      <c r="L20" s="131" t="e">
        <f>+#REF!-#REF!</f>
        <v>#REF!</v>
      </c>
      <c r="M20" s="131" t="e">
        <f>+#REF!-#REF!</f>
        <v>#REF!</v>
      </c>
      <c r="N20" s="130" t="e">
        <f>+#REF!-#REF!</f>
        <v>#REF!</v>
      </c>
      <c r="O20" s="169" t="e">
        <f>+#REF!-#REF!</f>
        <v>#REF!</v>
      </c>
      <c r="P20" s="169" t="e">
        <f>+#REF!-#REF!</f>
        <v>#REF!</v>
      </c>
      <c r="Q20" s="170" t="e">
        <f>+#REF!-#REF!</f>
        <v>#REF!</v>
      </c>
      <c r="R20" s="170" t="e">
        <f>+#REF!-#REF!</f>
        <v>#REF!</v>
      </c>
      <c r="S20" s="170" t="e">
        <f>+#REF!-#REF!</f>
        <v>#REF!</v>
      </c>
      <c r="T20" s="171" t="e">
        <f>+#REF!-#REF!</f>
        <v>#REF!</v>
      </c>
      <c r="U20" s="171" t="e">
        <f>+#REF!-#REF!</f>
        <v>#REF!</v>
      </c>
      <c r="V20" s="171" t="e">
        <f>+#REF!-#REF!</f>
        <v>#REF!</v>
      </c>
      <c r="W20" s="172" t="e">
        <f>+#REF!-#REF!</f>
        <v>#REF!</v>
      </c>
      <c r="X20" s="172" t="e">
        <f>+#REF!-#REF!</f>
        <v>#REF!</v>
      </c>
      <c r="Y20" s="172" t="e">
        <f>+#REF!-#REF!</f>
        <v>#REF!</v>
      </c>
      <c r="Z20" s="168" t="e">
        <f t="shared" si="27"/>
        <v>#REF!</v>
      </c>
      <c r="AA20" s="168" t="e">
        <f t="shared" ref="AA20:AA28" si="32">+C20/O20</f>
        <v>#REF!</v>
      </c>
      <c r="AB20" s="168" t="e">
        <f t="shared" si="28"/>
        <v>#REF!</v>
      </c>
      <c r="AC20" s="168" t="e">
        <f t="shared" si="18"/>
        <v>#REF!</v>
      </c>
      <c r="AD20" s="168" t="e">
        <f t="shared" si="19"/>
        <v>#REF!</v>
      </c>
      <c r="AE20" s="168"/>
      <c r="AF20" s="168"/>
      <c r="AG20" s="168"/>
      <c r="AH20" s="168" t="e">
        <f t="shared" si="30"/>
        <v>#REF!</v>
      </c>
      <c r="AI20" s="168" t="e">
        <f t="shared" si="29"/>
        <v>#REF!</v>
      </c>
      <c r="AJ20" s="168" t="e">
        <f t="shared" si="31"/>
        <v>#REF!</v>
      </c>
      <c r="AK20" s="38" t="e">
        <f>#REF!-#REF!</f>
        <v>#REF!</v>
      </c>
      <c r="AL20" s="39" t="e">
        <f>ROUND(#REF!/AK20,4)-1</f>
        <v>#REF!</v>
      </c>
      <c r="AM20" s="1"/>
      <c r="AN20" s="22" t="e">
        <f>#REF!-#REF!</f>
        <v>#REF!</v>
      </c>
      <c r="AO20" s="23"/>
      <c r="AP20" s="40" t="e">
        <f>#REF!-#REF!</f>
        <v>#REF!</v>
      </c>
      <c r="AQ20" s="25" t="e">
        <f>ROUND((#REF!-AP20)/ABS(AP20),2)</f>
        <v>#REF!</v>
      </c>
      <c r="AR20" s="26" t="e">
        <f>#REF!-#REF!</f>
        <v>#REF!</v>
      </c>
      <c r="AS20" s="27" t="e">
        <f>ROUND((#REF!-AR20)/ABS(AR20),2)</f>
        <v>#REF!</v>
      </c>
    </row>
    <row r="21" spans="1:50" hidden="1" x14ac:dyDescent="0.4">
      <c r="A21" s="205"/>
      <c r="B21" s="131" t="e">
        <f>+#REF!-#REF!</f>
        <v>#REF!</v>
      </c>
      <c r="C21" s="131" t="e">
        <f>+#REF!-#REF!</f>
        <v>#REF!</v>
      </c>
      <c r="D21" s="131" t="e">
        <f>+#REF!-#REF!</f>
        <v>#REF!</v>
      </c>
      <c r="E21" s="131" t="e">
        <f>+#REF!-#REF!</f>
        <v>#REF!</v>
      </c>
      <c r="F21" s="131" t="e">
        <f>+#REF!-#REF!</f>
        <v>#REF!</v>
      </c>
      <c r="G21" s="131" t="e">
        <f>+#REF!-#REF!</f>
        <v>#REF!</v>
      </c>
      <c r="H21" s="131" t="e">
        <f>+#REF!-#REF!</f>
        <v>#REF!</v>
      </c>
      <c r="I21" s="131" t="e">
        <f>+#REF!-#REF!</f>
        <v>#REF!</v>
      </c>
      <c r="J21" s="131" t="e">
        <f>+#REF!-#REF!</f>
        <v>#REF!</v>
      </c>
      <c r="K21" s="131" t="e">
        <f>+#REF!-#REF!</f>
        <v>#REF!</v>
      </c>
      <c r="L21" s="131" t="e">
        <f>+#REF!-#REF!</f>
        <v>#REF!</v>
      </c>
      <c r="M21" s="131" t="e">
        <f>+#REF!-#REF!</f>
        <v>#REF!</v>
      </c>
      <c r="N21" s="130" t="e">
        <f>+#REF!-#REF!</f>
        <v>#REF!</v>
      </c>
      <c r="O21" s="169" t="e">
        <f>+#REF!-#REF!</f>
        <v>#REF!</v>
      </c>
      <c r="P21" s="169" t="e">
        <f>+#REF!-#REF!</f>
        <v>#REF!</v>
      </c>
      <c r="Q21" s="170" t="e">
        <f>+#REF!-#REF!</f>
        <v>#REF!</v>
      </c>
      <c r="R21" s="170" t="e">
        <f>+#REF!-#REF!</f>
        <v>#REF!</v>
      </c>
      <c r="S21" s="170" t="e">
        <f>+#REF!-#REF!</f>
        <v>#REF!</v>
      </c>
      <c r="T21" s="171" t="e">
        <f>+#REF!-#REF!</f>
        <v>#REF!</v>
      </c>
      <c r="U21" s="171" t="e">
        <f>+#REF!-#REF!</f>
        <v>#REF!</v>
      </c>
      <c r="V21" s="171" t="e">
        <f>+#REF!-#REF!</f>
        <v>#REF!</v>
      </c>
      <c r="W21" s="172" t="e">
        <f>+#REF!-#REF!</f>
        <v>#REF!</v>
      </c>
      <c r="X21" s="172" t="e">
        <f>+#REF!-#REF!</f>
        <v>#REF!</v>
      </c>
      <c r="Y21" s="172" t="e">
        <f>+#REF!-#REF!</f>
        <v>#REF!</v>
      </c>
      <c r="Z21" s="168" t="e">
        <f t="shared" si="27"/>
        <v>#REF!</v>
      </c>
      <c r="AA21" s="168" t="e">
        <f t="shared" si="32"/>
        <v>#REF!</v>
      </c>
      <c r="AB21" s="162" t="e">
        <f t="shared" si="28"/>
        <v>#REF!</v>
      </c>
      <c r="AC21" s="162" t="e">
        <f t="shared" si="18"/>
        <v>#REF!</v>
      </c>
      <c r="AD21" s="168" t="e">
        <f t="shared" si="19"/>
        <v>#REF!</v>
      </c>
      <c r="AE21" s="162" t="e">
        <f t="shared" ref="AE21:AG28" si="33">+G21/S21</f>
        <v>#REF!</v>
      </c>
      <c r="AF21" s="162" t="e">
        <f t="shared" si="33"/>
        <v>#REF!</v>
      </c>
      <c r="AG21" s="162" t="e">
        <f t="shared" si="33"/>
        <v>#REF!</v>
      </c>
      <c r="AH21" s="162" t="e">
        <f t="shared" si="30"/>
        <v>#REF!</v>
      </c>
      <c r="AI21" s="168" t="e">
        <f t="shared" si="29"/>
        <v>#REF!</v>
      </c>
      <c r="AJ21" s="168" t="e">
        <f t="shared" si="31"/>
        <v>#REF!</v>
      </c>
      <c r="AK21" s="38" t="e">
        <f>#REF!-#REF!</f>
        <v>#REF!</v>
      </c>
      <c r="AL21" s="39" t="e">
        <f>ROUND(#REF!/AK21,4)-1</f>
        <v>#REF!</v>
      </c>
      <c r="AM21" s="1"/>
      <c r="AN21" s="22" t="e">
        <f>#REF!-#REF!</f>
        <v>#REF!</v>
      </c>
      <c r="AO21" s="23"/>
      <c r="AP21" s="40" t="e">
        <f>#REF!-#REF!</f>
        <v>#REF!</v>
      </c>
      <c r="AQ21" s="25" t="e">
        <f>ROUND((#REF!-AP21)/ABS(AP21),2)</f>
        <v>#REF!</v>
      </c>
      <c r="AR21" s="26" t="e">
        <f>#REF!-#REF!</f>
        <v>#REF!</v>
      </c>
      <c r="AS21" s="27" t="e">
        <f>ROUND((#REF!-AR21)/ABS(AR21),2)</f>
        <v>#REF!</v>
      </c>
    </row>
    <row r="22" spans="1:50" hidden="1" x14ac:dyDescent="0.4">
      <c r="A22" s="206">
        <v>0</v>
      </c>
      <c r="B22" s="131" t="e">
        <f>+#REF!-#REF!</f>
        <v>#REF!</v>
      </c>
      <c r="C22" s="131" t="e">
        <f>+#REF!-#REF!</f>
        <v>#REF!</v>
      </c>
      <c r="D22" s="131" t="e">
        <f>+#REF!-#REF!</f>
        <v>#REF!</v>
      </c>
      <c r="E22" s="131" t="e">
        <f>+#REF!-#REF!</f>
        <v>#REF!</v>
      </c>
      <c r="F22" s="131" t="e">
        <f>+#REF!-#REF!</f>
        <v>#REF!</v>
      </c>
      <c r="G22" s="131" t="e">
        <f>+#REF!-#REF!</f>
        <v>#REF!</v>
      </c>
      <c r="H22" s="131" t="e">
        <f>+#REF!-#REF!</f>
        <v>#REF!</v>
      </c>
      <c r="I22" s="131" t="e">
        <f>+#REF!-#REF!</f>
        <v>#REF!</v>
      </c>
      <c r="J22" s="131" t="e">
        <f>+#REF!-#REF!</f>
        <v>#REF!</v>
      </c>
      <c r="K22" s="131" t="e">
        <f>+#REF!-#REF!</f>
        <v>#REF!</v>
      </c>
      <c r="L22" s="131" t="e">
        <f>+#REF!-#REF!</f>
        <v>#REF!</v>
      </c>
      <c r="M22" s="131" t="e">
        <f>+#REF!-#REF!</f>
        <v>#REF!</v>
      </c>
      <c r="N22" s="130" t="e">
        <f>+#REF!-#REF!</f>
        <v>#REF!</v>
      </c>
      <c r="O22" s="169" t="e">
        <f>+#REF!-#REF!</f>
        <v>#REF!</v>
      </c>
      <c r="P22" s="169" t="e">
        <f>+#REF!-#REF!</f>
        <v>#REF!</v>
      </c>
      <c r="Q22" s="170" t="e">
        <f>+#REF!-#REF!</f>
        <v>#REF!</v>
      </c>
      <c r="R22" s="170" t="e">
        <f>+#REF!-#REF!</f>
        <v>#REF!</v>
      </c>
      <c r="S22" s="170" t="e">
        <f>+#REF!-#REF!</f>
        <v>#REF!</v>
      </c>
      <c r="T22" s="171" t="e">
        <f>+#REF!-#REF!</f>
        <v>#REF!</v>
      </c>
      <c r="U22" s="171" t="e">
        <f>+#REF!-#REF!</f>
        <v>#REF!</v>
      </c>
      <c r="V22" s="171" t="e">
        <f>+#REF!-#REF!</f>
        <v>#REF!</v>
      </c>
      <c r="W22" s="172" t="e">
        <f>+#REF!-#REF!</f>
        <v>#REF!</v>
      </c>
      <c r="X22" s="172" t="e">
        <f>+#REF!-#REF!</f>
        <v>#REF!</v>
      </c>
      <c r="Y22" s="172" t="e">
        <f>+#REF!-#REF!</f>
        <v>#REF!</v>
      </c>
      <c r="Z22" s="168" t="e">
        <f t="shared" si="27"/>
        <v>#REF!</v>
      </c>
      <c r="AA22" s="168" t="e">
        <f t="shared" si="32"/>
        <v>#REF!</v>
      </c>
      <c r="AB22" s="196" t="e">
        <f t="shared" si="28"/>
        <v>#REF!</v>
      </c>
      <c r="AC22" s="196" t="e">
        <f t="shared" si="18"/>
        <v>#REF!</v>
      </c>
      <c r="AD22" s="197" t="e">
        <f t="shared" si="19"/>
        <v>#REF!</v>
      </c>
      <c r="AE22" s="196" t="e">
        <f t="shared" si="33"/>
        <v>#REF!</v>
      </c>
      <c r="AF22" s="196" t="e">
        <f t="shared" si="33"/>
        <v>#REF!</v>
      </c>
      <c r="AG22" s="196" t="e">
        <f t="shared" si="33"/>
        <v>#REF!</v>
      </c>
      <c r="AH22" s="196" t="e">
        <f t="shared" si="30"/>
        <v>#REF!</v>
      </c>
      <c r="AI22" s="196" t="e">
        <f t="shared" si="29"/>
        <v>#REF!</v>
      </c>
      <c r="AJ22" s="197" t="e">
        <f t="shared" si="31"/>
        <v>#REF!</v>
      </c>
      <c r="AK22" s="38" t="e">
        <f>#REF!-#REF!</f>
        <v>#REF!</v>
      </c>
      <c r="AL22" s="39" t="e">
        <f>ROUND(#REF!/AK22,4)-1</f>
        <v>#REF!</v>
      </c>
      <c r="AM22" s="1"/>
      <c r="AN22" s="22" t="e">
        <f>#REF!-#REF!</f>
        <v>#REF!</v>
      </c>
      <c r="AO22" s="23"/>
      <c r="AP22" s="40" t="e">
        <f>#REF!-#REF!</f>
        <v>#REF!</v>
      </c>
      <c r="AQ22" s="25" t="e">
        <f>ROUND((#REF!-AP22)/ABS(AP22),2)</f>
        <v>#REF!</v>
      </c>
      <c r="AR22" s="26" t="e">
        <f>#REF!-#REF!</f>
        <v>#REF!</v>
      </c>
      <c r="AS22" s="27" t="e">
        <f>ROUND((#REF!-AR22)/ABS(AR22),2)</f>
        <v>#REF!</v>
      </c>
    </row>
    <row r="23" spans="1:50" hidden="1" x14ac:dyDescent="0.4">
      <c r="A23" s="206">
        <v>0</v>
      </c>
      <c r="B23" s="131" t="e">
        <f>+#REF!-#REF!</f>
        <v>#REF!</v>
      </c>
      <c r="C23" s="131" t="e">
        <f>+#REF!-#REF!</f>
        <v>#REF!</v>
      </c>
      <c r="D23" s="131" t="e">
        <f>+#REF!-#REF!</f>
        <v>#REF!</v>
      </c>
      <c r="E23" s="131" t="e">
        <f>+#REF!-#REF!</f>
        <v>#REF!</v>
      </c>
      <c r="F23" s="131" t="e">
        <f>+#REF!-#REF!</f>
        <v>#REF!</v>
      </c>
      <c r="G23" s="131" t="e">
        <f>+#REF!-#REF!</f>
        <v>#REF!</v>
      </c>
      <c r="H23" s="131" t="e">
        <f>+#REF!-#REF!</f>
        <v>#REF!</v>
      </c>
      <c r="I23" s="131" t="e">
        <f>+#REF!-#REF!</f>
        <v>#REF!</v>
      </c>
      <c r="J23" s="131" t="e">
        <f>+#REF!-#REF!</f>
        <v>#REF!</v>
      </c>
      <c r="K23" s="131" t="e">
        <f>+#REF!-#REF!</f>
        <v>#REF!</v>
      </c>
      <c r="L23" s="131" t="e">
        <f>+#REF!-#REF!</f>
        <v>#REF!</v>
      </c>
      <c r="M23" s="131" t="e">
        <f>+#REF!-#REF!</f>
        <v>#REF!</v>
      </c>
      <c r="N23" s="130" t="e">
        <f>+#REF!-#REF!</f>
        <v>#REF!</v>
      </c>
      <c r="O23" s="169" t="e">
        <f>+#REF!-#REF!</f>
        <v>#REF!</v>
      </c>
      <c r="P23" s="169" t="e">
        <f>+#REF!-#REF!</f>
        <v>#REF!</v>
      </c>
      <c r="Q23" s="170" t="e">
        <f>+#REF!-#REF!</f>
        <v>#REF!</v>
      </c>
      <c r="R23" s="170" t="e">
        <f>+#REF!-#REF!</f>
        <v>#REF!</v>
      </c>
      <c r="S23" s="170" t="e">
        <f>+#REF!-#REF!</f>
        <v>#REF!</v>
      </c>
      <c r="T23" s="171" t="e">
        <f>+#REF!-#REF!</f>
        <v>#REF!</v>
      </c>
      <c r="U23" s="171" t="e">
        <f>+#REF!-#REF!</f>
        <v>#REF!</v>
      </c>
      <c r="V23" s="171" t="e">
        <f>+#REF!-#REF!</f>
        <v>#REF!</v>
      </c>
      <c r="W23" s="172" t="e">
        <f>+#REF!-#REF!</f>
        <v>#REF!</v>
      </c>
      <c r="X23" s="172" t="e">
        <f>+#REF!-#REF!</f>
        <v>#REF!</v>
      </c>
      <c r="Y23" s="172" t="e">
        <f>+#REF!-#REF!</f>
        <v>#REF!</v>
      </c>
      <c r="Z23" s="168" t="e">
        <f t="shared" si="27"/>
        <v>#REF!</v>
      </c>
      <c r="AA23" s="168" t="e">
        <f t="shared" si="32"/>
        <v>#REF!</v>
      </c>
      <c r="AB23" s="196" t="e">
        <f t="shared" si="28"/>
        <v>#REF!</v>
      </c>
      <c r="AC23" s="196" t="e">
        <f t="shared" si="18"/>
        <v>#REF!</v>
      </c>
      <c r="AD23" s="197" t="e">
        <f t="shared" si="19"/>
        <v>#REF!</v>
      </c>
      <c r="AE23" s="196" t="e">
        <f t="shared" si="33"/>
        <v>#REF!</v>
      </c>
      <c r="AF23" s="196" t="e">
        <f t="shared" si="33"/>
        <v>#REF!</v>
      </c>
      <c r="AG23" s="196" t="e">
        <f t="shared" si="33"/>
        <v>#REF!</v>
      </c>
      <c r="AH23" s="196" t="e">
        <f t="shared" si="30"/>
        <v>#REF!</v>
      </c>
      <c r="AI23" s="196" t="e">
        <f t="shared" si="29"/>
        <v>#REF!</v>
      </c>
      <c r="AJ23" s="197" t="e">
        <f t="shared" si="31"/>
        <v>#REF!</v>
      </c>
      <c r="AK23" s="38" t="e">
        <f>#REF!-#REF!</f>
        <v>#REF!</v>
      </c>
      <c r="AL23" s="39" t="e">
        <f>ROUND(#REF!/AK23,4)-1</f>
        <v>#REF!</v>
      </c>
      <c r="AM23" s="1"/>
      <c r="AN23" s="22" t="e">
        <f>#REF!-#REF!</f>
        <v>#REF!</v>
      </c>
      <c r="AO23" s="23"/>
      <c r="AP23" s="40" t="e">
        <f>#REF!-#REF!</f>
        <v>#REF!</v>
      </c>
      <c r="AQ23" s="25" t="e">
        <f>ROUND((#REF!-AP23)/ABS(AP23),2)</f>
        <v>#REF!</v>
      </c>
      <c r="AR23" s="26" t="e">
        <f>#REF!-#REF!</f>
        <v>#REF!</v>
      </c>
      <c r="AS23" s="27" t="e">
        <f>ROUND((#REF!-AR23)/ABS(AR23),2)</f>
        <v>#REF!</v>
      </c>
    </row>
    <row r="24" spans="1:50" hidden="1" x14ac:dyDescent="0.4">
      <c r="A24" s="206">
        <v>0</v>
      </c>
      <c r="B24" s="131" t="e">
        <f>+#REF!-#REF!</f>
        <v>#REF!</v>
      </c>
      <c r="C24" s="131" t="e">
        <f>+#REF!-#REF!</f>
        <v>#REF!</v>
      </c>
      <c r="D24" s="131" t="e">
        <f>+#REF!-#REF!</f>
        <v>#REF!</v>
      </c>
      <c r="E24" s="131" t="e">
        <f>+#REF!-#REF!</f>
        <v>#REF!</v>
      </c>
      <c r="F24" s="131" t="e">
        <f>+#REF!-#REF!</f>
        <v>#REF!</v>
      </c>
      <c r="G24" s="131" t="e">
        <f>+#REF!-#REF!</f>
        <v>#REF!</v>
      </c>
      <c r="H24" s="131" t="e">
        <f>+#REF!-#REF!</f>
        <v>#REF!</v>
      </c>
      <c r="I24" s="131" t="e">
        <f>+#REF!-#REF!</f>
        <v>#REF!</v>
      </c>
      <c r="J24" s="131" t="e">
        <f>+#REF!-#REF!</f>
        <v>#REF!</v>
      </c>
      <c r="K24" s="131" t="e">
        <f>+#REF!-#REF!</f>
        <v>#REF!</v>
      </c>
      <c r="L24" s="131" t="e">
        <f>+#REF!-#REF!</f>
        <v>#REF!</v>
      </c>
      <c r="M24" s="131" t="e">
        <f>+#REF!-#REF!</f>
        <v>#REF!</v>
      </c>
      <c r="N24" s="130" t="e">
        <f>+#REF!-#REF!</f>
        <v>#REF!</v>
      </c>
      <c r="O24" s="169" t="e">
        <f>+#REF!-#REF!</f>
        <v>#REF!</v>
      </c>
      <c r="P24" s="169" t="e">
        <f>+#REF!-#REF!</f>
        <v>#REF!</v>
      </c>
      <c r="Q24" s="170" t="e">
        <f>+#REF!-#REF!</f>
        <v>#REF!</v>
      </c>
      <c r="R24" s="170" t="e">
        <f>+#REF!-#REF!</f>
        <v>#REF!</v>
      </c>
      <c r="S24" s="170" t="e">
        <f>+#REF!-#REF!</f>
        <v>#REF!</v>
      </c>
      <c r="T24" s="171" t="e">
        <f>+#REF!-#REF!</f>
        <v>#REF!</v>
      </c>
      <c r="U24" s="171" t="e">
        <f>+#REF!-#REF!</f>
        <v>#REF!</v>
      </c>
      <c r="V24" s="171" t="e">
        <f>+#REF!-#REF!</f>
        <v>#REF!</v>
      </c>
      <c r="W24" s="172" t="e">
        <f>+#REF!-#REF!</f>
        <v>#REF!</v>
      </c>
      <c r="X24" s="172" t="e">
        <f>+#REF!-#REF!</f>
        <v>#REF!</v>
      </c>
      <c r="Y24" s="172" t="e">
        <f>+#REF!-#REF!</f>
        <v>#REF!</v>
      </c>
      <c r="Z24" s="168" t="e">
        <f t="shared" si="27"/>
        <v>#REF!</v>
      </c>
      <c r="AA24" s="168" t="e">
        <f t="shared" si="32"/>
        <v>#REF!</v>
      </c>
      <c r="AB24" s="196" t="e">
        <f t="shared" si="28"/>
        <v>#REF!</v>
      </c>
      <c r="AC24" s="196" t="e">
        <f t="shared" si="18"/>
        <v>#REF!</v>
      </c>
      <c r="AD24" s="197" t="e">
        <f t="shared" si="19"/>
        <v>#REF!</v>
      </c>
      <c r="AE24" s="196" t="e">
        <f t="shared" si="33"/>
        <v>#REF!</v>
      </c>
      <c r="AF24" s="196" t="e">
        <f t="shared" si="33"/>
        <v>#REF!</v>
      </c>
      <c r="AG24" s="196" t="e">
        <f t="shared" si="33"/>
        <v>#REF!</v>
      </c>
      <c r="AH24" s="196" t="e">
        <f t="shared" si="30"/>
        <v>#REF!</v>
      </c>
      <c r="AI24" s="196" t="e">
        <f t="shared" si="29"/>
        <v>#REF!</v>
      </c>
      <c r="AJ24" s="197" t="e">
        <f t="shared" si="31"/>
        <v>#REF!</v>
      </c>
      <c r="AK24" s="38" t="e">
        <f>#REF!-#REF!</f>
        <v>#REF!</v>
      </c>
      <c r="AL24" s="39" t="e">
        <f>ROUND(#REF!/AK24,4)-1</f>
        <v>#REF!</v>
      </c>
      <c r="AM24" s="1"/>
      <c r="AN24" s="22" t="e">
        <f>#REF!-#REF!</f>
        <v>#REF!</v>
      </c>
      <c r="AO24" s="23"/>
      <c r="AP24" s="40" t="e">
        <f>#REF!-#REF!</f>
        <v>#REF!</v>
      </c>
      <c r="AQ24" s="25" t="e">
        <f>ROUND((#REF!-AP24)/ABS(AP24),2)</f>
        <v>#REF!</v>
      </c>
      <c r="AR24" s="26" t="e">
        <f>#REF!-#REF!</f>
        <v>#REF!</v>
      </c>
      <c r="AS24" s="27" t="e">
        <f>ROUND((#REF!-AR24)/ABS(AR24),2)</f>
        <v>#REF!</v>
      </c>
    </row>
    <row r="25" spans="1:50" hidden="1" x14ac:dyDescent="0.4">
      <c r="A25" s="166"/>
      <c r="B25" s="131" t="e">
        <f>+#REF!-#REF!</f>
        <v>#REF!</v>
      </c>
      <c r="C25" s="131" t="e">
        <f>+#REF!-#REF!</f>
        <v>#REF!</v>
      </c>
      <c r="D25" s="131" t="e">
        <f>+#REF!-#REF!</f>
        <v>#REF!</v>
      </c>
      <c r="E25" s="131" t="e">
        <f>+#REF!-#REF!</f>
        <v>#REF!</v>
      </c>
      <c r="F25" s="131" t="e">
        <f>+#REF!-#REF!</f>
        <v>#REF!</v>
      </c>
      <c r="G25" s="131" t="e">
        <f>+#REF!-#REF!</f>
        <v>#REF!</v>
      </c>
      <c r="H25" s="131" t="e">
        <f>+#REF!-#REF!</f>
        <v>#REF!</v>
      </c>
      <c r="I25" s="131" t="e">
        <f>+#REF!-#REF!</f>
        <v>#REF!</v>
      </c>
      <c r="J25" s="131" t="e">
        <f>+#REF!-#REF!</f>
        <v>#REF!</v>
      </c>
      <c r="K25" s="131" t="e">
        <f>+#REF!-#REF!</f>
        <v>#REF!</v>
      </c>
      <c r="L25" s="131" t="e">
        <f>+#REF!-#REF!</f>
        <v>#REF!</v>
      </c>
      <c r="M25" s="131" t="e">
        <f>+#REF!-#REF!</f>
        <v>#REF!</v>
      </c>
      <c r="N25" s="130" t="e">
        <f>+#REF!-#REF!</f>
        <v>#REF!</v>
      </c>
      <c r="O25" s="169" t="e">
        <f>+#REF!-#REF!</f>
        <v>#REF!</v>
      </c>
      <c r="P25" s="169" t="e">
        <f>+#REF!-#REF!</f>
        <v>#REF!</v>
      </c>
      <c r="Q25" s="170" t="e">
        <f>+#REF!-#REF!</f>
        <v>#REF!</v>
      </c>
      <c r="R25" s="170" t="e">
        <f>+#REF!-#REF!</f>
        <v>#REF!</v>
      </c>
      <c r="S25" s="170" t="e">
        <f>+#REF!-#REF!</f>
        <v>#REF!</v>
      </c>
      <c r="T25" s="171" t="e">
        <f>+#REF!-#REF!</f>
        <v>#REF!</v>
      </c>
      <c r="U25" s="171" t="e">
        <f>+#REF!-#REF!</f>
        <v>#REF!</v>
      </c>
      <c r="V25" s="171" t="e">
        <f>+#REF!-#REF!</f>
        <v>#REF!</v>
      </c>
      <c r="W25" s="172" t="e">
        <f>+#REF!-#REF!</f>
        <v>#REF!</v>
      </c>
      <c r="X25" s="172" t="e">
        <f>+#REF!-#REF!</f>
        <v>#REF!</v>
      </c>
      <c r="Y25" s="172" t="e">
        <f>+#REF!-#REF!</f>
        <v>#REF!</v>
      </c>
      <c r="Z25" s="168" t="e">
        <f t="shared" si="27"/>
        <v>#REF!</v>
      </c>
      <c r="AA25" s="168" t="e">
        <f t="shared" si="32"/>
        <v>#REF!</v>
      </c>
      <c r="AB25" s="196" t="e">
        <f t="shared" si="28"/>
        <v>#REF!</v>
      </c>
      <c r="AC25" s="196" t="e">
        <f t="shared" si="18"/>
        <v>#REF!</v>
      </c>
      <c r="AD25" s="197" t="e">
        <f t="shared" si="19"/>
        <v>#REF!</v>
      </c>
      <c r="AE25" s="196" t="e">
        <f t="shared" si="33"/>
        <v>#REF!</v>
      </c>
      <c r="AF25" s="196" t="e">
        <f t="shared" si="33"/>
        <v>#REF!</v>
      </c>
      <c r="AG25" s="196" t="e">
        <f t="shared" si="33"/>
        <v>#REF!</v>
      </c>
      <c r="AH25" s="196" t="e">
        <f t="shared" si="30"/>
        <v>#REF!</v>
      </c>
      <c r="AI25" s="196" t="e">
        <f t="shared" si="29"/>
        <v>#REF!</v>
      </c>
      <c r="AJ25" s="197" t="e">
        <f t="shared" si="31"/>
        <v>#REF!</v>
      </c>
      <c r="AK25" s="38" t="e">
        <f>#REF!-#REF!</f>
        <v>#REF!</v>
      </c>
      <c r="AL25" s="39" t="e">
        <f>ROUND(#REF!/AK25,4)-1</f>
        <v>#REF!</v>
      </c>
      <c r="AM25" s="1"/>
      <c r="AN25" s="22" t="e">
        <f>#REF!-#REF!</f>
        <v>#REF!</v>
      </c>
      <c r="AO25" s="23"/>
      <c r="AP25" s="40" t="e">
        <f>#REF!-#REF!</f>
        <v>#REF!</v>
      </c>
      <c r="AQ25" s="25" t="e">
        <f>ROUND((#REF!-AP25)/ABS(AP25),2)</f>
        <v>#REF!</v>
      </c>
      <c r="AR25" s="26" t="e">
        <f>#REF!-#REF!</f>
        <v>#REF!</v>
      </c>
      <c r="AS25" s="27" t="e">
        <f>ROUND((#REF!-AR25)/ABS(AR25),2)</f>
        <v>#REF!</v>
      </c>
    </row>
    <row r="26" spans="1:50" hidden="1" x14ac:dyDescent="0.4">
      <c r="A26" s="206">
        <v>0</v>
      </c>
      <c r="B26" s="131" t="e">
        <f>+#REF!-#REF!</f>
        <v>#REF!</v>
      </c>
      <c r="C26" s="131" t="e">
        <f>+#REF!-#REF!</f>
        <v>#REF!</v>
      </c>
      <c r="D26" s="131" t="e">
        <f>+#REF!-#REF!</f>
        <v>#REF!</v>
      </c>
      <c r="E26" s="131" t="e">
        <f>+#REF!-#REF!</f>
        <v>#REF!</v>
      </c>
      <c r="F26" s="131" t="e">
        <f>+#REF!-#REF!</f>
        <v>#REF!</v>
      </c>
      <c r="G26" s="131" t="e">
        <f>+#REF!-#REF!</f>
        <v>#REF!</v>
      </c>
      <c r="H26" s="131" t="e">
        <f>+#REF!-#REF!</f>
        <v>#REF!</v>
      </c>
      <c r="I26" s="131" t="e">
        <f>+#REF!-#REF!</f>
        <v>#REF!</v>
      </c>
      <c r="J26" s="131" t="e">
        <f>+#REF!-#REF!</f>
        <v>#REF!</v>
      </c>
      <c r="K26" s="131" t="e">
        <f>+#REF!-#REF!</f>
        <v>#REF!</v>
      </c>
      <c r="L26" s="131" t="e">
        <f>+#REF!-#REF!</f>
        <v>#REF!</v>
      </c>
      <c r="M26" s="131" t="e">
        <f>+#REF!-#REF!</f>
        <v>#REF!</v>
      </c>
      <c r="N26" s="130" t="e">
        <f>+#REF!-#REF!</f>
        <v>#REF!</v>
      </c>
      <c r="O26" s="169" t="e">
        <f>+#REF!-#REF!</f>
        <v>#REF!</v>
      </c>
      <c r="P26" s="169" t="e">
        <f>+#REF!-#REF!</f>
        <v>#REF!</v>
      </c>
      <c r="Q26" s="170" t="e">
        <f>+#REF!-#REF!</f>
        <v>#REF!</v>
      </c>
      <c r="R26" s="170" t="e">
        <f>+#REF!-#REF!</f>
        <v>#REF!</v>
      </c>
      <c r="S26" s="170" t="e">
        <f>+#REF!-#REF!</f>
        <v>#REF!</v>
      </c>
      <c r="T26" s="171" t="e">
        <f>+#REF!-#REF!</f>
        <v>#REF!</v>
      </c>
      <c r="U26" s="171" t="e">
        <f>+#REF!-#REF!</f>
        <v>#REF!</v>
      </c>
      <c r="V26" s="171" t="e">
        <f>+#REF!-#REF!</f>
        <v>#REF!</v>
      </c>
      <c r="W26" s="172" t="e">
        <f>+#REF!-#REF!</f>
        <v>#REF!</v>
      </c>
      <c r="X26" s="172" t="e">
        <f>+#REF!-#REF!</f>
        <v>#REF!</v>
      </c>
      <c r="Y26" s="172" t="e">
        <f>+#REF!-#REF!</f>
        <v>#REF!</v>
      </c>
      <c r="Z26" s="168" t="e">
        <f t="shared" si="27"/>
        <v>#REF!</v>
      </c>
      <c r="AA26" s="168" t="e">
        <f t="shared" si="32"/>
        <v>#REF!</v>
      </c>
      <c r="AB26" s="196" t="e">
        <f t="shared" si="28"/>
        <v>#REF!</v>
      </c>
      <c r="AC26" s="196" t="e">
        <f t="shared" si="18"/>
        <v>#REF!</v>
      </c>
      <c r="AD26" s="197" t="e">
        <f t="shared" si="19"/>
        <v>#REF!</v>
      </c>
      <c r="AE26" s="196" t="e">
        <f t="shared" si="33"/>
        <v>#REF!</v>
      </c>
      <c r="AF26" s="196" t="e">
        <f t="shared" si="33"/>
        <v>#REF!</v>
      </c>
      <c r="AG26" s="196" t="e">
        <f t="shared" si="33"/>
        <v>#REF!</v>
      </c>
      <c r="AH26" s="196" t="e">
        <f t="shared" si="30"/>
        <v>#REF!</v>
      </c>
      <c r="AI26" s="196" t="e">
        <f t="shared" si="29"/>
        <v>#REF!</v>
      </c>
      <c r="AJ26" s="197" t="e">
        <f t="shared" si="31"/>
        <v>#REF!</v>
      </c>
      <c r="AK26" s="38" t="e">
        <f>#REF!-#REF!</f>
        <v>#REF!</v>
      </c>
      <c r="AL26" s="39" t="e">
        <f>ROUND(#REF!/AK26,4)-1</f>
        <v>#REF!</v>
      </c>
      <c r="AM26" s="1"/>
      <c r="AN26" s="22" t="e">
        <f>#REF!-#REF!</f>
        <v>#REF!</v>
      </c>
      <c r="AO26" s="23"/>
      <c r="AP26" s="40" t="e">
        <f>#REF!-#REF!</f>
        <v>#REF!</v>
      </c>
      <c r="AQ26" s="25" t="e">
        <f>ROUND((#REF!-AP26)/ABS(AP26),2)</f>
        <v>#REF!</v>
      </c>
      <c r="AR26" s="26" t="e">
        <f>#REF!-#REF!</f>
        <v>#REF!</v>
      </c>
      <c r="AS26" s="27" t="e">
        <f>ROUND((#REF!-AR26)/ABS(AR26),2)</f>
        <v>#REF!</v>
      </c>
    </row>
    <row r="27" spans="1:50" hidden="1" x14ac:dyDescent="0.4">
      <c r="A27" s="207"/>
      <c r="B27" s="131" t="e">
        <f>+#REF!-#REF!</f>
        <v>#REF!</v>
      </c>
      <c r="C27" s="131" t="e">
        <f>+#REF!-#REF!</f>
        <v>#REF!</v>
      </c>
      <c r="D27" s="131" t="e">
        <f>+#REF!-#REF!</f>
        <v>#REF!</v>
      </c>
      <c r="E27" s="131" t="e">
        <f>+#REF!-#REF!</f>
        <v>#REF!</v>
      </c>
      <c r="F27" s="131" t="e">
        <f>+#REF!-#REF!</f>
        <v>#REF!</v>
      </c>
      <c r="G27" s="131" t="e">
        <f>+#REF!-#REF!</f>
        <v>#REF!</v>
      </c>
      <c r="H27" s="131" t="e">
        <f>+#REF!-#REF!</f>
        <v>#REF!</v>
      </c>
      <c r="I27" s="131" t="e">
        <f>+#REF!-#REF!</f>
        <v>#REF!</v>
      </c>
      <c r="J27" s="131" t="e">
        <f>+#REF!-#REF!</f>
        <v>#REF!</v>
      </c>
      <c r="K27" s="131" t="e">
        <f>+#REF!-#REF!</f>
        <v>#REF!</v>
      </c>
      <c r="L27" s="131" t="e">
        <f>+#REF!-#REF!</f>
        <v>#REF!</v>
      </c>
      <c r="M27" s="131" t="e">
        <f>+#REF!-#REF!</f>
        <v>#REF!</v>
      </c>
      <c r="N27" s="130" t="e">
        <f>+#REF!-#REF!</f>
        <v>#REF!</v>
      </c>
      <c r="O27" s="169" t="e">
        <f>+#REF!-#REF!</f>
        <v>#REF!</v>
      </c>
      <c r="P27" s="169" t="e">
        <f>+#REF!-#REF!</f>
        <v>#REF!</v>
      </c>
      <c r="Q27" s="170" t="e">
        <f>+#REF!-#REF!</f>
        <v>#REF!</v>
      </c>
      <c r="R27" s="170" t="e">
        <f>+#REF!-#REF!</f>
        <v>#REF!</v>
      </c>
      <c r="S27" s="170" t="e">
        <f>+#REF!-#REF!</f>
        <v>#REF!</v>
      </c>
      <c r="T27" s="171" t="e">
        <f>+#REF!-#REF!</f>
        <v>#REF!</v>
      </c>
      <c r="U27" s="171" t="e">
        <f>+#REF!-#REF!</f>
        <v>#REF!</v>
      </c>
      <c r="V27" s="171" t="e">
        <f>+#REF!-#REF!</f>
        <v>#REF!</v>
      </c>
      <c r="W27" s="172" t="e">
        <f>+#REF!-#REF!</f>
        <v>#REF!</v>
      </c>
      <c r="X27" s="172" t="e">
        <f>+#REF!-#REF!</f>
        <v>#REF!</v>
      </c>
      <c r="Y27" s="172" t="e">
        <f>+#REF!-#REF!</f>
        <v>#REF!</v>
      </c>
      <c r="Z27" s="168" t="e">
        <f t="shared" si="27"/>
        <v>#REF!</v>
      </c>
      <c r="AA27" s="168" t="e">
        <f t="shared" si="32"/>
        <v>#REF!</v>
      </c>
      <c r="AB27" s="196" t="e">
        <f t="shared" si="28"/>
        <v>#REF!</v>
      </c>
      <c r="AC27" s="196" t="e">
        <f t="shared" si="18"/>
        <v>#REF!</v>
      </c>
      <c r="AD27" s="197" t="e">
        <f t="shared" si="19"/>
        <v>#REF!</v>
      </c>
      <c r="AE27" s="196" t="e">
        <f t="shared" si="33"/>
        <v>#REF!</v>
      </c>
      <c r="AF27" s="196" t="e">
        <f t="shared" si="33"/>
        <v>#REF!</v>
      </c>
      <c r="AG27" s="196" t="e">
        <f t="shared" si="33"/>
        <v>#REF!</v>
      </c>
      <c r="AH27" s="196" t="e">
        <f t="shared" si="30"/>
        <v>#REF!</v>
      </c>
      <c r="AI27" s="196" t="e">
        <f t="shared" si="29"/>
        <v>#REF!</v>
      </c>
      <c r="AJ27" s="197" t="e">
        <f t="shared" si="31"/>
        <v>#REF!</v>
      </c>
      <c r="AK27" s="38" t="e">
        <f>#REF!-#REF!</f>
        <v>#REF!</v>
      </c>
      <c r="AL27" s="39" t="e">
        <f>ROUND(#REF!/AK27,4)-1</f>
        <v>#REF!</v>
      </c>
      <c r="AM27" s="1"/>
      <c r="AN27" s="22" t="e">
        <f>#REF!-#REF!</f>
        <v>#REF!</v>
      </c>
      <c r="AO27" s="23"/>
      <c r="AP27" s="40" t="e">
        <f>#REF!-#REF!</f>
        <v>#REF!</v>
      </c>
      <c r="AQ27" s="25" t="e">
        <f>ROUND((#REF!-AP27)/ABS(AP27),2)</f>
        <v>#REF!</v>
      </c>
      <c r="AR27" s="26" t="e">
        <f>#REF!-#REF!</f>
        <v>#REF!</v>
      </c>
      <c r="AS27" s="27" t="e">
        <f>ROUND((#REF!-AR27)/ABS(AR27),2)</f>
        <v>#REF!</v>
      </c>
    </row>
    <row r="28" spans="1:50" hidden="1" x14ac:dyDescent="0.4">
      <c r="A28" s="207"/>
      <c r="B28" s="131" t="e">
        <f>+#REF!-#REF!</f>
        <v>#REF!</v>
      </c>
      <c r="C28" s="131" t="e">
        <f>+#REF!-#REF!</f>
        <v>#REF!</v>
      </c>
      <c r="D28" s="131" t="e">
        <f>+#REF!-#REF!</f>
        <v>#REF!</v>
      </c>
      <c r="E28" s="131" t="e">
        <f>+#REF!-#REF!</f>
        <v>#REF!</v>
      </c>
      <c r="F28" s="131" t="e">
        <f>+#REF!-#REF!</f>
        <v>#REF!</v>
      </c>
      <c r="G28" s="131" t="e">
        <f>+#REF!-#REF!</f>
        <v>#REF!</v>
      </c>
      <c r="H28" s="131" t="e">
        <f>+#REF!-#REF!</f>
        <v>#REF!</v>
      </c>
      <c r="I28" s="131" t="e">
        <f>+#REF!-#REF!</f>
        <v>#REF!</v>
      </c>
      <c r="J28" s="131" t="e">
        <f>+#REF!-#REF!</f>
        <v>#REF!</v>
      </c>
      <c r="K28" s="131" t="e">
        <f>+#REF!-#REF!</f>
        <v>#REF!</v>
      </c>
      <c r="L28" s="131" t="e">
        <f>+#REF!-#REF!</f>
        <v>#REF!</v>
      </c>
      <c r="M28" s="131" t="e">
        <f>+#REF!-#REF!</f>
        <v>#REF!</v>
      </c>
      <c r="N28" s="130" t="e">
        <f>+#REF!-#REF!</f>
        <v>#REF!</v>
      </c>
      <c r="O28" s="169" t="e">
        <f>+#REF!-#REF!</f>
        <v>#REF!</v>
      </c>
      <c r="P28" s="169" t="e">
        <f>+#REF!-#REF!</f>
        <v>#REF!</v>
      </c>
      <c r="Q28" s="170" t="e">
        <f>+#REF!-#REF!</f>
        <v>#REF!</v>
      </c>
      <c r="R28" s="170" t="e">
        <f>+#REF!-#REF!</f>
        <v>#REF!</v>
      </c>
      <c r="S28" s="170" t="e">
        <f>+#REF!-#REF!</f>
        <v>#REF!</v>
      </c>
      <c r="T28" s="171" t="e">
        <f>+#REF!-#REF!</f>
        <v>#REF!</v>
      </c>
      <c r="U28" s="171" t="e">
        <f>+#REF!-#REF!</f>
        <v>#REF!</v>
      </c>
      <c r="V28" s="171" t="e">
        <f>+#REF!-#REF!</f>
        <v>#REF!</v>
      </c>
      <c r="W28" s="172" t="e">
        <f>+#REF!-#REF!</f>
        <v>#REF!</v>
      </c>
      <c r="X28" s="172" t="e">
        <f>+#REF!-#REF!</f>
        <v>#REF!</v>
      </c>
      <c r="Y28" s="172" t="e">
        <f>+#REF!-#REF!</f>
        <v>#REF!</v>
      </c>
      <c r="Z28" s="168" t="e">
        <f t="shared" si="27"/>
        <v>#REF!</v>
      </c>
      <c r="AA28" s="168" t="e">
        <f t="shared" si="32"/>
        <v>#REF!</v>
      </c>
      <c r="AB28" s="196" t="e">
        <f t="shared" si="28"/>
        <v>#REF!</v>
      </c>
      <c r="AC28" s="196" t="e">
        <f t="shared" si="18"/>
        <v>#REF!</v>
      </c>
      <c r="AD28" s="197" t="e">
        <f t="shared" si="19"/>
        <v>#REF!</v>
      </c>
      <c r="AE28" s="196" t="e">
        <f t="shared" si="33"/>
        <v>#REF!</v>
      </c>
      <c r="AF28" s="196" t="e">
        <f t="shared" si="33"/>
        <v>#REF!</v>
      </c>
      <c r="AG28" s="196" t="e">
        <f t="shared" si="33"/>
        <v>#REF!</v>
      </c>
      <c r="AH28" s="196" t="e">
        <f t="shared" si="30"/>
        <v>#REF!</v>
      </c>
      <c r="AI28" s="196" t="e">
        <f t="shared" si="29"/>
        <v>#REF!</v>
      </c>
      <c r="AJ28" s="197" t="e">
        <f t="shared" si="31"/>
        <v>#REF!</v>
      </c>
      <c r="AK28" s="38" t="e">
        <f>#REF!-#REF!</f>
        <v>#REF!</v>
      </c>
      <c r="AL28" s="39" t="e">
        <f>ROUND(#REF!/AK28,4)-1</f>
        <v>#REF!</v>
      </c>
      <c r="AM28" s="1"/>
      <c r="AN28" s="22" t="e">
        <f>#REF!-#REF!</f>
        <v>#REF!</v>
      </c>
      <c r="AO28" s="23"/>
      <c r="AP28" s="40" t="e">
        <f>#REF!-#REF!</f>
        <v>#REF!</v>
      </c>
      <c r="AQ28" s="25" t="e">
        <f>ROUND((#REF!-AP28)/ABS(AP28),2)</f>
        <v>#REF!</v>
      </c>
      <c r="AR28" s="26" t="e">
        <f>#REF!-#REF!</f>
        <v>#REF!</v>
      </c>
      <c r="AS28" s="27" t="e">
        <f>ROUND((#REF!-AR28)/ABS(AR28),2)</f>
        <v>#REF!</v>
      </c>
    </row>
    <row r="29" spans="1:50" ht="21.75" customHeight="1" x14ac:dyDescent="0.4">
      <c r="A29" s="198" t="s">
        <v>32</v>
      </c>
      <c r="B29" s="200" t="e">
        <f>+B8-#REF!</f>
        <v>#REF!</v>
      </c>
      <c r="C29" s="200" t="e">
        <f>+C8-#REF!</f>
        <v>#REF!</v>
      </c>
      <c r="D29" s="200" t="e">
        <f>+D8-#REF!</f>
        <v>#REF!</v>
      </c>
      <c r="E29" s="200" t="e">
        <f>+E8-#REF!</f>
        <v>#REF!</v>
      </c>
      <c r="F29" s="200" t="e">
        <f>+F8-#REF!</f>
        <v>#REF!</v>
      </c>
      <c r="G29" s="200" t="e">
        <f>+G8-#REF!</f>
        <v>#REF!</v>
      </c>
      <c r="H29" s="200" t="e">
        <f>+H8-#REF!</f>
        <v>#REF!</v>
      </c>
      <c r="I29" s="200" t="e">
        <f>+I8-#REF!</f>
        <v>#REF!</v>
      </c>
      <c r="J29" s="200" t="e">
        <f>+J8-#REF!</f>
        <v>#REF!</v>
      </c>
      <c r="K29" s="200" t="e">
        <f>+K8-#REF!</f>
        <v>#REF!</v>
      </c>
      <c r="L29" s="200" t="e">
        <f>+L8-#REF!</f>
        <v>#REF!</v>
      </c>
      <c r="M29" s="200" t="e">
        <f>+M8-#REF!</f>
        <v>#REF!</v>
      </c>
      <c r="N29" s="201" t="e">
        <f>+N8-#REF!</f>
        <v>#REF!</v>
      </c>
      <c r="O29" s="201" t="e">
        <f>+O8-#REF!</f>
        <v>#REF!</v>
      </c>
      <c r="P29" s="201" t="e">
        <f>+P8-#REF!</f>
        <v>#REF!</v>
      </c>
      <c r="Q29" s="202" t="e">
        <f>+Q8-#REF!</f>
        <v>#REF!</v>
      </c>
      <c r="R29" s="202" t="e">
        <f>+R8-#REF!</f>
        <v>#REF!</v>
      </c>
      <c r="S29" s="202" t="e">
        <f>+S8-#REF!</f>
        <v>#REF!</v>
      </c>
      <c r="T29" s="203" t="e">
        <f>+T8-#REF!</f>
        <v>#REF!</v>
      </c>
      <c r="U29" s="203" t="e">
        <f>+U8-#REF!</f>
        <v>#REF!</v>
      </c>
      <c r="V29" s="203" t="e">
        <f>+V8-#REF!</f>
        <v>#REF!</v>
      </c>
      <c r="W29" s="204" t="e">
        <f>+W8-#REF!</f>
        <v>#REF!</v>
      </c>
      <c r="X29" s="204" t="e">
        <f>+X8-#REF!</f>
        <v>#REF!</v>
      </c>
      <c r="Y29" s="204" t="e">
        <f>+Y8-#REF!</f>
        <v>#REF!</v>
      </c>
      <c r="Z29" s="196" t="e">
        <f t="shared" si="27"/>
        <v>#REF!</v>
      </c>
      <c r="AA29" s="196"/>
      <c r="AB29" s="196" t="e">
        <f t="shared" si="28"/>
        <v>#REF!</v>
      </c>
      <c r="AC29" s="196" t="e">
        <f t="shared" si="18"/>
        <v>#REF!</v>
      </c>
      <c r="AD29" s="196" t="e">
        <f t="shared" si="19"/>
        <v>#REF!</v>
      </c>
      <c r="AE29" s="196"/>
      <c r="AF29" s="196"/>
      <c r="AG29" s="196"/>
      <c r="AH29" s="196" t="e">
        <f t="shared" si="30"/>
        <v>#REF!</v>
      </c>
      <c r="AI29" s="196" t="e">
        <f t="shared" si="29"/>
        <v>#REF!</v>
      </c>
      <c r="AJ29" s="196" t="e">
        <f t="shared" si="31"/>
        <v>#REF!</v>
      </c>
      <c r="AK29" s="55" t="e">
        <f>AK8-#REF!</f>
        <v>#REF!</v>
      </c>
      <c r="AL29" s="49" t="e">
        <f>ROUND(#REF!/AK29,4)-1</f>
        <v>#REF!</v>
      </c>
      <c r="AM29" s="1"/>
      <c r="AN29" s="30" t="e">
        <f>AN8-#REF!</f>
        <v>#REF!</v>
      </c>
      <c r="AO29" s="23"/>
      <c r="AP29" s="31" t="e">
        <f>AP8-#REF!</f>
        <v>#REF!</v>
      </c>
      <c r="AQ29" s="32" t="e">
        <f>ROUND((#REF!-AP29)/ABS(AP29),2)</f>
        <v>#REF!</v>
      </c>
      <c r="AR29" s="33" t="e">
        <f>AR8-#REF!</f>
        <v>#REF!</v>
      </c>
      <c r="AS29" s="34" t="e">
        <f>ROUND((#REF!-AR29)/ABS(AR29),2)</f>
        <v>#REF!</v>
      </c>
      <c r="AT29" s="1"/>
      <c r="AU29" s="35"/>
      <c r="AV29" s="35"/>
      <c r="AW29" s="35"/>
      <c r="AX29" s="35"/>
    </row>
    <row r="30" spans="1:50" ht="34.5" thickBot="1" x14ac:dyDescent="0.45">
      <c r="A30" s="208" t="s">
        <v>60</v>
      </c>
      <c r="B30" s="131"/>
      <c r="C30" s="131"/>
      <c r="D30" s="131"/>
      <c r="E30" s="131"/>
      <c r="F30" s="131"/>
      <c r="N30" s="132"/>
      <c r="O30" s="132"/>
      <c r="P30" s="132"/>
      <c r="Q30" s="133"/>
      <c r="R30" s="133"/>
      <c r="S30" s="133"/>
      <c r="T30" s="134"/>
      <c r="U30" s="134"/>
      <c r="V30" s="134"/>
      <c r="W30" s="167"/>
      <c r="X30" s="167"/>
      <c r="Y30" s="167"/>
      <c r="Z30" s="168" t="e">
        <f t="shared" si="27"/>
        <v>#DIV/0!</v>
      </c>
      <c r="AA30" s="168" t="e">
        <f>+C30/O30</f>
        <v>#DIV/0!</v>
      </c>
      <c r="AB30" s="162" t="e">
        <f t="shared" si="28"/>
        <v>#DIV/0!</v>
      </c>
      <c r="AC30" s="162" t="e">
        <f t="shared" si="18"/>
        <v>#DIV/0!</v>
      </c>
      <c r="AD30" s="168" t="e">
        <f t="shared" si="19"/>
        <v>#DIV/0!</v>
      </c>
      <c r="AE30" s="162" t="e">
        <f t="shared" ref="AE30:AG31" si="34">+G30/S30</f>
        <v>#DIV/0!</v>
      </c>
      <c r="AF30" s="162" t="e">
        <f t="shared" si="34"/>
        <v>#DIV/0!</v>
      </c>
      <c r="AG30" s="162" t="e">
        <f t="shared" si="34"/>
        <v>#DIV/0!</v>
      </c>
      <c r="AH30" s="162" t="e">
        <f t="shared" si="30"/>
        <v>#DIV/0!</v>
      </c>
      <c r="AI30" s="162" t="e">
        <f t="shared" si="29"/>
        <v>#DIV/0!</v>
      </c>
      <c r="AJ30" s="168" t="e">
        <f t="shared" si="31"/>
        <v>#DIV/0!</v>
      </c>
      <c r="AK30" s="56"/>
      <c r="AL30" s="57"/>
      <c r="AM30" s="58"/>
      <c r="AN30" s="59"/>
      <c r="AO30" s="60"/>
      <c r="AP30" s="61"/>
      <c r="AQ30" s="62"/>
      <c r="AR30" s="63"/>
      <c r="AS30" s="62"/>
      <c r="AT30" s="1"/>
      <c r="AU30" s="35"/>
      <c r="AV30" s="35"/>
      <c r="AW30" s="35"/>
      <c r="AX30" s="35"/>
    </row>
    <row r="31" spans="1:50" ht="21.75" customHeight="1" thickTop="1" thickBot="1" x14ac:dyDescent="0.45">
      <c r="A31" s="209" t="s">
        <v>33</v>
      </c>
      <c r="B31" s="210" t="e">
        <f>+B14+B29+#REF!</f>
        <v>#REF!</v>
      </c>
      <c r="C31" s="210" t="e">
        <f>+C14+C29+#REF!</f>
        <v>#REF!</v>
      </c>
      <c r="D31" s="210" t="e">
        <f>+D14+D29+#REF!</f>
        <v>#REF!</v>
      </c>
      <c r="E31" s="210" t="e">
        <f>+E14+E29+#REF!</f>
        <v>#REF!</v>
      </c>
      <c r="F31" s="210" t="e">
        <f>+F14+F29+#REF!</f>
        <v>#REF!</v>
      </c>
      <c r="G31" s="210" t="e">
        <f>+G14+G29+#REF!</f>
        <v>#REF!</v>
      </c>
      <c r="H31" s="210" t="e">
        <f>+H14+H29+#REF!</f>
        <v>#REF!</v>
      </c>
      <c r="I31" s="210" t="e">
        <f>+I14+I29+#REF!</f>
        <v>#REF!</v>
      </c>
      <c r="J31" s="210" t="e">
        <f>+J14+J29+#REF!</f>
        <v>#REF!</v>
      </c>
      <c r="K31" s="210" t="e">
        <f>+K14+K29+#REF!</f>
        <v>#REF!</v>
      </c>
      <c r="L31" s="210" t="e">
        <f>+L14+L29+#REF!</f>
        <v>#REF!</v>
      </c>
      <c r="M31" s="210" t="e">
        <f>+M14+M29+#REF!</f>
        <v>#REF!</v>
      </c>
      <c r="N31" s="211" t="e">
        <f>N14+N29+#REF!</f>
        <v>#REF!</v>
      </c>
      <c r="O31" s="211" t="e">
        <f>O14+O29+#REF!</f>
        <v>#REF!</v>
      </c>
      <c r="P31" s="211" t="e">
        <f>P14+P29+#REF!</f>
        <v>#REF!</v>
      </c>
      <c r="Q31" s="212" t="e">
        <f>Q14+Q29+#REF!</f>
        <v>#REF!</v>
      </c>
      <c r="R31" s="212" t="e">
        <f>R14+R29+#REF!</f>
        <v>#REF!</v>
      </c>
      <c r="S31" s="212" t="e">
        <f>S14+S29+#REF!</f>
        <v>#REF!</v>
      </c>
      <c r="T31" s="213" t="e">
        <f>T14+T29+#REF!</f>
        <v>#REF!</v>
      </c>
      <c r="U31" s="213" t="e">
        <f>U14+U29+#REF!</f>
        <v>#REF!</v>
      </c>
      <c r="V31" s="213" t="e">
        <f>V14+V29+#REF!</f>
        <v>#REF!</v>
      </c>
      <c r="W31" s="214" t="e">
        <f>W14+W29+#REF!</f>
        <v>#REF!</v>
      </c>
      <c r="X31" s="214" t="e">
        <f>X14+X29+#REF!</f>
        <v>#REF!</v>
      </c>
      <c r="Y31" s="214" t="e">
        <f>Y14+Y29+#REF!</f>
        <v>#REF!</v>
      </c>
      <c r="Z31" s="215" t="e">
        <f t="shared" si="27"/>
        <v>#REF!</v>
      </c>
      <c r="AA31" s="215" t="e">
        <f>+C31/O31</f>
        <v>#REF!</v>
      </c>
      <c r="AB31" s="215" t="e">
        <f>+D31/P31</f>
        <v>#REF!</v>
      </c>
      <c r="AC31" s="215" t="e">
        <f>+E31/Q31</f>
        <v>#REF!</v>
      </c>
      <c r="AD31" s="215" t="e">
        <f>+F31/R31</f>
        <v>#REF!</v>
      </c>
      <c r="AE31" s="215" t="e">
        <f t="shared" si="34"/>
        <v>#REF!</v>
      </c>
      <c r="AF31" s="215" t="e">
        <f t="shared" si="34"/>
        <v>#REF!</v>
      </c>
      <c r="AG31" s="215" t="e">
        <f t="shared" si="34"/>
        <v>#REF!</v>
      </c>
      <c r="AH31" s="215" t="e">
        <f>+J31/V31</f>
        <v>#REF!</v>
      </c>
      <c r="AI31" s="215" t="e">
        <f>+K31/W31</f>
        <v>#REF!</v>
      </c>
      <c r="AJ31" s="215" t="e">
        <f>+L31/X31</f>
        <v>#REF!</v>
      </c>
      <c r="AK31" s="64" t="e">
        <f>AK14+AK29-AK30+#REF!</f>
        <v>#REF!</v>
      </c>
      <c r="AL31" s="49" t="e">
        <f>ROUND(#REF!/AK31,4)-1</f>
        <v>#REF!</v>
      </c>
      <c r="AM31" s="1"/>
      <c r="AN31" s="64" t="e">
        <f>AN14+AN29-AN30+#REF!</f>
        <v>#REF!</v>
      </c>
      <c r="AO31" s="23"/>
      <c r="AP31" s="64" t="e">
        <f>AP14+AP29-AP30+#REF!</f>
        <v>#REF!</v>
      </c>
      <c r="AQ31" s="32" t="e">
        <f>ROUND((#REF!-AP31)/ABS(AP31),2)</f>
        <v>#REF!</v>
      </c>
      <c r="AR31" s="64" t="e">
        <f>AR14+AR29-AR30+#REF!</f>
        <v>#REF!</v>
      </c>
      <c r="AS31" s="34" t="e">
        <f>ROUND((#REF!-AR31)/ABS(AR31),2)</f>
        <v>#REF!</v>
      </c>
      <c r="AT31" s="1"/>
      <c r="AU31" s="35"/>
      <c r="AV31" s="35"/>
      <c r="AW31" s="35"/>
      <c r="AX31" s="35"/>
    </row>
    <row r="32" spans="1:50" ht="17.5" thickTop="1" x14ac:dyDescent="0.4">
      <c r="A32" s="216" t="s">
        <v>34</v>
      </c>
      <c r="B32" s="70" t="e">
        <f t="shared" ref="B32:Y32" si="35">+B14/B4</f>
        <v>#REF!</v>
      </c>
      <c r="C32" s="70" t="e">
        <f t="shared" si="35"/>
        <v>#REF!</v>
      </c>
      <c r="D32" s="70" t="e">
        <f t="shared" si="35"/>
        <v>#REF!</v>
      </c>
      <c r="E32" s="70" t="e">
        <f t="shared" si="35"/>
        <v>#REF!</v>
      </c>
      <c r="F32" s="70" t="e">
        <f t="shared" si="35"/>
        <v>#REF!</v>
      </c>
      <c r="G32" s="70" t="e">
        <f t="shared" si="35"/>
        <v>#REF!</v>
      </c>
      <c r="H32" s="70" t="e">
        <f t="shared" si="35"/>
        <v>#REF!</v>
      </c>
      <c r="I32" s="70" t="e">
        <f t="shared" si="35"/>
        <v>#REF!</v>
      </c>
      <c r="J32" s="70" t="e">
        <f t="shared" si="35"/>
        <v>#REF!</v>
      </c>
      <c r="K32" s="70" t="e">
        <f t="shared" si="35"/>
        <v>#REF!</v>
      </c>
      <c r="L32" s="70" t="e">
        <f t="shared" si="35"/>
        <v>#REF!</v>
      </c>
      <c r="M32" s="70" t="e">
        <f t="shared" si="35"/>
        <v>#REF!</v>
      </c>
      <c r="N32" s="72" t="e">
        <f t="shared" si="35"/>
        <v>#REF!</v>
      </c>
      <c r="O32" s="72" t="e">
        <f t="shared" si="35"/>
        <v>#REF!</v>
      </c>
      <c r="P32" s="72" t="e">
        <f t="shared" si="35"/>
        <v>#REF!</v>
      </c>
      <c r="Q32" s="71" t="e">
        <f t="shared" si="35"/>
        <v>#REF!</v>
      </c>
      <c r="R32" s="71" t="e">
        <f t="shared" si="35"/>
        <v>#REF!</v>
      </c>
      <c r="S32" s="71" t="e">
        <f t="shared" si="35"/>
        <v>#REF!</v>
      </c>
      <c r="T32" s="73" t="e">
        <f t="shared" si="35"/>
        <v>#REF!</v>
      </c>
      <c r="U32" s="73" t="e">
        <f t="shared" si="35"/>
        <v>#REF!</v>
      </c>
      <c r="V32" s="73" t="e">
        <f t="shared" si="35"/>
        <v>#REF!</v>
      </c>
      <c r="W32" s="74" t="e">
        <f t="shared" si="35"/>
        <v>#REF!</v>
      </c>
      <c r="X32" s="74" t="e">
        <f t="shared" si="35"/>
        <v>#REF!</v>
      </c>
      <c r="Y32" s="74" t="e">
        <f t="shared" si="35"/>
        <v>#REF!</v>
      </c>
      <c r="Z32" s="217" t="e">
        <f t="shared" ref="Z32:AE32" si="36">+B32/N32</f>
        <v>#REF!</v>
      </c>
      <c r="AA32" s="217" t="e">
        <f t="shared" si="36"/>
        <v>#REF!</v>
      </c>
      <c r="AB32" s="217" t="e">
        <f t="shared" si="36"/>
        <v>#REF!</v>
      </c>
      <c r="AC32" s="217" t="e">
        <f t="shared" si="36"/>
        <v>#REF!</v>
      </c>
      <c r="AD32" s="217" t="e">
        <f t="shared" si="36"/>
        <v>#REF!</v>
      </c>
      <c r="AE32" s="217" t="e">
        <f t="shared" si="36"/>
        <v>#REF!</v>
      </c>
      <c r="AF32" s="217" t="e">
        <f t="shared" ref="AF32" si="37">+H32/T32</f>
        <v>#REF!</v>
      </c>
      <c r="AG32" s="217" t="e">
        <f>+I32/U32</f>
        <v>#REF!</v>
      </c>
      <c r="AH32" s="217" t="e">
        <f t="shared" ref="AH32" si="38">+J32/V32</f>
        <v>#REF!</v>
      </c>
      <c r="AI32" s="217" t="e">
        <f t="shared" ref="AI32" si="39">+K32/W32</f>
        <v>#REF!</v>
      </c>
      <c r="AJ32" s="217" t="e">
        <f t="shared" ref="AJ32" si="40">+L32/X32</f>
        <v>#REF!</v>
      </c>
      <c r="AK32" s="75">
        <f>ROUND(AK14/AK4,4)</f>
        <v>0.35899999999999999</v>
      </c>
      <c r="AL32" s="76" t="e">
        <f>ROUND(#REF!/AK32,4)-1</f>
        <v>#REF!</v>
      </c>
      <c r="AM32" s="1"/>
      <c r="AN32" s="77">
        <f>ROUND(AN14/AN4,4)</f>
        <v>0.38269999999999998</v>
      </c>
      <c r="AO32" s="78"/>
      <c r="AP32" s="79" t="e">
        <f>ROUND(AP14/AP4,4)</f>
        <v>#REF!</v>
      </c>
      <c r="AQ32" s="80" t="e">
        <f>ROUND((#REF!-AP32)/ABS(AP32),2)</f>
        <v>#REF!</v>
      </c>
      <c r="AR32" s="81" t="e">
        <f>ROUND(AR14/AR4,4)</f>
        <v>#REF!</v>
      </c>
      <c r="AS32" s="82" t="e">
        <f>ROUND((#REF!-AR32)/ABS(AR32),2)</f>
        <v>#REF!</v>
      </c>
      <c r="AT32" s="1"/>
      <c r="AU32" s="35"/>
      <c r="AV32" s="35"/>
      <c r="AW32" s="35"/>
      <c r="AX32" s="35"/>
    </row>
    <row r="33" spans="1:50" ht="17.5" thickBot="1" x14ac:dyDescent="0.45">
      <c r="A33" s="218" t="s">
        <v>35</v>
      </c>
      <c r="B33" s="131">
        <v>110938</v>
      </c>
      <c r="C33" s="131">
        <v>121262</v>
      </c>
      <c r="D33" s="131">
        <v>114096</v>
      </c>
      <c r="E33" s="131">
        <v>120808</v>
      </c>
      <c r="F33" s="131">
        <v>114536</v>
      </c>
      <c r="G33" s="131">
        <v>118685</v>
      </c>
      <c r="H33" s="131">
        <v>118813</v>
      </c>
      <c r="I33" s="131">
        <v>120589</v>
      </c>
      <c r="J33" s="131">
        <v>118914</v>
      </c>
      <c r="K33" s="131">
        <v>114473</v>
      </c>
      <c r="L33" s="131">
        <v>119609</v>
      </c>
      <c r="M33" s="131">
        <v>114961</v>
      </c>
      <c r="N33" s="138">
        <v>157626.08695652173</v>
      </c>
      <c r="O33" s="138">
        <v>145647.82608695651</v>
      </c>
      <c r="P33" s="138">
        <v>145647.82608695651</v>
      </c>
      <c r="Q33" s="139">
        <v>136013.04347826086</v>
      </c>
      <c r="R33" s="139">
        <v>135647.82608695651</v>
      </c>
      <c r="S33" s="139">
        <v>135647.82608695651</v>
      </c>
      <c r="T33" s="140">
        <v>146013.04347826086</v>
      </c>
      <c r="U33" s="140">
        <v>155647.82608695651</v>
      </c>
      <c r="V33" s="140">
        <v>135647.82608695651</v>
      </c>
      <c r="W33" s="135">
        <v>136013.04347826086</v>
      </c>
      <c r="X33" s="135">
        <v>135647.82608695651</v>
      </c>
      <c r="Y33" s="135">
        <v>135647.82608695651</v>
      </c>
      <c r="Z33" s="168">
        <f t="shared" ref="Z33" si="41">+B33/N33</f>
        <v>0.70380482153693391</v>
      </c>
      <c r="AA33" s="168">
        <f t="shared" ref="AA33" si="42">+C33/O33</f>
        <v>0.83256992746052128</v>
      </c>
      <c r="AB33" s="168">
        <f t="shared" ref="AB33" si="43">+D33/P33</f>
        <v>0.78336905579271032</v>
      </c>
      <c r="AC33" s="168">
        <f t="shared" ref="AC33:AC34" si="44">+E33/Q33</f>
        <v>0.8882089313684749</v>
      </c>
      <c r="AD33" s="168">
        <f t="shared" ref="AD33" si="45">+F33/R33</f>
        <v>0.84436296035129332</v>
      </c>
      <c r="AE33" s="168">
        <f t="shared" ref="AE33" si="46">+G33/S33</f>
        <v>0.87494951761274409</v>
      </c>
      <c r="AF33" s="168">
        <f t="shared" ref="AF33" si="47">+H33/T33</f>
        <v>0.81371497483846</v>
      </c>
      <c r="AG33" s="168">
        <f t="shared" ref="AG33" si="48">+I33/U33</f>
        <v>0.7747554400960921</v>
      </c>
      <c r="AH33" s="168">
        <f t="shared" ref="AH33" si="49">+J33/V33</f>
        <v>0.87663771274720348</v>
      </c>
      <c r="AI33" s="168">
        <f t="shared" ref="AI33" si="50">+K33/W33</f>
        <v>0.84163251606303746</v>
      </c>
      <c r="AJ33" s="168">
        <f t="shared" ref="AJ33" si="51">+L33/X33</f>
        <v>0.88176127439982055</v>
      </c>
      <c r="AK33" s="51">
        <f t="shared" ref="AK33" si="52">AP33</f>
        <v>1580170</v>
      </c>
      <c r="AL33" s="39" t="e">
        <f>ROUND(#REF!/AK33,4)-1</f>
        <v>#REF!</v>
      </c>
      <c r="AM33" s="1"/>
      <c r="AN33" s="86">
        <v>1780252</v>
      </c>
      <c r="AO33" s="87"/>
      <c r="AP33" s="40">
        <v>1580170</v>
      </c>
      <c r="AQ33" s="25" t="e">
        <f>ROUND((#REF!-AP33)/ABS(AP33),2)</f>
        <v>#REF!</v>
      </c>
      <c r="AR33" s="41">
        <f t="shared" ref="AR33" si="53">SUM(AN33+AP33)/2</f>
        <v>1680211</v>
      </c>
      <c r="AS33" s="27" t="e">
        <f>ROUND((#REF!-AR33)/ABS(AR33),2)</f>
        <v>#REF!</v>
      </c>
    </row>
    <row r="34" spans="1:50" ht="23.25" customHeight="1" thickBot="1" x14ac:dyDescent="0.5">
      <c r="A34" s="219" t="s">
        <v>36</v>
      </c>
      <c r="B34" s="220">
        <f t="shared" ref="B34:Y34" si="54">SUM(B33:B33)</f>
        <v>110938</v>
      </c>
      <c r="C34" s="220">
        <f t="shared" si="54"/>
        <v>121262</v>
      </c>
      <c r="D34" s="220">
        <f t="shared" si="54"/>
        <v>114096</v>
      </c>
      <c r="E34" s="220">
        <f t="shared" si="54"/>
        <v>120808</v>
      </c>
      <c r="F34" s="220">
        <f t="shared" si="54"/>
        <v>114536</v>
      </c>
      <c r="G34" s="220">
        <f t="shared" si="54"/>
        <v>118685</v>
      </c>
      <c r="H34" s="220">
        <f t="shared" si="54"/>
        <v>118813</v>
      </c>
      <c r="I34" s="220">
        <f t="shared" si="54"/>
        <v>120589</v>
      </c>
      <c r="J34" s="220">
        <f t="shared" si="54"/>
        <v>118914</v>
      </c>
      <c r="K34" s="220">
        <f t="shared" si="54"/>
        <v>114473</v>
      </c>
      <c r="L34" s="220">
        <f t="shared" si="54"/>
        <v>119609</v>
      </c>
      <c r="M34" s="220">
        <f t="shared" si="54"/>
        <v>114961</v>
      </c>
      <c r="N34" s="221">
        <f t="shared" si="54"/>
        <v>157626.08695652173</v>
      </c>
      <c r="O34" s="221">
        <f t="shared" si="54"/>
        <v>145647.82608695651</v>
      </c>
      <c r="P34" s="221">
        <f t="shared" si="54"/>
        <v>145647.82608695651</v>
      </c>
      <c r="Q34" s="222">
        <f t="shared" si="54"/>
        <v>136013.04347826086</v>
      </c>
      <c r="R34" s="222">
        <f t="shared" si="54"/>
        <v>135647.82608695651</v>
      </c>
      <c r="S34" s="222">
        <f t="shared" si="54"/>
        <v>135647.82608695651</v>
      </c>
      <c r="T34" s="223">
        <f t="shared" si="54"/>
        <v>146013.04347826086</v>
      </c>
      <c r="U34" s="223">
        <f t="shared" si="54"/>
        <v>155647.82608695651</v>
      </c>
      <c r="V34" s="223">
        <f t="shared" si="54"/>
        <v>135647.82608695651</v>
      </c>
      <c r="W34" s="224">
        <f t="shared" si="54"/>
        <v>136013.04347826086</v>
      </c>
      <c r="X34" s="224">
        <f t="shared" si="54"/>
        <v>135647.82608695651</v>
      </c>
      <c r="Y34" s="224">
        <f t="shared" si="54"/>
        <v>135647.82608695651</v>
      </c>
      <c r="Z34" s="225">
        <f>+B34/N34</f>
        <v>0.70380482153693391</v>
      </c>
      <c r="AA34" s="225">
        <f t="shared" ref="AA34:AB38" si="55">+C34/O34</f>
        <v>0.83256992746052128</v>
      </c>
      <c r="AB34" s="225">
        <f t="shared" si="55"/>
        <v>0.78336905579271032</v>
      </c>
      <c r="AC34" s="225">
        <f t="shared" si="44"/>
        <v>0.8882089313684749</v>
      </c>
      <c r="AD34" s="225">
        <f t="shared" ref="AD34:AJ34" si="56">+F34/R34</f>
        <v>0.84436296035129332</v>
      </c>
      <c r="AE34" s="225">
        <f t="shared" si="56"/>
        <v>0.87494951761274409</v>
      </c>
      <c r="AF34" s="225">
        <f t="shared" si="56"/>
        <v>0.81371497483846</v>
      </c>
      <c r="AG34" s="225">
        <f t="shared" si="56"/>
        <v>0.7747554400960921</v>
      </c>
      <c r="AH34" s="225">
        <f t="shared" si="56"/>
        <v>0.87663771274720348</v>
      </c>
      <c r="AI34" s="225">
        <f t="shared" si="56"/>
        <v>0.84163251606303746</v>
      </c>
      <c r="AJ34" s="226">
        <f t="shared" si="56"/>
        <v>0.88176127439982055</v>
      </c>
      <c r="AK34" s="89">
        <f>SUM(AK33:AK33)</f>
        <v>1580170</v>
      </c>
      <c r="AL34" s="21" t="e">
        <f>ROUND(#REF!/AK34,4)-1</f>
        <v>#REF!</v>
      </c>
      <c r="AM34" s="1"/>
      <c r="AN34" s="90">
        <f>SUM(AN33:AN33)</f>
        <v>1780252</v>
      </c>
      <c r="AO34" s="87"/>
      <c r="AP34" s="31">
        <f>SUM(AP33:AP33)</f>
        <v>1580170</v>
      </c>
      <c r="AQ34" s="91" t="e">
        <f>ROUND((#REF!-AP34)/ABS(AP34),2)</f>
        <v>#REF!</v>
      </c>
      <c r="AR34" s="92">
        <f>SUM(AR33:AR33)</f>
        <v>1680211</v>
      </c>
      <c r="AS34" s="83" t="e">
        <f>ROUND((#REF!-AR34)/ABS(AR34),2)</f>
        <v>#REF!</v>
      </c>
      <c r="AT34" s="1"/>
      <c r="AU34" s="35"/>
      <c r="AV34" s="35"/>
      <c r="AW34" s="35"/>
      <c r="AX34" s="35"/>
    </row>
    <row r="35" spans="1:50" ht="20.25" customHeight="1" thickBot="1" x14ac:dyDescent="0.5">
      <c r="A35" s="232" t="s">
        <v>37</v>
      </c>
      <c r="B35" s="220">
        <v>61596</v>
      </c>
      <c r="C35" s="220">
        <v>54174</v>
      </c>
      <c r="D35" s="220">
        <v>31562</v>
      </c>
      <c r="E35" s="220">
        <v>60417</v>
      </c>
      <c r="F35" s="220">
        <v>59781</v>
      </c>
      <c r="G35" s="220">
        <v>59086</v>
      </c>
      <c r="H35" s="220">
        <v>58788</v>
      </c>
      <c r="I35" s="220">
        <v>57789</v>
      </c>
      <c r="J35" s="220">
        <v>60686</v>
      </c>
      <c r="K35" s="220">
        <v>65911</v>
      </c>
      <c r="L35" s="220">
        <v>60990</v>
      </c>
      <c r="M35" s="220">
        <f>54452</f>
        <v>54452</v>
      </c>
      <c r="N35" s="221">
        <v>84064.310124433294</v>
      </c>
      <c r="O35" s="221">
        <v>74174.154654580605</v>
      </c>
      <c r="P35" s="221">
        <v>75642.270247707595</v>
      </c>
      <c r="Q35" s="222">
        <v>77392.590422154346</v>
      </c>
      <c r="R35" s="222">
        <v>78653.767120152959</v>
      </c>
      <c r="S35" s="222">
        <v>76101.303360595659</v>
      </c>
      <c r="T35" s="223">
        <v>77691.100129535538</v>
      </c>
      <c r="U35" s="223">
        <v>75514.417697757293</v>
      </c>
      <c r="V35" s="223">
        <v>77153.020455310994</v>
      </c>
      <c r="W35" s="224">
        <v>77613.331791228542</v>
      </c>
      <c r="X35" s="224">
        <v>77646.495813924426</v>
      </c>
      <c r="Y35" s="224">
        <v>76401.464461462776</v>
      </c>
      <c r="Z35" s="225">
        <f>+B35/N35</f>
        <v>0.732724742626504</v>
      </c>
      <c r="AA35" s="225">
        <f t="shared" si="55"/>
        <v>0.73036221649281041</v>
      </c>
      <c r="AB35" s="225">
        <f t="shared" si="55"/>
        <v>0.41725347344339542</v>
      </c>
      <c r="AC35" s="225">
        <f>+E35/Q35</f>
        <v>0.78065612832498077</v>
      </c>
      <c r="AD35" s="225">
        <f>+F35/R35</f>
        <v>0.76005259746398968</v>
      </c>
      <c r="AE35" s="225">
        <f>+G35/S35</f>
        <v>0.77641245801046321</v>
      </c>
      <c r="AF35" s="225">
        <f>+H35/T35</f>
        <v>0.7566889888543461</v>
      </c>
      <c r="AG35" s="225">
        <f t="shared" ref="AG35:AI35" si="57">+I35/U35</f>
        <v>0.76527108017038026</v>
      </c>
      <c r="AH35" s="225">
        <f t="shared" si="57"/>
        <v>0.78656674284256811</v>
      </c>
      <c r="AI35" s="225">
        <f t="shared" si="57"/>
        <v>0.84922265903096972</v>
      </c>
      <c r="AJ35" s="225">
        <f>+L35/X35</f>
        <v>0.78548296817101948</v>
      </c>
      <c r="AK35" s="95">
        <f>AP35</f>
        <v>738057</v>
      </c>
      <c r="AL35" s="96" t="e">
        <f>ROUND(#REF!/AK35,4)-1</f>
        <v>#REF!</v>
      </c>
      <c r="AM35" s="1"/>
      <c r="AN35" s="97">
        <v>943029</v>
      </c>
      <c r="AO35" s="98"/>
      <c r="AP35" s="40">
        <v>738057</v>
      </c>
      <c r="AQ35" s="25" t="e">
        <f>ROUND((#REF!-AP35)/ABS(AP35),2)</f>
        <v>#REF!</v>
      </c>
      <c r="AR35" s="41">
        <f>SUM(AN35+AP35)/2</f>
        <v>840543</v>
      </c>
      <c r="AS35" s="27" t="e">
        <f>ROUND((#REF!-AR35)/ABS(AR35),2)</f>
        <v>#REF!</v>
      </c>
    </row>
    <row r="36" spans="1:50" ht="20.25" hidden="1" customHeight="1" thickBot="1" x14ac:dyDescent="0.5">
      <c r="A36" s="232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1"/>
      <c r="O36" s="221"/>
      <c r="P36" s="221"/>
      <c r="Q36" s="222"/>
      <c r="R36" s="222"/>
      <c r="S36" s="222"/>
      <c r="T36" s="223"/>
      <c r="U36" s="223"/>
      <c r="V36" s="223"/>
      <c r="W36" s="224"/>
      <c r="X36" s="224"/>
      <c r="Y36" s="224"/>
      <c r="Z36" s="225"/>
      <c r="AA36" s="225" t="e">
        <f t="shared" si="55"/>
        <v>#DIV/0!</v>
      </c>
      <c r="AB36" s="225" t="e">
        <f t="shared" si="55"/>
        <v>#DIV/0!</v>
      </c>
      <c r="AC36" s="225" t="e">
        <f>+E36/Q36</f>
        <v>#DIV/0!</v>
      </c>
      <c r="AD36" s="225" t="e">
        <f>+F36/R36</f>
        <v>#DIV/0!</v>
      </c>
      <c r="AE36" s="225"/>
      <c r="AF36" s="225"/>
      <c r="AG36" s="225"/>
      <c r="AH36" s="225"/>
      <c r="AI36" s="225" t="e">
        <f>+K36/W36</f>
        <v>#DIV/0!</v>
      </c>
      <c r="AJ36" s="225"/>
      <c r="AK36" s="99"/>
      <c r="AL36" s="65"/>
      <c r="AM36" s="66"/>
      <c r="AN36" s="87"/>
      <c r="AO36" s="87"/>
      <c r="AP36" s="100"/>
      <c r="AQ36" s="67"/>
      <c r="AR36" s="101"/>
      <c r="AS36" s="67"/>
      <c r="AT36" s="68"/>
      <c r="AU36" s="69"/>
      <c r="AV36" s="69"/>
      <c r="AW36" s="69"/>
      <c r="AX36" s="69"/>
    </row>
    <row r="37" spans="1:50" ht="19.5" customHeight="1" thickBot="1" x14ac:dyDescent="0.5">
      <c r="A37" s="230" t="s">
        <v>38</v>
      </c>
      <c r="B37" s="220" t="e">
        <f>+#REF!-B35</f>
        <v>#REF!</v>
      </c>
      <c r="C37" s="220" t="e">
        <f>+#REF!-C35</f>
        <v>#REF!</v>
      </c>
      <c r="D37" s="220" t="e">
        <f>+#REF!-D35</f>
        <v>#REF!</v>
      </c>
      <c r="E37" s="220" t="e">
        <f>+#REF!-E35</f>
        <v>#REF!</v>
      </c>
      <c r="F37" s="220" t="e">
        <f>+#REF!-F35</f>
        <v>#REF!</v>
      </c>
      <c r="G37" s="220" t="e">
        <f>+#REF!-G35</f>
        <v>#REF!</v>
      </c>
      <c r="H37" s="220" t="e">
        <f>+#REF!-H35</f>
        <v>#REF!</v>
      </c>
      <c r="I37" s="220" t="e">
        <f>+#REF!-I35</f>
        <v>#REF!</v>
      </c>
      <c r="J37" s="220" t="e">
        <f>+#REF!-J35</f>
        <v>#REF!</v>
      </c>
      <c r="K37" s="220" t="e">
        <f>+#REF!-K35</f>
        <v>#REF!</v>
      </c>
      <c r="L37" s="220" t="e">
        <f>+#REF!-L35</f>
        <v>#REF!</v>
      </c>
      <c r="M37" s="220" t="e">
        <f>+#REF!-M35</f>
        <v>#REF!</v>
      </c>
      <c r="N37" s="231" t="e">
        <f>+#REF!-N35</f>
        <v>#REF!</v>
      </c>
      <c r="O37" s="231" t="e">
        <f>+#REF!-O35</f>
        <v>#REF!</v>
      </c>
      <c r="P37" s="231" t="e">
        <f>+#REF!-P35</f>
        <v>#REF!</v>
      </c>
      <c r="Q37" s="227" t="e">
        <f>+#REF!-Q35</f>
        <v>#REF!</v>
      </c>
      <c r="R37" s="227" t="e">
        <f>+#REF!-R35</f>
        <v>#REF!</v>
      </c>
      <c r="S37" s="227" t="e">
        <f>+#REF!-S35</f>
        <v>#REF!</v>
      </c>
      <c r="T37" s="228" t="e">
        <f>+#REF!-T35</f>
        <v>#REF!</v>
      </c>
      <c r="U37" s="228" t="e">
        <f>+#REF!-U35</f>
        <v>#REF!</v>
      </c>
      <c r="V37" s="228" t="e">
        <f>+#REF!-V35</f>
        <v>#REF!</v>
      </c>
      <c r="W37" s="229" t="e">
        <f>+#REF!-W35</f>
        <v>#REF!</v>
      </c>
      <c r="X37" s="229" t="e">
        <f>+#REF!-X35</f>
        <v>#REF!</v>
      </c>
      <c r="Y37" s="229" t="e">
        <f>+#REF!-Y35</f>
        <v>#REF!</v>
      </c>
      <c r="Z37" s="225" t="e">
        <f>(+B37-N37)/ABS(N37)</f>
        <v>#REF!</v>
      </c>
      <c r="AA37" s="225" t="e">
        <f t="shared" si="55"/>
        <v>#REF!</v>
      </c>
      <c r="AB37" s="225" t="e">
        <f t="shared" si="55"/>
        <v>#REF!</v>
      </c>
      <c r="AC37" s="225" t="e">
        <f>(+E37-Q37)/ABS(Q37)</f>
        <v>#REF!</v>
      </c>
      <c r="AD37" s="225" t="e">
        <f>(+F37-R37)/ABS(R37)</f>
        <v>#REF!</v>
      </c>
      <c r="AE37" s="225" t="e">
        <f>(+G37-S37)/ABS(S37)</f>
        <v>#REF!</v>
      </c>
      <c r="AF37" s="225" t="e">
        <f>(+H37-T37)/ABS(T37)</f>
        <v>#REF!</v>
      </c>
      <c r="AG37" s="225" t="e">
        <f>+I37/U37</f>
        <v>#REF!</v>
      </c>
      <c r="AH37" s="225" t="e">
        <f>+J37/V37</f>
        <v>#REF!</v>
      </c>
      <c r="AI37" s="225" t="e">
        <f>+K37/W37</f>
        <v>#REF!</v>
      </c>
      <c r="AJ37" s="225" t="e">
        <f>(+L37-X37)/ABS(X37)</f>
        <v>#REF!</v>
      </c>
      <c r="AK37" s="93" t="e">
        <f>#REF!-AK35+AK36</f>
        <v>#REF!</v>
      </c>
      <c r="AL37" s="94" t="e">
        <f>ROUND(#REF!/AK37,4)-1</f>
        <v>#REF!</v>
      </c>
      <c r="AM37" s="1"/>
      <c r="AN37" s="90" t="e">
        <f>#REF!-AN35+AN36</f>
        <v>#REF!</v>
      </c>
      <c r="AO37" s="87"/>
      <c r="AP37" s="53" t="e">
        <f>#REF!-AP35</f>
        <v>#REF!</v>
      </c>
      <c r="AQ37" s="32" t="e">
        <f>ROUND((#REF!-AP37)/ABS(AP37),2)</f>
        <v>#REF!</v>
      </c>
      <c r="AR37" s="54" t="e">
        <f>#REF!-AR35</f>
        <v>#REF!</v>
      </c>
      <c r="AS37" s="34" t="e">
        <f>ROUND((#REF!-AR37)/ABS(AR37),2)</f>
        <v>#REF!</v>
      </c>
    </row>
    <row r="38" spans="1:50" ht="21" customHeight="1" thickBot="1" x14ac:dyDescent="0.5">
      <c r="A38" s="232" t="s">
        <v>39</v>
      </c>
      <c r="B38" s="220">
        <v>389162</v>
      </c>
      <c r="C38" s="220">
        <v>299091</v>
      </c>
      <c r="D38" s="220">
        <v>194337</v>
      </c>
      <c r="E38" s="220">
        <v>288746</v>
      </c>
      <c r="F38" s="220">
        <v>321395</v>
      </c>
      <c r="G38" s="220">
        <v>316620</v>
      </c>
      <c r="H38" s="220">
        <v>327778</v>
      </c>
      <c r="I38" s="220">
        <v>313811</v>
      </c>
      <c r="J38" s="220">
        <v>393072</v>
      </c>
      <c r="K38" s="220">
        <v>336417</v>
      </c>
      <c r="L38" s="220">
        <v>343427</v>
      </c>
      <c r="M38" s="220">
        <v>319225</v>
      </c>
      <c r="N38" s="221">
        <v>456966.15815898555</v>
      </c>
      <c r="O38" s="221">
        <v>326553.47894949943</v>
      </c>
      <c r="P38" s="221">
        <v>328554.81533289858</v>
      </c>
      <c r="Q38" s="222">
        <v>335743.90359377547</v>
      </c>
      <c r="R38" s="222">
        <v>360183.79742776754</v>
      </c>
      <c r="S38" s="222">
        <v>352631.7122024711</v>
      </c>
      <c r="T38" s="223">
        <v>345917.64103057911</v>
      </c>
      <c r="U38" s="223">
        <v>376840.84059531451</v>
      </c>
      <c r="V38" s="223">
        <v>351227.54810963047</v>
      </c>
      <c r="W38" s="224">
        <v>332756.74102478271</v>
      </c>
      <c r="X38" s="224">
        <v>328388.49616312259</v>
      </c>
      <c r="Y38" s="224">
        <v>326908.20175521751</v>
      </c>
      <c r="Z38" s="225">
        <f>+B38/N38</f>
        <v>0.85162105125650145</v>
      </c>
      <c r="AA38" s="225">
        <f t="shared" si="55"/>
        <v>0.91590204753645754</v>
      </c>
      <c r="AB38" s="225">
        <f t="shared" si="55"/>
        <v>0.59149034173519477</v>
      </c>
      <c r="AC38" s="225">
        <f>+E38/Q38</f>
        <v>0.86001859425975058</v>
      </c>
      <c r="AD38" s="225">
        <f>+F38/R38</f>
        <v>0.89230832229329704</v>
      </c>
      <c r="AE38" s="225">
        <f>+G38/S38</f>
        <v>0.89787727264360673</v>
      </c>
      <c r="AF38" s="225">
        <f>+H38/T38</f>
        <v>0.94756080962931999</v>
      </c>
      <c r="AG38" s="225">
        <f>+I38/U38</f>
        <v>0.83274148179973517</v>
      </c>
      <c r="AH38" s="225">
        <f>+J38/V38</f>
        <v>1.1191377274236711</v>
      </c>
      <c r="AI38" s="225">
        <f>+K38/W38</f>
        <v>1.0109998041330279</v>
      </c>
      <c r="AJ38" s="225">
        <f>+L38/X38</f>
        <v>1.0457948558265184</v>
      </c>
      <c r="AK38" s="102">
        <f>AP38</f>
        <v>4924636</v>
      </c>
      <c r="AL38" s="103" t="e">
        <f>ROUND(#REF!/AK38,4)-1</f>
        <v>#REF!</v>
      </c>
      <c r="AM38" s="1"/>
      <c r="AN38" s="86">
        <v>4900164</v>
      </c>
      <c r="AO38" s="87"/>
      <c r="AP38" s="40">
        <v>4924636</v>
      </c>
      <c r="AQ38" s="88" t="e">
        <f>ROUND((#REF!-AP38)/ABS(AP38),2)</f>
        <v>#REF!</v>
      </c>
      <c r="AR38" s="41">
        <f t="shared" ref="AR38:AR43" si="58">SUM(AN38+AP38)/2</f>
        <v>4912400</v>
      </c>
      <c r="AS38" s="46" t="e">
        <f>ROUND((#REF!-AR38)/ABS(AR38),2)</f>
        <v>#REF!</v>
      </c>
    </row>
    <row r="39" spans="1:50" ht="21" customHeight="1" thickBot="1" x14ac:dyDescent="0.5">
      <c r="A39" s="233" t="s">
        <v>61</v>
      </c>
      <c r="B39" s="234">
        <v>12011940</v>
      </c>
      <c r="C39" s="234">
        <f>10383063</f>
        <v>10383063</v>
      </c>
      <c r="D39" s="234">
        <f>9961872</f>
        <v>9961872</v>
      </c>
      <c r="E39" s="234">
        <f>9326977.8+1046355.2</f>
        <v>10373333</v>
      </c>
      <c r="F39" s="234">
        <v>10916604</v>
      </c>
      <c r="G39" s="234">
        <f>10999829</f>
        <v>10999829</v>
      </c>
      <c r="H39" s="234">
        <v>10475424</v>
      </c>
      <c r="I39" s="234">
        <f>10574190</f>
        <v>10574190</v>
      </c>
      <c r="J39" s="234">
        <f>8742524</f>
        <v>8742524</v>
      </c>
      <c r="K39" s="234">
        <f>9792874</f>
        <v>9792874</v>
      </c>
      <c r="L39" s="234">
        <f>9867035</f>
        <v>9867035</v>
      </c>
      <c r="M39" s="234">
        <f>8202408</f>
        <v>8202408</v>
      </c>
      <c r="N39" s="235"/>
      <c r="O39" s="235"/>
      <c r="P39" s="235">
        <v>13500000</v>
      </c>
      <c r="Q39" s="236"/>
      <c r="R39" s="236"/>
      <c r="S39" s="236">
        <v>12500000</v>
      </c>
      <c r="T39" s="237"/>
      <c r="U39" s="237"/>
      <c r="V39" s="237">
        <v>12500000</v>
      </c>
      <c r="W39" s="238"/>
      <c r="X39" s="238"/>
      <c r="Y39" s="238">
        <v>11000000</v>
      </c>
      <c r="Z39" s="239" t="e">
        <f t="shared" ref="Z39:AJ42" si="59">+B39/N39</f>
        <v>#DIV/0!</v>
      </c>
      <c r="AA39" s="239" t="e">
        <f t="shared" si="59"/>
        <v>#DIV/0!</v>
      </c>
      <c r="AB39" s="239">
        <f t="shared" si="59"/>
        <v>0.73791644444444449</v>
      </c>
      <c r="AC39" s="239" t="e">
        <f t="shared" si="59"/>
        <v>#DIV/0!</v>
      </c>
      <c r="AD39" s="239" t="e">
        <f t="shared" si="59"/>
        <v>#DIV/0!</v>
      </c>
      <c r="AE39" s="239">
        <f t="shared" si="59"/>
        <v>0.87998631999999999</v>
      </c>
      <c r="AF39" s="239" t="e">
        <f t="shared" si="59"/>
        <v>#DIV/0!</v>
      </c>
      <c r="AG39" s="239" t="e">
        <f t="shared" si="59"/>
        <v>#DIV/0!</v>
      </c>
      <c r="AH39" s="239">
        <f t="shared" si="59"/>
        <v>0.69940192000000001</v>
      </c>
      <c r="AI39" s="239" t="e">
        <f t="shared" si="59"/>
        <v>#DIV/0!</v>
      </c>
      <c r="AJ39" s="239" t="e">
        <f t="shared" si="59"/>
        <v>#DIV/0!</v>
      </c>
      <c r="AK39" s="104">
        <f>AP39</f>
        <v>11492712</v>
      </c>
      <c r="AL39" s="105" t="e">
        <f>(#REF!-AK39)/AK39</f>
        <v>#REF!</v>
      </c>
      <c r="AM39" s="1"/>
      <c r="AN39" s="86">
        <v>18000000</v>
      </c>
      <c r="AO39" s="87"/>
      <c r="AP39" s="40">
        <v>11492712</v>
      </c>
      <c r="AQ39" s="88" t="e">
        <f>ROUND((#REF!-AP39)/ABS(AP39),2)</f>
        <v>#REF!</v>
      </c>
      <c r="AR39" s="41">
        <f t="shared" si="58"/>
        <v>14746356</v>
      </c>
      <c r="AS39" s="46" t="e">
        <f>ROUND((#REF!-AR39)/ABS(AR39),2)</f>
        <v>#REF!</v>
      </c>
    </row>
    <row r="40" spans="1:50" ht="21" customHeight="1" thickBot="1" x14ac:dyDescent="0.5">
      <c r="A40" s="233" t="s">
        <v>44</v>
      </c>
      <c r="B40" s="234">
        <f>10316096+2717104</f>
        <v>13033200</v>
      </c>
      <c r="C40" s="234">
        <f>7961239+3542139</f>
        <v>11503378</v>
      </c>
      <c r="D40" s="234">
        <f>8835612+2848117</f>
        <v>11683729</v>
      </c>
      <c r="E40" s="234">
        <f>3540174+8052536</f>
        <v>11592710</v>
      </c>
      <c r="F40" s="234">
        <f>3335494+8129874</f>
        <v>11465368</v>
      </c>
      <c r="G40" s="234">
        <f>8058952+2465562</f>
        <v>10524514</v>
      </c>
      <c r="H40" s="234">
        <f>2361791+9301288</f>
        <v>11663079</v>
      </c>
      <c r="I40" s="234">
        <f>3019896+8354389</f>
        <v>11374285</v>
      </c>
      <c r="J40" s="234">
        <f>2565875+9441774</f>
        <v>12007649</v>
      </c>
      <c r="K40" s="234">
        <f>9963418+4131836</f>
        <v>14095254</v>
      </c>
      <c r="L40" s="234">
        <f>12513802+3499112</f>
        <v>16012914</v>
      </c>
      <c r="M40" s="234">
        <f>3628093+8918774</f>
        <v>12546867</v>
      </c>
      <c r="N40" s="235"/>
      <c r="O40" s="235"/>
      <c r="P40" s="235">
        <v>15500000</v>
      </c>
      <c r="Q40" s="236"/>
      <c r="R40" s="236"/>
      <c r="S40" s="236">
        <v>15300000</v>
      </c>
      <c r="T40" s="237"/>
      <c r="U40" s="237"/>
      <c r="V40" s="237">
        <v>19000000</v>
      </c>
      <c r="W40" s="238"/>
      <c r="X40" s="238"/>
      <c r="Y40" s="238">
        <v>17500000</v>
      </c>
      <c r="Z40" s="239" t="e">
        <f t="shared" si="59"/>
        <v>#DIV/0!</v>
      </c>
      <c r="AA40" s="239" t="e">
        <f t="shared" si="59"/>
        <v>#DIV/0!</v>
      </c>
      <c r="AB40" s="239">
        <f t="shared" si="59"/>
        <v>0.75378896774193549</v>
      </c>
      <c r="AC40" s="239" t="e">
        <f t="shared" si="59"/>
        <v>#DIV/0!</v>
      </c>
      <c r="AD40" s="239" t="e">
        <f t="shared" si="59"/>
        <v>#DIV/0!</v>
      </c>
      <c r="AE40" s="239">
        <f t="shared" si="59"/>
        <v>0.68787673202614374</v>
      </c>
      <c r="AF40" s="239" t="e">
        <f t="shared" si="59"/>
        <v>#DIV/0!</v>
      </c>
      <c r="AG40" s="239" t="e">
        <f t="shared" si="59"/>
        <v>#DIV/0!</v>
      </c>
      <c r="AH40" s="239">
        <f t="shared" si="59"/>
        <v>0.63198152631578952</v>
      </c>
      <c r="AI40" s="239" t="e">
        <f t="shared" si="59"/>
        <v>#DIV/0!</v>
      </c>
      <c r="AJ40" s="239" t="e">
        <f t="shared" si="59"/>
        <v>#DIV/0!</v>
      </c>
      <c r="AK40" s="104">
        <f>AP40</f>
        <v>14165594</v>
      </c>
      <c r="AL40" s="105" t="e">
        <f>(#REF!-AK40)/AK40</f>
        <v>#REF!</v>
      </c>
      <c r="AM40" s="1"/>
      <c r="AN40" s="106">
        <v>19000000</v>
      </c>
      <c r="AO40" s="87"/>
      <c r="AP40" s="107">
        <v>14165594</v>
      </c>
      <c r="AQ40" s="108" t="e">
        <f>ROUND((#REF!-AP40)/ABS(AP40),2)</f>
        <v>#REF!</v>
      </c>
      <c r="AR40" s="109">
        <f t="shared" si="58"/>
        <v>16582797</v>
      </c>
      <c r="AS40" s="110" t="e">
        <f>ROUND((#REF!-AR40)/ABS(AR40),2)</f>
        <v>#REF!</v>
      </c>
    </row>
    <row r="41" spans="1:50" ht="21" customHeight="1" thickBot="1" x14ac:dyDescent="0.5">
      <c r="A41" s="233" t="s">
        <v>62</v>
      </c>
      <c r="B41" s="234">
        <f>ROUND((+B39+AK39)/2/(B10)*30,0)</f>
        <v>181</v>
      </c>
      <c r="C41" s="234">
        <f>ROUND(($AK$39+C39)/2/SUM($B$10:C10)*60,0)</f>
        <v>126</v>
      </c>
      <c r="D41" s="234">
        <f>ROUND(($AK$39+D39)/2/SUM($B$10:D10)*90,0)</f>
        <v>137</v>
      </c>
      <c r="E41" s="234">
        <f>ROUND(($AK$39+E39)/2/SUM($B$10:E10)*120,0)</f>
        <v>146</v>
      </c>
      <c r="F41" s="234">
        <f>ROUND(($AK$39+F39)/2/SUM($B$10:F10)*150,0)</f>
        <v>157</v>
      </c>
      <c r="G41" s="234">
        <f>ROUND(($AK$39+G39)/2/SUM($B$10:G10)*180,0)</f>
        <v>155</v>
      </c>
      <c r="H41" s="234">
        <f>ROUND(($AK$39+H39)/2/SUM($B$10:H10)*210,0)</f>
        <v>152</v>
      </c>
      <c r="I41" s="234">
        <f>ROUND(($AK$39+I39)/2/SUM($B$10:I10)*240,0)</f>
        <v>151</v>
      </c>
      <c r="J41" s="234">
        <f>ROUND(($AK$39+J39)/2/SUM($B$10:J10)*270,0)</f>
        <v>123</v>
      </c>
      <c r="K41" s="234">
        <f>ROUND(($AK$39+K39)/2/SUM($B$10:K10)*300,0)</f>
        <v>130</v>
      </c>
      <c r="L41" s="234">
        <f>ROUND(($AK$39+L39)/2/SUM($B$10:L10)*330,0)</f>
        <v>136</v>
      </c>
      <c r="M41" s="234">
        <f>ROUND(($AK$39+M39)/2/SUM($B$10:M10)*365,0)</f>
        <v>133</v>
      </c>
      <c r="N41" s="240"/>
      <c r="O41" s="240"/>
      <c r="P41" s="240">
        <f>ROUND((($AK39+P39)/2)/SUM(N10:P10)*90,2)</f>
        <v>97.33</v>
      </c>
      <c r="Q41" s="241"/>
      <c r="R41" s="241"/>
      <c r="S41" s="241">
        <f>ROUND((($AK39+S39)/2)/SUM(N10:S10)*180,2)</f>
        <v>92.88</v>
      </c>
      <c r="T41" s="242"/>
      <c r="U41" s="242"/>
      <c r="V41" s="242">
        <f>ROUND((($AK39+V39)/2)/SUM(N10:V10)*270,2)</f>
        <v>77.55</v>
      </c>
      <c r="W41" s="243"/>
      <c r="X41" s="243"/>
      <c r="Y41" s="243">
        <f>ROUND((($AK39+Y39)/2)/SUM(N10:Y10)*365,2)</f>
        <v>76.87</v>
      </c>
      <c r="Z41" s="239" t="e">
        <f t="shared" si="59"/>
        <v>#DIV/0!</v>
      </c>
      <c r="AA41" s="239" t="e">
        <f t="shared" si="59"/>
        <v>#DIV/0!</v>
      </c>
      <c r="AB41" s="239">
        <f t="shared" si="59"/>
        <v>1.4075824514538169</v>
      </c>
      <c r="AC41" s="239" t="e">
        <f t="shared" si="59"/>
        <v>#DIV/0!</v>
      </c>
      <c r="AD41" s="239" t="e">
        <f t="shared" si="59"/>
        <v>#DIV/0!</v>
      </c>
      <c r="AE41" s="239">
        <f t="shared" si="59"/>
        <v>1.6688199827734713</v>
      </c>
      <c r="AF41" s="239" t="e">
        <f t="shared" si="59"/>
        <v>#DIV/0!</v>
      </c>
      <c r="AG41" s="239" t="e">
        <f t="shared" si="59"/>
        <v>#DIV/0!</v>
      </c>
      <c r="AH41" s="239">
        <f t="shared" si="59"/>
        <v>1.5860735009671181</v>
      </c>
      <c r="AI41" s="239" t="e">
        <f t="shared" si="59"/>
        <v>#DIV/0!</v>
      </c>
      <c r="AJ41" s="239" t="e">
        <f t="shared" si="59"/>
        <v>#DIV/0!</v>
      </c>
      <c r="AK41" s="111" t="e">
        <f>ROUND(((#REF!+AK39)/2)/AK10*365,0)</f>
        <v>#REF!</v>
      </c>
      <c r="AL41" s="112" t="e">
        <f>(#REF!-AK41)/AK41</f>
        <v>#REF!</v>
      </c>
      <c r="AM41" s="1"/>
      <c r="AN41" s="85">
        <v>116</v>
      </c>
      <c r="AO41" s="84"/>
      <c r="AP41" s="40" t="e">
        <f>(AP39+#REF!)/2/AP10*365</f>
        <v>#REF!</v>
      </c>
      <c r="AQ41" s="88" t="e">
        <f>ROUND((#REF!-AP41)/ABS(AP41),2)</f>
        <v>#REF!</v>
      </c>
      <c r="AR41" s="17" t="e">
        <f t="shared" si="58"/>
        <v>#REF!</v>
      </c>
      <c r="AS41" s="46" t="e">
        <f>ROUND((#REF!-AR41)/ABS(AR41),2)</f>
        <v>#REF!</v>
      </c>
      <c r="AT41" s="1"/>
      <c r="AU41" s="35"/>
      <c r="AV41" s="35"/>
      <c r="AW41" s="35"/>
      <c r="AX41" s="35"/>
    </row>
    <row r="42" spans="1:50" ht="21" customHeight="1" thickBot="1" x14ac:dyDescent="0.5">
      <c r="A42" s="233" t="s">
        <v>40</v>
      </c>
      <c r="B42" s="234">
        <f>ROUND((+B40+AK40)/2/B4*30,0)</f>
        <v>134</v>
      </c>
      <c r="C42" s="234">
        <f>ROUND((+C40+$AK$40)/2/SUM($B$4:C4)*60,0)</f>
        <v>86</v>
      </c>
      <c r="D42" s="234">
        <f>ROUND((+D40+$AK$40)/2/SUM($B$4:D4)*90,0)</f>
        <v>88</v>
      </c>
      <c r="E42" s="234">
        <f>ROUND((+E40+$AK$40)/2/SUM($B$4:E4)*120,0)</f>
        <v>96</v>
      </c>
      <c r="F42" s="234">
        <f>ROUND((+F40+$AK$40)/2/SUM($B$4:F4)*150,0)</f>
        <v>104</v>
      </c>
      <c r="G42" s="234">
        <f>ROUND((+G40+$AK$40)/2/SUM($B$4:G4)*180,0)</f>
        <v>101</v>
      </c>
      <c r="H42" s="234">
        <f>ROUND((+H40+$AK$40)/2/SUM($B$4:H4)*210,0)</f>
        <v>108</v>
      </c>
      <c r="I42" s="234">
        <f>ROUND((+I40+$AK$40)/2/SUM($B$4:I4)*240,0)</f>
        <v>106</v>
      </c>
      <c r="J42" s="234">
        <f>ROUND((+J40+$AK$40)/2/SUM($B$4:J4)*270,0)</f>
        <v>95</v>
      </c>
      <c r="K42" s="234">
        <f>ROUND((+K40+$AK$40)/2/SUM($B$4:K4)*300,0)</f>
        <v>103</v>
      </c>
      <c r="L42" s="234">
        <f>ROUND((+L40+$AK$40)/2/SUM($B$4:L4)*330,0)</f>
        <v>115</v>
      </c>
      <c r="M42" s="234">
        <f>ROUND((+M40+$AK$40)/2/SUM($B$4:M4)*365,0)</f>
        <v>105</v>
      </c>
      <c r="N42" s="245"/>
      <c r="O42" s="245"/>
      <c r="P42" s="245">
        <f>ROUND((($AK40+P40)/2)/SUM(N4:P4)*90,2)</f>
        <v>73.17</v>
      </c>
      <c r="Q42" s="246"/>
      <c r="R42" s="246"/>
      <c r="S42" s="246">
        <f>ROUND((($AK40+S40)/2)/SUM(N4:S4)*180,2)</f>
        <v>73.27</v>
      </c>
      <c r="T42" s="247"/>
      <c r="U42" s="242"/>
      <c r="V42" s="242">
        <f>ROUND((($AK40+V40)/2)/SUM(N4:V4)*270,2)</f>
        <v>67.45</v>
      </c>
      <c r="W42" s="243"/>
      <c r="X42" s="243"/>
      <c r="Y42" s="243">
        <f>ROUND((($AK40+Y40)/2)/SUM(N4:Y4)*365,2)</f>
        <v>68.34</v>
      </c>
      <c r="Z42" s="239" t="e">
        <f t="shared" si="59"/>
        <v>#DIV/0!</v>
      </c>
      <c r="AA42" s="239" t="e">
        <f t="shared" si="59"/>
        <v>#DIV/0!</v>
      </c>
      <c r="AB42" s="239">
        <f t="shared" si="59"/>
        <v>1.2026786934536011</v>
      </c>
      <c r="AC42" s="239" t="e">
        <f t="shared" si="59"/>
        <v>#DIV/0!</v>
      </c>
      <c r="AD42" s="239" t="e">
        <f t="shared" si="59"/>
        <v>#DIV/0!</v>
      </c>
      <c r="AE42" s="239">
        <f t="shared" si="59"/>
        <v>1.3784632182339294</v>
      </c>
      <c r="AF42" s="239" t="e">
        <f t="shared" si="59"/>
        <v>#DIV/0!</v>
      </c>
      <c r="AG42" s="239" t="e">
        <f t="shared" si="59"/>
        <v>#DIV/0!</v>
      </c>
      <c r="AH42" s="239">
        <f t="shared" si="59"/>
        <v>1.408450704225352</v>
      </c>
      <c r="AI42" s="239" t="e">
        <f t="shared" si="59"/>
        <v>#DIV/0!</v>
      </c>
      <c r="AJ42" s="239" t="e">
        <f t="shared" si="59"/>
        <v>#DIV/0!</v>
      </c>
      <c r="AK42" s="113">
        <f>ROUND(((AP46+AK40)/2)/AK4*365,0)</f>
        <v>91</v>
      </c>
      <c r="AL42" s="114" t="e">
        <f>(#REF!-AK42)/AK42</f>
        <v>#REF!</v>
      </c>
      <c r="AM42" s="1"/>
      <c r="AN42" s="115">
        <v>75</v>
      </c>
      <c r="AO42" s="84"/>
      <c r="AP42" s="116">
        <f>(AP40+AP46)/2/AP4*365</f>
        <v>91.377169754448943</v>
      </c>
      <c r="AQ42" s="117" t="e">
        <f>ROUND((#REF!-AP42)/ABS(AP42),2)</f>
        <v>#REF!</v>
      </c>
      <c r="AR42" s="118">
        <f t="shared" si="58"/>
        <v>83.188584877224471</v>
      </c>
      <c r="AS42" s="82" t="e">
        <f>ROUND((#REF!-AR42)/ABS(AR42),2)</f>
        <v>#REF!</v>
      </c>
      <c r="AT42" s="1"/>
      <c r="AU42" s="35"/>
      <c r="AV42" s="35"/>
      <c r="AW42" s="35"/>
      <c r="AX42" s="35"/>
    </row>
    <row r="43" spans="1:50" ht="21" customHeight="1" thickBot="1" x14ac:dyDescent="0.5">
      <c r="A43" s="249" t="s">
        <v>41</v>
      </c>
      <c r="B43" s="119">
        <v>10908903</v>
      </c>
      <c r="C43" s="234">
        <f>2514331+8050967</f>
        <v>10565298</v>
      </c>
      <c r="D43" s="234">
        <f>2598407+8197420</f>
        <v>10795827</v>
      </c>
      <c r="E43" s="234">
        <f>2494327+8413919</f>
        <v>10908246</v>
      </c>
      <c r="F43" s="234">
        <f>2218642+8616944</f>
        <v>10835586</v>
      </c>
      <c r="G43" s="234">
        <f>969018+9091331</f>
        <v>10060349</v>
      </c>
      <c r="H43" s="234">
        <f>910755+8319369</f>
        <v>9230124</v>
      </c>
      <c r="I43" s="234">
        <f>989927+8647779</f>
        <v>9637706</v>
      </c>
      <c r="J43" s="234">
        <f>1467488+8268081</f>
        <v>9735569</v>
      </c>
      <c r="K43" s="234">
        <f>8499937+1968718</f>
        <v>10468655</v>
      </c>
      <c r="L43" s="234">
        <f>2080987+8590822</f>
        <v>10671809</v>
      </c>
      <c r="M43" s="234">
        <f>8361869+1288869</f>
        <v>9650738</v>
      </c>
      <c r="N43" s="235"/>
      <c r="O43" s="235"/>
      <c r="P43" s="235">
        <v>10500000</v>
      </c>
      <c r="Q43" s="236"/>
      <c r="R43" s="236"/>
      <c r="S43" s="236">
        <v>11500000</v>
      </c>
      <c r="T43" s="237"/>
      <c r="U43" s="237"/>
      <c r="V43" s="237">
        <v>14000000</v>
      </c>
      <c r="W43" s="244"/>
      <c r="X43" s="244"/>
      <c r="Y43" s="244">
        <v>12000000</v>
      </c>
      <c r="Z43" s="239" t="e">
        <f t="shared" ref="Z43:AJ44" si="60">+B43/N43</f>
        <v>#DIV/0!</v>
      </c>
      <c r="AA43" s="239" t="e">
        <f t="shared" si="60"/>
        <v>#DIV/0!</v>
      </c>
      <c r="AB43" s="239">
        <f t="shared" si="60"/>
        <v>1.0281739999999999</v>
      </c>
      <c r="AC43" s="239" t="e">
        <f t="shared" si="60"/>
        <v>#DIV/0!</v>
      </c>
      <c r="AD43" s="239" t="e">
        <f t="shared" si="60"/>
        <v>#DIV/0!</v>
      </c>
      <c r="AE43" s="239">
        <f t="shared" si="60"/>
        <v>0.87481295652173918</v>
      </c>
      <c r="AF43" s="239" t="e">
        <f t="shared" si="60"/>
        <v>#DIV/0!</v>
      </c>
      <c r="AG43" s="239" t="e">
        <f t="shared" si="60"/>
        <v>#DIV/0!</v>
      </c>
      <c r="AH43" s="239">
        <f t="shared" si="60"/>
        <v>0.69539778571428568</v>
      </c>
      <c r="AI43" s="239" t="e">
        <f t="shared" si="60"/>
        <v>#DIV/0!</v>
      </c>
      <c r="AJ43" s="239" t="e">
        <f t="shared" si="60"/>
        <v>#DIV/0!</v>
      </c>
      <c r="AK43" s="120">
        <f>AP43</f>
        <v>11591373</v>
      </c>
      <c r="AL43" s="121" t="e">
        <f>(#REF!-AK43)/AK43</f>
        <v>#REF!</v>
      </c>
      <c r="AM43" s="1"/>
      <c r="AN43" s="85">
        <v>22871600</v>
      </c>
      <c r="AO43" s="84"/>
      <c r="AP43" s="40">
        <v>11591373</v>
      </c>
      <c r="AQ43" s="25" t="e">
        <f>ROUND((#REF!-AP43)/ABS(AP43),2)</f>
        <v>#REF!</v>
      </c>
      <c r="AR43" s="17">
        <f t="shared" si="58"/>
        <v>17231486.5</v>
      </c>
      <c r="AS43" s="46" t="e">
        <f>ROUND((#REF!-AR43)/ABS(AR43),2)</f>
        <v>#REF!</v>
      </c>
    </row>
    <row r="44" spans="1:50" ht="21" customHeight="1" thickBot="1" x14ac:dyDescent="0.5">
      <c r="A44" s="249" t="s">
        <v>42</v>
      </c>
      <c r="B44" s="234">
        <f t="shared" ref="B44:Y44" si="61">(B39+B40-B43)*1.2</f>
        <v>16963484.399999999</v>
      </c>
      <c r="C44" s="234">
        <f t="shared" si="61"/>
        <v>13585371.6</v>
      </c>
      <c r="D44" s="234">
        <f t="shared" si="61"/>
        <v>13019728.799999999</v>
      </c>
      <c r="E44" s="234">
        <f t="shared" si="61"/>
        <v>13269356.4</v>
      </c>
      <c r="F44" s="234">
        <f t="shared" si="61"/>
        <v>13855663.199999999</v>
      </c>
      <c r="G44" s="234">
        <f t="shared" si="61"/>
        <v>13756792.799999999</v>
      </c>
      <c r="H44" s="234">
        <f t="shared" si="61"/>
        <v>15490054.799999999</v>
      </c>
      <c r="I44" s="234">
        <f t="shared" si="61"/>
        <v>14772922.799999999</v>
      </c>
      <c r="J44" s="234">
        <f t="shared" si="61"/>
        <v>13217524.799999999</v>
      </c>
      <c r="K44" s="234">
        <f t="shared" si="61"/>
        <v>16103367.6</v>
      </c>
      <c r="L44" s="234">
        <f t="shared" si="61"/>
        <v>18249768</v>
      </c>
      <c r="M44" s="234">
        <f t="shared" si="61"/>
        <v>13318244.4</v>
      </c>
      <c r="N44" s="245">
        <f t="shared" si="61"/>
        <v>0</v>
      </c>
      <c r="O44" s="245">
        <f t="shared" si="61"/>
        <v>0</v>
      </c>
      <c r="P44" s="245">
        <f t="shared" si="61"/>
        <v>22200000</v>
      </c>
      <c r="Q44" s="246">
        <f t="shared" si="61"/>
        <v>0</v>
      </c>
      <c r="R44" s="246">
        <f t="shared" si="61"/>
        <v>0</v>
      </c>
      <c r="S44" s="246">
        <f t="shared" si="61"/>
        <v>19560000</v>
      </c>
      <c r="T44" s="247">
        <f t="shared" si="61"/>
        <v>0</v>
      </c>
      <c r="U44" s="247">
        <f t="shared" si="61"/>
        <v>0</v>
      </c>
      <c r="V44" s="247">
        <f t="shared" si="61"/>
        <v>21000000</v>
      </c>
      <c r="W44" s="248">
        <f t="shared" si="61"/>
        <v>0</v>
      </c>
      <c r="X44" s="248">
        <f t="shared" si="61"/>
        <v>0</v>
      </c>
      <c r="Y44" s="248">
        <f t="shared" si="61"/>
        <v>19800000</v>
      </c>
      <c r="Z44" s="239" t="e">
        <f t="shared" si="60"/>
        <v>#DIV/0!</v>
      </c>
      <c r="AA44" s="239" t="e">
        <f t="shared" si="60"/>
        <v>#DIV/0!</v>
      </c>
      <c r="AB44" s="239">
        <f t="shared" si="60"/>
        <v>0.58647427027027021</v>
      </c>
      <c r="AC44" s="239" t="e">
        <f t="shared" si="60"/>
        <v>#DIV/0!</v>
      </c>
      <c r="AD44" s="239" t="e">
        <f t="shared" si="60"/>
        <v>#DIV/0!</v>
      </c>
      <c r="AE44" s="239">
        <f t="shared" si="60"/>
        <v>0.70331251533742323</v>
      </c>
      <c r="AF44" s="239" t="e">
        <f t="shared" si="60"/>
        <v>#DIV/0!</v>
      </c>
      <c r="AG44" s="239" t="e">
        <f t="shared" si="60"/>
        <v>#DIV/0!</v>
      </c>
      <c r="AH44" s="239">
        <f t="shared" si="60"/>
        <v>0.6294059428571428</v>
      </c>
      <c r="AI44" s="239" t="e">
        <f t="shared" si="60"/>
        <v>#DIV/0!</v>
      </c>
      <c r="AJ44" s="239" t="e">
        <f t="shared" si="60"/>
        <v>#DIV/0!</v>
      </c>
      <c r="AK44" s="120">
        <f>(AK39+AK40-AK43)*1.2</f>
        <v>16880319.599999998</v>
      </c>
      <c r="AL44" s="121" t="e">
        <f>(#REF!-AK44)/AK44</f>
        <v>#REF!</v>
      </c>
      <c r="AM44" s="1"/>
      <c r="AN44" s="85">
        <f>(AN39+AN40-AN43)*1.2</f>
        <v>16954080</v>
      </c>
      <c r="AO44" s="84"/>
      <c r="AP44" s="40">
        <f>(AP39+AP40-AP43)*1.2</f>
        <v>16880319.599999998</v>
      </c>
      <c r="AQ44" s="25" t="e">
        <f>ROUND((#REF!-AP44)/ABS(AP44),2)</f>
        <v>#REF!</v>
      </c>
      <c r="AR44" s="17">
        <f>(AR39+AR40-AR43)*1.2</f>
        <v>16917199.800000001</v>
      </c>
      <c r="AS44" s="27" t="e">
        <f>ROUND((#REF!-AR44)/ABS(AR44),2)</f>
        <v>#REF!</v>
      </c>
    </row>
    <row r="45" spans="1:50" x14ac:dyDescent="0.4">
      <c r="AM45" s="1"/>
      <c r="AN45" s="5"/>
      <c r="AO45" s="5"/>
      <c r="AP45" s="122"/>
      <c r="AR45" s="5"/>
    </row>
    <row r="46" spans="1:50" ht="17.5" thickBot="1" x14ac:dyDescent="0.45">
      <c r="A46" s="251"/>
      <c r="AM46" s="1"/>
      <c r="AN46" s="123" t="s">
        <v>63</v>
      </c>
      <c r="AO46" s="124"/>
      <c r="AP46" s="125">
        <v>12664870</v>
      </c>
      <c r="AR46" s="5"/>
    </row>
    <row r="49" spans="40:44" x14ac:dyDescent="0.4">
      <c r="AN49" s="126"/>
      <c r="AO49" s="126"/>
      <c r="AP49" s="127"/>
      <c r="AQ49" s="128"/>
      <c r="AR49" s="126"/>
    </row>
  </sheetData>
  <phoneticPr fontId="10" type="noConversion"/>
  <pageMargins left="0.75" right="0.75" top="1" bottom="1" header="0.5" footer="0.5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2025業績</vt:lpstr>
    </vt:vector>
  </TitlesOfParts>
  <Company>GrandTech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appleweng</dc:creator>
  <cp:lastModifiedBy>cshung</cp:lastModifiedBy>
  <cp:lastPrinted>2010-06-22T02:20:15Z</cp:lastPrinted>
  <dcterms:created xsi:type="dcterms:W3CDTF">2009-12-07T01:30:04Z</dcterms:created>
  <dcterms:modified xsi:type="dcterms:W3CDTF">2022-06-12T12:56:45Z</dcterms:modified>
</cp:coreProperties>
</file>