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40" yWindow="770" windowWidth="14080" windowHeight="8360" tabRatio="600" firstSheet="0" activeTab="0" autoFilterDateGrouping="1"/>
  </bookViews>
  <sheets>
    <sheet name="2025業績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0">
    <numFmt numFmtId="164" formatCode="#,##0_ "/>
    <numFmt numFmtId="165" formatCode="#,##0_);[Red]\(#,##0\)"/>
    <numFmt numFmtId="166" formatCode="\(&quot;$&quot;#,##0_);&quot;$&quot;\(#,##0\);&quot;$&quot;&quot;-       &quot;;\(@_)"/>
    <numFmt numFmtId="167" formatCode="_(&quot;$&quot;#,##0_);_(&quot;$&quot;\(#,##0\);_(&quot;$&quot;&quot;-     &quot;_);_(@_)"/>
    <numFmt numFmtId="168" formatCode="_(&quot;$&quot;#,##0.00_);_(&quot;$&quot;\(#,##0.00\);_(&quot;$&quot;&quot;-     &quot;_);_(@_)"/>
    <numFmt numFmtId="169" formatCode="&quot;$&quot;#,##0_);[Red]&quot;$&quot;\(#,##0\)"/>
    <numFmt numFmtId="170" formatCode="&quot;$&quot;#,##0.00_);[Red]&quot;$&quot;\(#,##0.00\)"/>
    <numFmt numFmtId="171" formatCode="_(* #,##0_);_(* \(#,##0\);_(* &quot;-      &quot;_);_(@_)"/>
    <numFmt numFmtId="172" formatCode="_(* #,##0.00_);_(* \(#,##0.00\);_(* &quot;-      &quot;??_);_(@_)"/>
    <numFmt numFmtId="173" formatCode="0.00_)"/>
  </numFmts>
  <fonts count="27">
    <font>
      <name val="新細明體"/>
      <charset val="136"/>
      <family val="1"/>
      <sz val="12"/>
    </font>
    <font>
      <name val="新細明體"/>
      <charset val="136"/>
      <family val="1"/>
      <sz val="12"/>
    </font>
    <font>
      <name val="Helv"/>
      <family val="2"/>
      <sz val="10"/>
    </font>
    <font>
      <name val="Times New Roman"/>
      <family val="1"/>
      <sz val="12"/>
    </font>
    <font>
      <name val="Arial"/>
      <family val="2"/>
      <sz val="8"/>
    </font>
    <font>
      <name val="Helv"/>
      <family val="2"/>
      <b val="1"/>
      <i val="1"/>
      <sz val="16"/>
    </font>
    <font>
      <name val="Book Antiqua"/>
      <family val="1"/>
      <sz val="10"/>
    </font>
    <font>
      <name val="Arial"/>
      <family val="2"/>
      <sz val="10"/>
    </font>
    <font>
      <name val="標楷體"/>
      <charset val="136"/>
      <family val="4"/>
      <sz val="12"/>
    </font>
    <font>
      <name val="Tahoma"/>
      <family val="2"/>
      <sz val="11"/>
    </font>
    <font>
      <name val="新細明體"/>
      <charset val="136"/>
      <family val="1"/>
      <sz val="9"/>
    </font>
    <font>
      <name val="新細明體"/>
      <charset val="136"/>
      <family val="1"/>
      <b val="1"/>
      <sz val="12"/>
    </font>
    <font>
      <name val="新細明體"/>
      <charset val="136"/>
      <family val="1"/>
      <b val="1"/>
      <color indexed="10"/>
      <sz val="12"/>
      <u val="single"/>
    </font>
    <font>
      <name val="新細明體"/>
      <charset val="136"/>
      <family val="1"/>
      <b val="1"/>
      <color indexed="18"/>
      <sz val="12"/>
    </font>
    <font>
      <name val="新細明體"/>
      <charset val="136"/>
      <family val="1"/>
      <b val="1"/>
      <color indexed="18"/>
      <sz val="14"/>
    </font>
    <font>
      <name val="新細明體"/>
      <charset val="136"/>
      <family val="1"/>
      <b val="1"/>
      <color indexed="10"/>
      <sz val="12"/>
    </font>
    <font>
      <name val="新細明體"/>
      <charset val="136"/>
      <family val="1"/>
      <b val="1"/>
      <color indexed="8"/>
      <sz val="12"/>
    </font>
    <font>
      <name val="新細明體"/>
      <charset val="136"/>
      <family val="1"/>
      <color indexed="81"/>
      <sz val="12"/>
    </font>
    <font>
      <name val="新細明體"/>
      <charset val="136"/>
      <family val="1"/>
      <color indexed="81"/>
      <sz val="9"/>
    </font>
    <font>
      <name val="新細明體"/>
      <charset val="136"/>
      <family val="1"/>
      <color indexed="12"/>
      <sz val="12"/>
    </font>
    <font>
      <name val="新細明體"/>
      <charset val="136"/>
      <family val="1"/>
      <b val="1"/>
      <color indexed="18"/>
      <sz val="14"/>
      <u val="single"/>
    </font>
    <font>
      <name val="新細明體"/>
      <charset val="136"/>
      <family val="1"/>
      <b val="1"/>
      <sz val="14"/>
    </font>
    <font>
      <name val="Times New Roman"/>
      <family val="1"/>
      <b val="1"/>
      <sz val="12"/>
    </font>
    <font>
      <name val="新細明體"/>
      <charset val="136"/>
      <family val="1"/>
      <b val="1"/>
      <color indexed="55"/>
      <sz val="12"/>
    </font>
    <font>
      <name val="新細明體"/>
      <charset val="136"/>
      <family val="1"/>
      <sz val="10"/>
    </font>
    <font>
      <name val="新細明體"/>
      <charset val="136"/>
      <family val="1"/>
      <b val="1"/>
      <sz val="10"/>
    </font>
    <font>
      <name val="新細明體"/>
      <charset val="136"/>
      <family val="1"/>
      <color indexed="61"/>
      <sz val="12"/>
    </font>
  </fonts>
  <fills count="1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5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medium">
        <color indexed="16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double">
        <color indexed="18"/>
      </left>
      <right style="thin">
        <color indexed="18"/>
      </right>
      <top/>
      <bottom style="double">
        <color indexed="18"/>
      </bottom>
      <diagonal/>
    </border>
    <border>
      <left style="thin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double">
        <color indexed="18"/>
      </right>
      <top/>
      <bottom/>
      <diagonal/>
    </border>
    <border>
      <left style="double">
        <color indexed="18"/>
      </left>
      <right/>
      <top/>
      <bottom style="double">
        <color indexed="18"/>
      </bottom>
      <diagonal/>
    </border>
    <border>
      <left style="hair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hair">
        <color indexed="18"/>
      </right>
      <top/>
      <bottom style="double">
        <color indexed="18"/>
      </bottom>
      <diagonal/>
    </border>
    <border>
      <left style="double">
        <color indexed="18"/>
      </left>
      <right style="thin">
        <color indexed="18"/>
      </right>
      <top/>
      <bottom/>
      <diagonal/>
    </border>
    <border>
      <left style="thin">
        <color indexed="18"/>
      </left>
      <right style="double">
        <color indexed="18"/>
      </right>
      <top/>
      <bottom/>
      <diagonal/>
    </border>
    <border>
      <left style="double">
        <color indexed="18"/>
      </left>
      <right/>
      <top/>
      <bottom/>
      <diagonal/>
    </border>
    <border>
      <left style="hair">
        <color indexed="18"/>
      </left>
      <right style="double">
        <color indexed="18"/>
      </right>
      <top/>
      <bottom/>
      <diagonal/>
    </border>
    <border>
      <left style="double">
        <color indexed="18"/>
      </left>
      <right style="hair">
        <color indexed="18"/>
      </right>
      <top/>
      <bottom/>
      <diagonal/>
    </border>
    <border>
      <left style="double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/>
      <top style="thin">
        <color indexed="18"/>
      </top>
      <bottom style="thin">
        <color indexed="18"/>
      </bottom>
      <diagonal/>
    </border>
    <border>
      <left style="hair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 style="hair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18"/>
      </left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/>
      <top/>
      <bottom style="thin">
        <color indexed="18"/>
      </bottom>
      <diagonal/>
    </border>
    <border>
      <left style="hair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 style="hair">
        <color indexed="18"/>
      </right>
      <top/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18"/>
      </left>
      <right style="double">
        <color indexed="18"/>
      </right>
      <top/>
      <bottom style="hair">
        <color indexed="18"/>
      </bottom>
      <diagonal/>
    </border>
    <border>
      <left style="double">
        <color indexed="18"/>
      </left>
      <right/>
      <top/>
      <bottom style="hair">
        <color indexed="18"/>
      </bottom>
      <diagonal/>
    </border>
    <border>
      <left style="hair">
        <color indexed="18"/>
      </left>
      <right style="double">
        <color indexed="18"/>
      </right>
      <top/>
      <bottom style="hair">
        <color indexed="18"/>
      </bottom>
      <diagonal/>
    </border>
    <border>
      <left style="double">
        <color indexed="18"/>
      </left>
      <right style="hair">
        <color indexed="18"/>
      </right>
      <top/>
      <bottom style="hair">
        <color indexed="18"/>
      </bottom>
      <diagonal/>
    </border>
    <border>
      <left style="double">
        <color indexed="18"/>
      </left>
      <right style="thin">
        <color indexed="18"/>
      </right>
      <top style="hair">
        <color indexed="18"/>
      </top>
      <bottom/>
      <diagonal/>
    </border>
    <border>
      <left style="thin">
        <color indexed="18"/>
      </left>
      <right style="double">
        <color indexed="18"/>
      </right>
      <top style="hair">
        <color indexed="18"/>
      </top>
      <bottom/>
      <diagonal/>
    </border>
    <border>
      <left style="double">
        <color indexed="18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16"/>
      </left>
      <right/>
      <top/>
      <bottom style="thin">
        <color indexed="8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</borders>
  <cellStyleXfs count="25">
    <xf numFmtId="0" fontId="1" fillId="0" borderId="0" applyAlignment="1">
      <alignment vertical="center"/>
    </xf>
    <xf numFmtId="0" fontId="2" fillId="0" borderId="0"/>
    <xf numFmtId="166" fontId="3" fillId="0" borderId="0"/>
    <xf numFmtId="167" fontId="3" fillId="0" borderId="0"/>
    <xf numFmtId="168" fontId="3" fillId="0" borderId="0"/>
    <xf numFmtId="169" fontId="3" fillId="0" borderId="0"/>
    <xf numFmtId="170" fontId="3" fillId="0" borderId="0"/>
    <xf numFmtId="0" fontId="3" fillId="0" borderId="0"/>
    <xf numFmtId="0" fontId="3" fillId="0" borderId="0"/>
    <xf numFmtId="171" fontId="3" fillId="0" borderId="0"/>
    <xf numFmtId="172" fontId="3" fillId="0" borderId="0"/>
    <xf numFmtId="38" fontId="4" fillId="2" borderId="0"/>
    <xf numFmtId="10" fontId="4" fillId="3" borderId="1"/>
    <xf numFmtId="173" fontId="5" fillId="0" borderId="0"/>
    <xf numFmtId="0" fontId="6" fillId="0" borderId="0"/>
    <xf numFmtId="10" fontId="7" fillId="0" borderId="0"/>
    <xf numFmtId="167" fontId="3" fillId="0" borderId="2"/>
    <xf numFmtId="168" fontId="3" fillId="0" borderId="2"/>
    <xf numFmtId="0" fontId="1" fillId="0" borderId="0"/>
    <xf numFmtId="0" fontId="2" fillId="0" borderId="0"/>
    <xf numFmtId="0" fontId="2" fillId="0" borderId="0"/>
    <xf numFmtId="0" fontId="2" fillId="0" borderId="0"/>
    <xf numFmtId="0" fontId="8" fillId="0" borderId="0"/>
    <xf numFmtId="9" fontId="1" fillId="0" borderId="0" applyAlignment="1">
      <alignment vertical="center"/>
    </xf>
    <xf numFmtId="0" fontId="9" fillId="0" borderId="0"/>
  </cellStyleXfs>
  <cellXfs count="442">
    <xf numFmtId="0" fontId="0" fillId="0" borderId="0" applyAlignment="1" pivotButton="0" quotePrefix="0" xfId="0">
      <alignment vertical="center"/>
    </xf>
    <xf numFmtId="164" fontId="11" fillId="0" borderId="0" applyAlignment="1" pivotButton="0" quotePrefix="0" xfId="19">
      <alignment vertical="center"/>
    </xf>
    <xf numFmtId="164" fontId="1" fillId="0" borderId="0" applyAlignment="1" pivotButton="0" quotePrefix="0" xfId="19">
      <alignment vertical="center"/>
    </xf>
    <xf numFmtId="164" fontId="1" fillId="0" borderId="0" pivotButton="0" quotePrefix="0" xfId="19"/>
    <xf numFmtId="164" fontId="1" fillId="0" borderId="0" applyAlignment="1" pivotButton="0" quotePrefix="0" xfId="19">
      <alignment horizontal="center"/>
    </xf>
    <xf numFmtId="164" fontId="11" fillId="0" borderId="0" pivotButton="0" quotePrefix="0" xfId="19"/>
    <xf numFmtId="165" fontId="14" fillId="6" borderId="11" applyAlignment="1" pivotButton="0" quotePrefix="0" xfId="19">
      <alignment horizontal="center" vertical="center" wrapText="1"/>
    </xf>
    <xf numFmtId="164" fontId="14" fillId="6" borderId="12" applyAlignment="1" pivotButton="0" quotePrefix="0" xfId="19">
      <alignment horizontal="center" vertical="center" wrapText="1"/>
    </xf>
    <xf numFmtId="164" fontId="11" fillId="0" borderId="0" applyAlignment="1" pivotButton="0" quotePrefix="0" xfId="19">
      <alignment horizontal="center" wrapText="1"/>
    </xf>
    <xf numFmtId="164" fontId="14" fillId="7" borderId="13" applyAlignment="1" pivotButton="0" quotePrefix="0" xfId="19">
      <alignment horizontal="center" vertical="center" wrapText="1"/>
    </xf>
    <xf numFmtId="164" fontId="14" fillId="0" borderId="14" applyAlignment="1" pivotButton="0" quotePrefix="0" xfId="19">
      <alignment horizontal="center" vertical="center" wrapText="1"/>
    </xf>
    <xf numFmtId="165" fontId="20" fillId="6" borderId="15" applyAlignment="1" pivotButton="0" quotePrefix="0" xfId="18">
      <alignment horizontal="center" vertical="center" wrapText="1"/>
    </xf>
    <xf numFmtId="164" fontId="14" fillId="6" borderId="16" applyAlignment="1" pivotButton="0" quotePrefix="0" xfId="19">
      <alignment horizontal="center" vertical="center" wrapText="1"/>
    </xf>
    <xf numFmtId="165" fontId="20" fillId="12" borderId="17" applyAlignment="1" pivotButton="0" quotePrefix="0" xfId="18">
      <alignment horizontal="center" vertical="center" wrapText="1"/>
    </xf>
    <xf numFmtId="164" fontId="14" fillId="12" borderId="16" applyAlignment="1" pivotButton="0" quotePrefix="0" xfId="19">
      <alignment horizontal="center" vertical="center" wrapText="1"/>
    </xf>
    <xf numFmtId="164" fontId="1" fillId="0" borderId="0" applyAlignment="1" pivotButton="0" quotePrefix="0" xfId="19">
      <alignment horizontal="center" wrapText="1"/>
    </xf>
    <xf numFmtId="164" fontId="11" fillId="0" borderId="0" applyAlignment="1" pivotButton="0" quotePrefix="0" xfId="19">
      <alignment horizontal="center" vertical="center" wrapText="1"/>
    </xf>
    <xf numFmtId="164" fontId="11" fillId="12" borderId="22" applyAlignment="1" pivotButton="0" quotePrefix="0" xfId="19">
      <alignment horizontal="center" vertical="center" wrapText="1"/>
    </xf>
    <xf numFmtId="164" fontId="1" fillId="0" borderId="0" applyAlignment="1" pivotButton="0" quotePrefix="0" xfId="19">
      <alignment horizontal="center" vertical="center" wrapText="1"/>
    </xf>
    <xf numFmtId="164" fontId="3" fillId="0" borderId="0" applyAlignment="1" pivotButton="0" quotePrefix="0" xfId="19">
      <alignment horizontal="center" vertical="center" wrapText="1"/>
    </xf>
    <xf numFmtId="165" fontId="11" fillId="6" borderId="23" applyAlignment="1" pivotButton="0" quotePrefix="0" xfId="19">
      <alignment horizontal="right" vertical="center" wrapText="1"/>
    </xf>
    <xf numFmtId="10" fontId="11" fillId="6" borderId="24" applyAlignment="1" pivotButton="0" quotePrefix="0" xfId="23">
      <alignment horizontal="right" vertical="center" wrapText="1"/>
    </xf>
    <xf numFmtId="165" fontId="11" fillId="7" borderId="14" applyAlignment="1" pivotButton="0" quotePrefix="0" xfId="19">
      <alignment horizontal="center"/>
    </xf>
    <xf numFmtId="165" fontId="11" fillId="0" borderId="14" applyAlignment="1" pivotButton="0" quotePrefix="0" xfId="19">
      <alignment horizontal="center"/>
    </xf>
    <xf numFmtId="165" fontId="11" fillId="6" borderId="20" applyAlignment="1" pivotButton="0" quotePrefix="0" xfId="19">
      <alignment horizontal="center"/>
    </xf>
    <xf numFmtId="10" fontId="11" fillId="6" borderId="21" applyAlignment="1" pivotButton="0" quotePrefix="0" xfId="23">
      <alignment vertical="center"/>
    </xf>
    <xf numFmtId="165" fontId="11" fillId="12" borderId="22" applyAlignment="1" pivotButton="0" quotePrefix="0" xfId="19">
      <alignment horizontal="center"/>
    </xf>
    <xf numFmtId="10" fontId="11" fillId="12" borderId="21" applyAlignment="1" pivotButton="0" quotePrefix="0" xfId="23">
      <alignment vertical="center"/>
    </xf>
    <xf numFmtId="165" fontId="11" fillId="4" borderId="23" applyAlignment="1" pivotButton="0" quotePrefix="0" xfId="19">
      <alignment vertical="center"/>
    </xf>
    <xf numFmtId="10" fontId="11" fillId="4" borderId="24" applyAlignment="1" pivotButton="0" quotePrefix="0" xfId="23">
      <alignment horizontal="center" vertical="center" wrapText="1"/>
    </xf>
    <xf numFmtId="165" fontId="11" fillId="7" borderId="25" applyAlignment="1" pivotButton="0" quotePrefix="0" xfId="19">
      <alignment horizontal="center"/>
    </xf>
    <xf numFmtId="165" fontId="11" fillId="6" borderId="26" applyAlignment="1" pivotButton="0" quotePrefix="0" xfId="19">
      <alignment horizontal="center"/>
    </xf>
    <xf numFmtId="10" fontId="11" fillId="6" borderId="27" applyAlignment="1" pivotButton="0" quotePrefix="0" xfId="23">
      <alignment vertical="center"/>
    </xf>
    <xf numFmtId="165" fontId="11" fillId="12" borderId="28" applyAlignment="1" pivotButton="0" quotePrefix="0" xfId="19">
      <alignment horizontal="center"/>
    </xf>
    <xf numFmtId="10" fontId="11" fillId="12" borderId="27" applyAlignment="1" pivotButton="0" quotePrefix="0" xfId="23">
      <alignment vertical="center"/>
    </xf>
    <xf numFmtId="164" fontId="22" fillId="0" borderId="0" applyAlignment="1" pivotButton="0" quotePrefix="0" xfId="19">
      <alignment vertical="center"/>
    </xf>
    <xf numFmtId="0" fontId="13" fillId="7" borderId="29" applyAlignment="1" pivotButton="0" quotePrefix="0" xfId="18">
      <alignment horizontal="left" indent="2"/>
    </xf>
    <xf numFmtId="165" fontId="11" fillId="0" borderId="0" pivotButton="0" quotePrefix="0" xfId="20"/>
    <xf numFmtId="165" fontId="11" fillId="6" borderId="18" applyAlignment="1" pivotButton="0" quotePrefix="0" xfId="19">
      <alignment vertical="center"/>
    </xf>
    <xf numFmtId="10" fontId="11" fillId="6" borderId="19" applyAlignment="1" pivotButton="0" quotePrefix="0" xfId="23">
      <alignment horizontal="center" vertical="center" wrapText="1"/>
    </xf>
    <xf numFmtId="165" fontId="11" fillId="6" borderId="20" applyAlignment="1" pivotButton="0" quotePrefix="0" xfId="19">
      <alignment horizontal="center" vertical="center" wrapText="1"/>
    </xf>
    <xf numFmtId="165" fontId="11" fillId="12" borderId="22" applyAlignment="1" pivotButton="0" quotePrefix="0" xfId="19">
      <alignment horizontal="center" vertical="center" wrapText="1"/>
    </xf>
    <xf numFmtId="164" fontId="3" fillId="0" borderId="0" applyAlignment="1" pivotButton="0" quotePrefix="0" xfId="19">
      <alignment vertical="center"/>
    </xf>
    <xf numFmtId="0" fontId="13" fillId="7" borderId="30" applyAlignment="1" pivotButton="0" quotePrefix="0" xfId="18">
      <alignment horizontal="left" indent="2"/>
    </xf>
    <xf numFmtId="164" fontId="11" fillId="0" borderId="0" applyAlignment="1" pivotButton="0" quotePrefix="0" xfId="20">
      <alignment horizontal="right"/>
    </xf>
    <xf numFmtId="164" fontId="11" fillId="6" borderId="18" applyAlignment="1" pivotButton="0" quotePrefix="0" xfId="19">
      <alignment horizontal="right"/>
    </xf>
    <xf numFmtId="10" fontId="15" fillId="12" borderId="21" applyAlignment="1" pivotButton="0" quotePrefix="0" xfId="23">
      <alignment vertical="center"/>
    </xf>
    <xf numFmtId="164" fontId="1" fillId="0" borderId="0" applyAlignment="1" pivotButton="0" quotePrefix="0" xfId="20">
      <alignment horizontal="right"/>
    </xf>
    <xf numFmtId="164" fontId="11" fillId="9" borderId="23" applyAlignment="1" pivotButton="0" quotePrefix="0" xfId="19">
      <alignment horizontal="right"/>
    </xf>
    <xf numFmtId="10" fontId="11" fillId="9" borderId="24" applyAlignment="1" pivotButton="0" quotePrefix="0" xfId="23">
      <alignment horizontal="center" vertical="center" wrapText="1"/>
    </xf>
    <xf numFmtId="164" fontId="11" fillId="0" borderId="0" pivotButton="0" quotePrefix="0" xfId="20"/>
    <xf numFmtId="164" fontId="11" fillId="6" borderId="18" applyAlignment="1" pivotButton="0" quotePrefix="0" xfId="19">
      <alignment vertical="center"/>
    </xf>
    <xf numFmtId="164" fontId="1" fillId="0" borderId="0" pivotButton="0" quotePrefix="0" xfId="20"/>
    <xf numFmtId="165" fontId="11" fillId="6" borderId="26" applyAlignment="1" pivotButton="0" quotePrefix="0" xfId="19">
      <alignment horizontal="center" vertical="center" wrapText="1"/>
    </xf>
    <xf numFmtId="165" fontId="11" fillId="12" borderId="28" applyAlignment="1" pivotButton="0" quotePrefix="0" xfId="19">
      <alignment horizontal="center" vertical="center" wrapText="1"/>
    </xf>
    <xf numFmtId="165" fontId="11" fillId="9" borderId="23" applyAlignment="1" pivotButton="0" quotePrefix="0" xfId="19">
      <alignment vertical="center"/>
    </xf>
    <xf numFmtId="165" fontId="11" fillId="11" borderId="33" applyAlignment="1" pivotButton="0" quotePrefix="0" xfId="19">
      <alignment vertical="center"/>
    </xf>
    <xf numFmtId="10" fontId="11" fillId="11" borderId="34" applyAlignment="1" pivotButton="0" quotePrefix="0" xfId="23">
      <alignment horizontal="center" vertical="center" wrapText="1"/>
    </xf>
    <xf numFmtId="164" fontId="11" fillId="11" borderId="0" applyAlignment="1" pivotButton="0" quotePrefix="0" xfId="19">
      <alignment vertical="center"/>
    </xf>
    <xf numFmtId="165" fontId="11" fillId="11" borderId="35" applyAlignment="1" pivotButton="0" quotePrefix="0" xfId="19">
      <alignment horizontal="center"/>
    </xf>
    <xf numFmtId="165" fontId="11" fillId="11" borderId="14" applyAlignment="1" pivotButton="0" quotePrefix="0" xfId="19">
      <alignment horizontal="center"/>
    </xf>
    <xf numFmtId="165" fontId="11" fillId="11" borderId="36" applyAlignment="1" pivotButton="0" quotePrefix="0" xfId="19">
      <alignment horizontal="center"/>
    </xf>
    <xf numFmtId="10" fontId="11" fillId="11" borderId="37" applyAlignment="1" pivotButton="0" quotePrefix="0" xfId="23">
      <alignment vertical="center"/>
    </xf>
    <xf numFmtId="165" fontId="11" fillId="11" borderId="38" applyAlignment="1" pivotButton="0" quotePrefix="0" xfId="19">
      <alignment horizontal="center"/>
    </xf>
    <xf numFmtId="165" fontId="11" fillId="9" borderId="39" applyAlignment="1" pivotButton="0" quotePrefix="0" xfId="19">
      <alignment horizontal="right" vertical="center"/>
    </xf>
    <xf numFmtId="10" fontId="11" fillId="0" borderId="19" applyAlignment="1" pivotButton="0" quotePrefix="0" xfId="23">
      <alignment horizontal="center" vertical="center" wrapText="1"/>
    </xf>
    <xf numFmtId="164" fontId="11" fillId="0" borderId="0" applyAlignment="1" pivotButton="0" quotePrefix="0" xfId="19">
      <alignment vertical="center"/>
    </xf>
    <xf numFmtId="164" fontId="11" fillId="0" borderId="21" pivotButton="0" quotePrefix="0" xfId="19"/>
    <xf numFmtId="164" fontId="1" fillId="0" borderId="0" applyAlignment="1" pivotButton="0" quotePrefix="0" xfId="19">
      <alignment vertical="center"/>
    </xf>
    <xf numFmtId="164" fontId="3" fillId="0" borderId="0" applyAlignment="1" pivotButton="0" quotePrefix="0" xfId="19">
      <alignment vertical="center"/>
    </xf>
    <xf numFmtId="10" fontId="11" fillId="0" borderId="40" applyAlignment="1" pivotButton="0" quotePrefix="0" xfId="23">
      <alignment horizontal="right"/>
    </xf>
    <xf numFmtId="10" fontId="11" fillId="4" borderId="40" applyAlignment="1" pivotButton="0" quotePrefix="0" xfId="23">
      <alignment horizontal="right"/>
    </xf>
    <xf numFmtId="10" fontId="11" fillId="5" borderId="40" applyAlignment="1" pivotButton="0" quotePrefix="0" xfId="23">
      <alignment horizontal="right"/>
    </xf>
    <xf numFmtId="10" fontId="11" fillId="8" borderId="40" applyAlignment="1" pivotButton="0" quotePrefix="0" xfId="23">
      <alignment horizontal="right"/>
    </xf>
    <xf numFmtId="10" fontId="11" fillId="9" borderId="40" applyAlignment="1" pivotButton="0" quotePrefix="0" xfId="23">
      <alignment horizontal="right"/>
    </xf>
    <xf numFmtId="10" fontId="11" fillId="4" borderId="33" pivotButton="0" quotePrefix="0" xfId="23"/>
    <xf numFmtId="10" fontId="11" fillId="4" borderId="34" applyAlignment="1" pivotButton="0" quotePrefix="0" xfId="23">
      <alignment horizontal="center" vertical="center" wrapText="1"/>
    </xf>
    <xf numFmtId="10" fontId="11" fillId="7" borderId="35" applyAlignment="1" pivotButton="0" quotePrefix="0" xfId="23">
      <alignment horizontal="center"/>
    </xf>
    <xf numFmtId="10" fontId="11" fillId="0" borderId="14" applyAlignment="1" pivotButton="0" quotePrefix="0" xfId="23">
      <alignment horizontal="center"/>
    </xf>
    <xf numFmtId="10" fontId="11" fillId="6" borderId="36" applyAlignment="1" pivotButton="0" quotePrefix="0" xfId="23">
      <alignment horizontal="center"/>
    </xf>
    <xf numFmtId="10" fontId="11" fillId="6" borderId="37" applyAlignment="1" pivotButton="0" quotePrefix="0" xfId="23">
      <alignment vertical="center"/>
    </xf>
    <xf numFmtId="10" fontId="11" fillId="12" borderId="38" pivotButton="0" quotePrefix="0" xfId="23"/>
    <xf numFmtId="10" fontId="15" fillId="12" borderId="37" applyAlignment="1" pivotButton="0" quotePrefix="0" xfId="23">
      <alignment vertical="center"/>
    </xf>
    <xf numFmtId="10" fontId="15" fillId="12" borderId="27" applyAlignment="1" pivotButton="0" quotePrefix="0" xfId="23">
      <alignment vertical="center"/>
    </xf>
    <xf numFmtId="164" fontId="11" fillId="0" borderId="14" pivotButton="0" quotePrefix="0" xfId="19"/>
    <xf numFmtId="164" fontId="11" fillId="7" borderId="14" pivotButton="0" quotePrefix="0" xfId="19"/>
    <xf numFmtId="165" fontId="11" fillId="7" borderId="14" pivotButton="0" quotePrefix="0" xfId="19"/>
    <xf numFmtId="165" fontId="11" fillId="0" borderId="14" pivotButton="0" quotePrefix="0" xfId="19"/>
    <xf numFmtId="10" fontId="15" fillId="6" borderId="21" applyAlignment="1" pivotButton="0" quotePrefix="0" xfId="23">
      <alignment vertical="center"/>
    </xf>
    <xf numFmtId="164" fontId="11" fillId="6" borderId="23" applyAlignment="1" pivotButton="0" quotePrefix="0" xfId="19">
      <alignment horizontal="right" vertical="center"/>
    </xf>
    <xf numFmtId="165" fontId="11" fillId="7" borderId="25" pivotButton="0" quotePrefix="0" xfId="19"/>
    <xf numFmtId="10" fontId="15" fillId="6" borderId="27" applyAlignment="1" pivotButton="0" quotePrefix="0" xfId="23">
      <alignment vertical="center"/>
    </xf>
    <xf numFmtId="165" fontId="11" fillId="12" borderId="28" pivotButton="0" quotePrefix="0" xfId="19"/>
    <xf numFmtId="165" fontId="11" fillId="7" borderId="23" applyAlignment="1" pivotButton="0" quotePrefix="0" xfId="19">
      <alignment vertical="center"/>
    </xf>
    <xf numFmtId="10" fontId="11" fillId="7" borderId="24" applyAlignment="1" pivotButton="0" quotePrefix="0" xfId="23">
      <alignment horizontal="center" vertical="center" wrapText="1"/>
    </xf>
    <xf numFmtId="165" fontId="11" fillId="10" borderId="18" applyAlignment="1" pivotButton="0" quotePrefix="0" xfId="19">
      <alignment vertical="center"/>
    </xf>
    <xf numFmtId="10" fontId="11" fillId="10" borderId="19" applyAlignment="1" pivotButton="0" quotePrefix="0" xfId="23">
      <alignment horizontal="center" vertical="center" wrapText="1"/>
    </xf>
    <xf numFmtId="165" fontId="11" fillId="7" borderId="14" applyAlignment="1" pivotButton="0" quotePrefix="0" xfId="19">
      <alignment vertical="center"/>
    </xf>
    <xf numFmtId="165" fontId="11" fillId="0" borderId="14" applyAlignment="1" pivotButton="0" quotePrefix="0" xfId="19">
      <alignment vertical="center"/>
    </xf>
    <xf numFmtId="164" fontId="11" fillId="0" borderId="18" applyAlignment="1" pivotButton="0" quotePrefix="0" xfId="19">
      <alignment vertical="center"/>
    </xf>
    <xf numFmtId="165" fontId="11" fillId="0" borderId="20" applyAlignment="1" pivotButton="0" quotePrefix="0" xfId="19">
      <alignment horizontal="center"/>
    </xf>
    <xf numFmtId="165" fontId="11" fillId="0" borderId="22" pivotButton="0" quotePrefix="0" xfId="19"/>
    <xf numFmtId="164" fontId="11" fillId="10" borderId="23" applyAlignment="1" pivotButton="0" quotePrefix="0" xfId="19">
      <alignment vertical="center"/>
    </xf>
    <xf numFmtId="10" fontId="11" fillId="10" borderId="24" applyAlignment="1" pivotButton="0" quotePrefix="0" xfId="23">
      <alignment horizontal="center" vertical="center" wrapText="1"/>
    </xf>
    <xf numFmtId="164" fontId="11" fillId="10" borderId="18" applyAlignment="1" pivotButton="0" quotePrefix="0" xfId="19">
      <alignment vertical="center"/>
    </xf>
    <xf numFmtId="10" fontId="11" fillId="10" borderId="19" applyAlignment="1" pivotButton="0" quotePrefix="0" xfId="19">
      <alignment vertical="center"/>
    </xf>
    <xf numFmtId="165" fontId="11" fillId="7" borderId="42" pivotButton="0" quotePrefix="0" xfId="19"/>
    <xf numFmtId="165" fontId="11" fillId="6" borderId="43" applyAlignment="1" pivotButton="0" quotePrefix="0" xfId="19">
      <alignment horizontal="center" vertical="center" wrapText="1"/>
    </xf>
    <xf numFmtId="10" fontId="11" fillId="6" borderId="44" applyAlignment="1" pivotButton="0" quotePrefix="0" xfId="23">
      <alignment vertical="center"/>
    </xf>
    <xf numFmtId="165" fontId="11" fillId="12" borderId="45" applyAlignment="1" pivotButton="0" quotePrefix="0" xfId="19">
      <alignment horizontal="center" vertical="center" wrapText="1"/>
    </xf>
    <xf numFmtId="10" fontId="11" fillId="12" borderId="44" applyAlignment="1" pivotButton="0" quotePrefix="0" xfId="23">
      <alignment vertical="center"/>
    </xf>
    <xf numFmtId="164" fontId="11" fillId="10" borderId="46" applyAlignment="1" pivotButton="0" quotePrefix="0" xfId="19">
      <alignment vertical="center"/>
    </xf>
    <xf numFmtId="10" fontId="11" fillId="10" borderId="47" applyAlignment="1" pivotButton="0" quotePrefix="0" xfId="19">
      <alignment vertical="center"/>
    </xf>
    <xf numFmtId="164" fontId="11" fillId="10" borderId="33" applyAlignment="1" pivotButton="0" quotePrefix="0" xfId="19">
      <alignment vertical="center"/>
    </xf>
    <xf numFmtId="10" fontId="11" fillId="10" borderId="34" applyAlignment="1" pivotButton="0" quotePrefix="0" xfId="19">
      <alignment vertical="center"/>
    </xf>
    <xf numFmtId="164" fontId="11" fillId="7" borderId="35" pivotButton="0" quotePrefix="0" xfId="19"/>
    <xf numFmtId="165" fontId="11" fillId="6" borderId="36" applyAlignment="1" pivotButton="0" quotePrefix="0" xfId="19">
      <alignment horizontal="center" vertical="center" wrapText="1"/>
    </xf>
    <xf numFmtId="10" fontId="15" fillId="6" borderId="37" applyAlignment="1" pivotButton="0" quotePrefix="0" xfId="23">
      <alignment vertical="center"/>
    </xf>
    <xf numFmtId="164" fontId="11" fillId="12" borderId="38" applyAlignment="1" pivotButton="0" quotePrefix="0" xfId="19">
      <alignment horizontal="center" vertical="center" wrapText="1"/>
    </xf>
    <xf numFmtId="165" fontId="11" fillId="0" borderId="48" pivotButton="0" quotePrefix="0" xfId="20"/>
    <xf numFmtId="164" fontId="11" fillId="12" borderId="18" applyAlignment="1" pivotButton="0" quotePrefix="0" xfId="19">
      <alignment vertical="center"/>
    </xf>
    <xf numFmtId="10" fontId="11" fillId="12" borderId="19" applyAlignment="1" pivotButton="0" quotePrefix="0" xfId="19">
      <alignment vertical="center"/>
    </xf>
    <xf numFmtId="164" fontId="11" fillId="0" borderId="0" applyAlignment="1" pivotButton="0" quotePrefix="0" xfId="19">
      <alignment horizontal="center"/>
    </xf>
    <xf numFmtId="164" fontId="13" fillId="5" borderId="49" applyAlignment="1" pivotButton="0" quotePrefix="0" xfId="19">
      <alignment horizontal="right"/>
    </xf>
    <xf numFmtId="164" fontId="11" fillId="5" borderId="50" applyAlignment="1" pivotButton="0" quotePrefix="0" xfId="19">
      <alignment horizontal="right"/>
    </xf>
    <xf numFmtId="165" fontId="11" fillId="5" borderId="51" applyAlignment="1" pivotButton="0" quotePrefix="0" xfId="19">
      <alignment horizontal="center"/>
    </xf>
    <xf numFmtId="0" fontId="24" fillId="0" borderId="0" pivotButton="0" quotePrefix="0" xfId="19"/>
    <xf numFmtId="0" fontId="24" fillId="0" borderId="0" applyAlignment="1" pivotButton="0" quotePrefix="0" xfId="19">
      <alignment horizontal="center"/>
    </xf>
    <xf numFmtId="0" fontId="25" fillId="0" borderId="0" pivotButton="0" quotePrefix="0" xfId="19"/>
    <xf numFmtId="164" fontId="14" fillId="0" borderId="0" pivotButton="0" quotePrefix="0" xfId="21"/>
    <xf numFmtId="165" fontId="11" fillId="0" borderId="0" applyAlignment="1" pivotButton="0" quotePrefix="0" xfId="21">
      <alignment horizontal="right"/>
    </xf>
    <xf numFmtId="165" fontId="11" fillId="0" borderId="0" applyAlignment="1" pivotButton="0" quotePrefix="0" xfId="21">
      <alignment horizontal="right"/>
    </xf>
    <xf numFmtId="165" fontId="11" fillId="5" borderId="0" pivotButton="0" quotePrefix="0" xfId="21"/>
    <xf numFmtId="165" fontId="11" fillId="4" borderId="0" pivotButton="0" quotePrefix="0" xfId="21"/>
    <xf numFmtId="165" fontId="11" fillId="8" borderId="0" pivotButton="0" quotePrefix="0" xfId="21"/>
    <xf numFmtId="164" fontId="11" fillId="9" borderId="0" pivotButton="0" quotePrefix="0" xfId="21"/>
    <xf numFmtId="164" fontId="11" fillId="6" borderId="0" pivotButton="0" quotePrefix="0" xfId="21"/>
    <xf numFmtId="164" fontId="11" fillId="0" borderId="0" pivotButton="0" quotePrefix="0" xfId="21"/>
    <xf numFmtId="164" fontId="11" fillId="5" borderId="0" pivotButton="0" quotePrefix="0" xfId="21"/>
    <xf numFmtId="164" fontId="11" fillId="4" borderId="0" pivotButton="0" quotePrefix="0" xfId="21"/>
    <xf numFmtId="164" fontId="11" fillId="8" borderId="0" pivotButton="0" quotePrefix="0" xfId="21"/>
    <xf numFmtId="164" fontId="12" fillId="0" borderId="2" applyAlignment="1" pivotButton="0" quotePrefix="0" xfId="21">
      <alignment horizontal="center" vertical="center" wrapText="1"/>
    </xf>
    <xf numFmtId="165" fontId="11" fillId="0" borderId="2" applyAlignment="1" pivotButton="0" quotePrefix="0" xfId="21">
      <alignment horizontal="center" vertical="center" wrapText="1"/>
    </xf>
    <xf numFmtId="165" fontId="11" fillId="5" borderId="2" applyAlignment="1" pivotButton="0" quotePrefix="0" xfId="21">
      <alignment horizontal="center" vertical="center" wrapText="1"/>
    </xf>
    <xf numFmtId="165" fontId="11" fillId="4" borderId="2" applyAlignment="1" pivotButton="0" quotePrefix="0" xfId="21">
      <alignment horizontal="center" vertical="center" wrapText="1"/>
    </xf>
    <xf numFmtId="165" fontId="11" fillId="8" borderId="2" applyAlignment="1" pivotButton="0" quotePrefix="0" xfId="21">
      <alignment horizontal="center" vertical="center" wrapText="1"/>
    </xf>
    <xf numFmtId="165" fontId="11" fillId="9" borderId="2" applyAlignment="1" pivotButton="0" quotePrefix="0" xfId="21">
      <alignment horizontal="center" vertical="center" wrapText="1"/>
    </xf>
    <xf numFmtId="164" fontId="11" fillId="6" borderId="2" applyAlignment="1" pivotButton="0" quotePrefix="0" xfId="21">
      <alignment horizontal="center" vertical="center" wrapText="1"/>
    </xf>
    <xf numFmtId="164" fontId="11" fillId="0" borderId="0" applyAlignment="1" pivotButton="0" quotePrefix="0" xfId="21">
      <alignment horizontal="center" vertical="center" wrapText="1"/>
    </xf>
    <xf numFmtId="164" fontId="21" fillId="6" borderId="4" pivotButton="0" quotePrefix="0" xfId="21"/>
    <xf numFmtId="165" fontId="11" fillId="0" borderId="4" applyAlignment="1" pivotButton="0" quotePrefix="0" xfId="21">
      <alignment horizontal="right" vertical="center" wrapText="1"/>
    </xf>
    <xf numFmtId="165" fontId="11" fillId="5" borderId="4" applyAlignment="1" pivotButton="0" quotePrefix="0" xfId="21">
      <alignment horizontal="right" vertical="center" wrapText="1"/>
    </xf>
    <xf numFmtId="165" fontId="11" fillId="4" borderId="4" applyAlignment="1" pivotButton="0" quotePrefix="0" xfId="21">
      <alignment horizontal="right" vertical="center" wrapText="1"/>
    </xf>
    <xf numFmtId="165" fontId="11" fillId="8" borderId="4" applyAlignment="1" pivotButton="0" quotePrefix="0" xfId="21">
      <alignment horizontal="right" vertical="center" wrapText="1"/>
    </xf>
    <xf numFmtId="165" fontId="11" fillId="9" borderId="4" applyAlignment="1" pivotButton="0" quotePrefix="0" xfId="21">
      <alignment horizontal="right" vertical="center" wrapText="1"/>
    </xf>
    <xf numFmtId="10" fontId="11" fillId="6" borderId="4" applyAlignment="1" pivotButton="0" quotePrefix="0" xfId="21">
      <alignment horizontal="right"/>
    </xf>
    <xf numFmtId="164" fontId="11" fillId="4" borderId="31" pivotButton="0" quotePrefix="0" xfId="21"/>
    <xf numFmtId="165" fontId="11" fillId="0" borderId="31" applyAlignment="1" pivotButton="0" quotePrefix="0" xfId="21">
      <alignment horizontal="right"/>
    </xf>
    <xf numFmtId="165" fontId="11" fillId="5" borderId="31" pivotButton="0" quotePrefix="0" xfId="21"/>
    <xf numFmtId="165" fontId="11" fillId="4" borderId="31" pivotButton="0" quotePrefix="0" xfId="21"/>
    <xf numFmtId="165" fontId="11" fillId="8" borderId="31" pivotButton="0" quotePrefix="0" xfId="21"/>
    <xf numFmtId="165" fontId="11" fillId="9" borderId="31" pivotButton="0" quotePrefix="0" xfId="21"/>
    <xf numFmtId="10" fontId="11" fillId="6" borderId="31" applyAlignment="1" pivotButton="0" quotePrefix="0" xfId="21">
      <alignment horizontal="right"/>
    </xf>
    <xf numFmtId="10" fontId="11" fillId="6" borderId="7" applyAlignment="1" pivotButton="0" quotePrefix="0" xfId="21">
      <alignment horizontal="right"/>
    </xf>
    <xf numFmtId="165" fontId="11" fillId="4" borderId="7" pivotButton="0" quotePrefix="0" xfId="21"/>
    <xf numFmtId="165" fontId="11" fillId="8" borderId="7" pivotButton="0" quotePrefix="0" xfId="21"/>
    <xf numFmtId="164" fontId="11" fillId="0" borderId="0" pivotButton="0" quotePrefix="0" xfId="21"/>
    <xf numFmtId="165" fontId="11" fillId="9" borderId="0" pivotButton="0" quotePrefix="0" xfId="21"/>
    <xf numFmtId="10" fontId="11" fillId="6" borderId="0" applyAlignment="1" pivotButton="0" quotePrefix="0" xfId="21">
      <alignment horizontal="right"/>
    </xf>
    <xf numFmtId="165" fontId="11" fillId="5" borderId="0" applyAlignment="1" pivotButton="0" quotePrefix="0" xfId="21">
      <alignment horizontal="right"/>
    </xf>
    <xf numFmtId="165" fontId="11" fillId="4" borderId="0" applyAlignment="1" pivotButton="0" quotePrefix="0" xfId="21">
      <alignment horizontal="right"/>
    </xf>
    <xf numFmtId="165" fontId="11" fillId="8" borderId="0" applyAlignment="1" pivotButton="0" quotePrefix="0" xfId="21">
      <alignment horizontal="right"/>
    </xf>
    <xf numFmtId="165" fontId="11" fillId="9" borderId="0" applyAlignment="1" pivotButton="0" quotePrefix="0" xfId="21">
      <alignment horizontal="right"/>
    </xf>
    <xf numFmtId="164" fontId="11" fillId="9" borderId="5" pivotButton="0" quotePrefix="0" xfId="21"/>
    <xf numFmtId="165" fontId="11" fillId="0" borderId="5" applyAlignment="1" pivotButton="0" quotePrefix="0" xfId="21">
      <alignment horizontal="right"/>
    </xf>
    <xf numFmtId="164" fontId="11" fillId="5" borderId="5" applyAlignment="1" pivotButton="0" quotePrefix="0" xfId="21">
      <alignment horizontal="right"/>
    </xf>
    <xf numFmtId="164" fontId="11" fillId="4" borderId="5" applyAlignment="1" pivotButton="0" quotePrefix="0" xfId="21">
      <alignment horizontal="right"/>
    </xf>
    <xf numFmtId="164" fontId="11" fillId="8" borderId="5" applyAlignment="1" pivotButton="0" quotePrefix="0" xfId="21">
      <alignment horizontal="right"/>
    </xf>
    <xf numFmtId="164" fontId="11" fillId="9" borderId="5" applyAlignment="1" pivotButton="0" quotePrefix="0" xfId="21">
      <alignment horizontal="right"/>
    </xf>
    <xf numFmtId="10" fontId="11" fillId="6" borderId="5" applyAlignment="1" pivotButton="0" quotePrefix="0" xfId="21">
      <alignment horizontal="right"/>
    </xf>
    <xf numFmtId="164" fontId="11" fillId="6" borderId="52" pivotButton="0" quotePrefix="0" xfId="21"/>
    <xf numFmtId="165" fontId="11" fillId="0" borderId="3" applyAlignment="1" pivotButton="0" quotePrefix="0" xfId="21">
      <alignment horizontal="right" vertical="center" wrapText="1"/>
    </xf>
    <xf numFmtId="165" fontId="11" fillId="5" borderId="3" applyAlignment="1" pivotButton="0" quotePrefix="0" xfId="21">
      <alignment horizontal="right" vertical="center" wrapText="1"/>
    </xf>
    <xf numFmtId="165" fontId="11" fillId="4" borderId="3" applyAlignment="1" pivotButton="0" quotePrefix="0" xfId="21">
      <alignment horizontal="right" vertical="center" wrapText="1"/>
    </xf>
    <xf numFmtId="165" fontId="11" fillId="8" borderId="3" applyAlignment="1" pivotButton="0" quotePrefix="0" xfId="21">
      <alignment horizontal="right" vertical="center" wrapText="1"/>
    </xf>
    <xf numFmtId="165" fontId="11" fillId="9" borderId="3" applyAlignment="1" pivotButton="0" quotePrefix="0" xfId="21">
      <alignment horizontal="right" vertical="center" wrapText="1"/>
    </xf>
    <xf numFmtId="10" fontId="11" fillId="6" borderId="3" applyAlignment="1" pivotButton="0" quotePrefix="0" xfId="21">
      <alignment horizontal="right"/>
    </xf>
    <xf numFmtId="164" fontId="13" fillId="4" borderId="7" pivotButton="0" quotePrefix="0" xfId="21"/>
    <xf numFmtId="165" fontId="11" fillId="0" borderId="7" applyAlignment="1" pivotButton="0" quotePrefix="0" xfId="21">
      <alignment horizontal="right"/>
    </xf>
    <xf numFmtId="165" fontId="11" fillId="5" borderId="7" pivotButton="0" quotePrefix="0" xfId="21"/>
    <xf numFmtId="165" fontId="11" fillId="9" borderId="7" pivotButton="0" quotePrefix="0" xfId="21"/>
    <xf numFmtId="164" fontId="13" fillId="7" borderId="29" applyAlignment="1" pivotButton="0" quotePrefix="0" xfId="21">
      <alignment horizontal="left" indent="2"/>
    </xf>
    <xf numFmtId="165" fontId="11" fillId="7" borderId="0" applyAlignment="1" pivotButton="0" quotePrefix="0" xfId="21">
      <alignment horizontal="right"/>
    </xf>
    <xf numFmtId="165" fontId="11" fillId="11" borderId="0" applyAlignment="1" pivotButton="0" quotePrefix="0" xfId="21">
      <alignment horizontal="right"/>
    </xf>
    <xf numFmtId="164" fontId="13" fillId="7" borderId="30" applyAlignment="1" pivotButton="0" quotePrefix="0" xfId="21">
      <alignment horizontal="left" indent="2"/>
    </xf>
    <xf numFmtId="164" fontId="13" fillId="7" borderId="0" applyAlignment="1" pivotButton="0" quotePrefix="0" xfId="21">
      <alignment horizontal="left" indent="2"/>
    </xf>
    <xf numFmtId="10" fontId="11" fillId="6" borderId="8" applyAlignment="1" pivotButton="0" quotePrefix="0" xfId="21">
      <alignment horizontal="right"/>
    </xf>
    <xf numFmtId="10" fontId="11" fillId="6" borderId="32" applyAlignment="1" pivotButton="0" quotePrefix="0" xfId="21">
      <alignment horizontal="right"/>
    </xf>
    <xf numFmtId="164" fontId="11" fillId="9" borderId="8" pivotButton="0" quotePrefix="0" xfId="21"/>
    <xf numFmtId="164" fontId="11" fillId="4" borderId="8" pivotButton="0" quotePrefix="0" xfId="21"/>
    <xf numFmtId="165" fontId="11" fillId="0" borderId="8" applyAlignment="1" pivotButton="0" quotePrefix="0" xfId="21">
      <alignment horizontal="right"/>
    </xf>
    <xf numFmtId="165" fontId="11" fillId="5" borderId="8" pivotButton="0" quotePrefix="0" xfId="21"/>
    <xf numFmtId="165" fontId="11" fillId="4" borderId="8" pivotButton="0" quotePrefix="0" xfId="21"/>
    <xf numFmtId="165" fontId="11" fillId="8" borderId="8" pivotButton="0" quotePrefix="0" xfId="21"/>
    <xf numFmtId="165" fontId="11" fillId="9" borderId="8" pivotButton="0" quotePrefix="0" xfId="21"/>
    <xf numFmtId="164" fontId="23" fillId="7" borderId="0" applyAlignment="1" pivotButton="0" quotePrefix="0" xfId="21">
      <alignment horizontal="left" indent="2"/>
    </xf>
    <xf numFmtId="164" fontId="11" fillId="0" borderId="0" pivotButton="0" quotePrefix="0" xfId="21"/>
    <xf numFmtId="164" fontId="11" fillId="0" borderId="0" applyAlignment="1" pivotButton="0" quotePrefix="0" xfId="21">
      <alignment horizontal="left" indent="1"/>
    </xf>
    <xf numFmtId="164" fontId="11" fillId="0" borderId="0" applyAlignment="1" pivotButton="0" quotePrefix="0" xfId="21">
      <alignment wrapText="1"/>
    </xf>
    <xf numFmtId="164" fontId="11" fillId="6" borderId="53" pivotButton="0" quotePrefix="0" xfId="21"/>
    <xf numFmtId="165" fontId="11" fillId="0" borderId="6" applyAlignment="1" pivotButton="0" quotePrefix="0" xfId="21">
      <alignment horizontal="right"/>
    </xf>
    <xf numFmtId="165" fontId="11" fillId="5" borderId="6" pivotButton="0" quotePrefix="0" xfId="21"/>
    <xf numFmtId="165" fontId="11" fillId="4" borderId="6" pivotButton="0" quotePrefix="0" xfId="21"/>
    <xf numFmtId="165" fontId="11" fillId="8" borderId="6" pivotButton="0" quotePrefix="0" xfId="21"/>
    <xf numFmtId="165" fontId="11" fillId="9" borderId="6" pivotButton="0" quotePrefix="0" xfId="21"/>
    <xf numFmtId="10" fontId="11" fillId="6" borderId="6" applyAlignment="1" pivotButton="0" quotePrefix="0" xfId="21">
      <alignment horizontal="right"/>
    </xf>
    <xf numFmtId="164" fontId="11" fillId="4" borderId="54" pivotButton="0" quotePrefix="0" xfId="21"/>
    <xf numFmtId="10" fontId="11" fillId="6" borderId="40" applyAlignment="1" pivotButton="0" quotePrefix="0" xfId="21">
      <alignment horizontal="right"/>
    </xf>
    <xf numFmtId="164" fontId="13" fillId="7" borderId="41" applyAlignment="1" pivotButton="0" quotePrefix="0" xfId="21">
      <alignment horizontal="left" indent="1"/>
    </xf>
    <xf numFmtId="164" fontId="21" fillId="6" borderId="9" pivotButton="0" quotePrefix="0" xfId="21"/>
    <xf numFmtId="165" fontId="11" fillId="0" borderId="9" applyAlignment="1" pivotButton="0" quotePrefix="0" xfId="21">
      <alignment horizontal="right"/>
    </xf>
    <xf numFmtId="164" fontId="11" fillId="5" borderId="9" pivotButton="0" quotePrefix="0" xfId="21"/>
    <xf numFmtId="164" fontId="11" fillId="4" borderId="9" pivotButton="0" quotePrefix="0" xfId="21"/>
    <xf numFmtId="164" fontId="11" fillId="8" borderId="9" pivotButton="0" quotePrefix="0" xfId="21"/>
    <xf numFmtId="164" fontId="11" fillId="9" borderId="9" pivotButton="0" quotePrefix="0" xfId="21"/>
    <xf numFmtId="10" fontId="11" fillId="6" borderId="9" applyAlignment="1" pivotButton="0" quotePrefix="0" xfId="21">
      <alignment horizontal="right"/>
    </xf>
    <xf numFmtId="10" fontId="16" fillId="6" borderId="9" applyAlignment="1" pivotButton="0" quotePrefix="0" xfId="21">
      <alignment horizontal="right"/>
    </xf>
    <xf numFmtId="165" fontId="11" fillId="4" borderId="9" pivotButton="0" quotePrefix="0" xfId="21"/>
    <xf numFmtId="165" fontId="11" fillId="8" borderId="9" pivotButton="0" quotePrefix="0" xfId="21"/>
    <xf numFmtId="165" fontId="11" fillId="9" borderId="9" pivotButton="0" quotePrefix="0" xfId="21"/>
    <xf numFmtId="164" fontId="21" fillId="0" borderId="9" pivotButton="0" quotePrefix="0" xfId="21"/>
    <xf numFmtId="165" fontId="11" fillId="5" borderId="9" pivotButton="0" quotePrefix="0" xfId="21"/>
    <xf numFmtId="164" fontId="21" fillId="10" borderId="9" pivotButton="0" quotePrefix="0" xfId="21"/>
    <xf numFmtId="164" fontId="21" fillId="10" borderId="10" pivotButton="0" quotePrefix="0" xfId="21"/>
    <xf numFmtId="165" fontId="11" fillId="0" borderId="10" applyAlignment="1" pivotButton="0" quotePrefix="0" xfId="21">
      <alignment horizontal="right"/>
    </xf>
    <xf numFmtId="165" fontId="11" fillId="5" borderId="10" pivotButton="0" quotePrefix="0" xfId="21"/>
    <xf numFmtId="165" fontId="11" fillId="4" borderId="10" pivotButton="0" quotePrefix="0" xfId="21"/>
    <xf numFmtId="165" fontId="11" fillId="8" borderId="10" pivotButton="0" quotePrefix="0" xfId="21"/>
    <xf numFmtId="165" fontId="11" fillId="9" borderId="10" pivotButton="0" quotePrefix="0" xfId="21"/>
    <xf numFmtId="10" fontId="11" fillId="6" borderId="10" applyAlignment="1" pivotButton="0" quotePrefix="0" xfId="21">
      <alignment horizontal="right"/>
    </xf>
    <xf numFmtId="164" fontId="11" fillId="5" borderId="10" applyAlignment="1" pivotButton="0" quotePrefix="0" xfId="21">
      <alignment horizontal="right"/>
    </xf>
    <xf numFmtId="164" fontId="11" fillId="4" borderId="10" applyAlignment="1" pivotButton="0" quotePrefix="0" xfId="21">
      <alignment horizontal="right"/>
    </xf>
    <xf numFmtId="164" fontId="11" fillId="8" borderId="10" applyAlignment="1" pivotButton="0" quotePrefix="0" xfId="21">
      <alignment horizontal="right"/>
    </xf>
    <xf numFmtId="164" fontId="11" fillId="9" borderId="10" applyAlignment="1" pivotButton="0" quotePrefix="0" xfId="21">
      <alignment horizontal="right"/>
    </xf>
    <xf numFmtId="164" fontId="11" fillId="9" borderId="10" pivotButton="0" quotePrefix="0" xfId="21"/>
    <xf numFmtId="165" fontId="11" fillId="5" borderId="10" applyAlignment="1" pivotButton="0" quotePrefix="0" xfId="21">
      <alignment horizontal="right"/>
    </xf>
    <xf numFmtId="165" fontId="11" fillId="4" borderId="10" applyAlignment="1" pivotButton="0" quotePrefix="0" xfId="21">
      <alignment horizontal="right"/>
    </xf>
    <xf numFmtId="165" fontId="11" fillId="8" borderId="10" applyAlignment="1" pivotButton="0" quotePrefix="0" xfId="21">
      <alignment horizontal="right"/>
    </xf>
    <xf numFmtId="165" fontId="11" fillId="9" borderId="10" applyAlignment="1" pivotButton="0" quotePrefix="0" xfId="21">
      <alignment horizontal="right"/>
    </xf>
    <xf numFmtId="164" fontId="21" fillId="13" borderId="55" pivotButton="0" quotePrefix="0" xfId="21"/>
    <xf numFmtId="165" fontId="11" fillId="0" borderId="0" pivotButton="0" quotePrefix="0" xfId="21"/>
    <xf numFmtId="164" fontId="13" fillId="0" borderId="0" applyAlignment="1" pivotButton="0" quotePrefix="0" xfId="21">
      <alignment horizontal="left"/>
    </xf>
    <xf numFmtId="164" fontId="11" fillId="0" borderId="0" pivotButton="0" quotePrefix="0" xfId="21"/>
    <xf numFmtId="165" fontId="11" fillId="0" borderId="0" applyAlignment="1" pivotButton="0" quotePrefix="0" xfId="21">
      <alignment horizontal="right"/>
    </xf>
    <xf numFmtId="165" fontId="11" fillId="0" borderId="0" pivotButton="0" quotePrefix="0" xfId="21"/>
    <xf numFmtId="164" fontId="11" fillId="0" borderId="0" applyAlignment="1" pivotButton="0" quotePrefix="0" xfId="19">
      <alignment vertical="center"/>
    </xf>
    <xf numFmtId="164" fontId="1" fillId="0" borderId="0" applyAlignment="1" pivotButton="0" quotePrefix="0" xfId="19">
      <alignment vertical="center"/>
    </xf>
    <xf numFmtId="164" fontId="1" fillId="0" borderId="0" pivotButton="0" quotePrefix="0" xfId="19"/>
    <xf numFmtId="164" fontId="1" fillId="0" borderId="0" applyAlignment="1" pivotButton="0" quotePrefix="0" xfId="19">
      <alignment horizontal="center"/>
    </xf>
    <xf numFmtId="164" fontId="11" fillId="0" borderId="0" pivotButton="0" quotePrefix="0" xfId="19"/>
    <xf numFmtId="164" fontId="3" fillId="0" borderId="0" applyAlignment="1" pivotButton="0" quotePrefix="0" xfId="19">
      <alignment vertical="center"/>
    </xf>
    <xf numFmtId="0" fontId="0" fillId="0" borderId="0" pivotButton="0" quotePrefix="0" xfId="0"/>
    <xf numFmtId="164" fontId="14" fillId="0" borderId="0" pivotButton="0" quotePrefix="0" xfId="21"/>
    <xf numFmtId="165" fontId="11" fillId="5" borderId="0" pivotButton="0" quotePrefix="0" xfId="21"/>
    <xf numFmtId="165" fontId="11" fillId="4" borderId="0" pivotButton="0" quotePrefix="0" xfId="21"/>
    <xf numFmtId="165" fontId="11" fillId="8" borderId="0" pivotButton="0" quotePrefix="0" xfId="21"/>
    <xf numFmtId="164" fontId="11" fillId="9" borderId="0" pivotButton="0" quotePrefix="0" xfId="21"/>
    <xf numFmtId="164" fontId="11" fillId="6" borderId="0" pivotButton="0" quotePrefix="0" xfId="21"/>
    <xf numFmtId="164" fontId="11" fillId="0" borderId="0" applyAlignment="1" pivotButton="0" quotePrefix="0" xfId="21">
      <alignment horizontal="center" vertical="center" wrapText="1"/>
    </xf>
    <xf numFmtId="164" fontId="12" fillId="0" borderId="2" applyAlignment="1" pivotButton="0" quotePrefix="0" xfId="21">
      <alignment horizontal="center" vertical="center" wrapText="1"/>
    </xf>
    <xf numFmtId="165" fontId="11" fillId="0" borderId="2" applyAlignment="1" pivotButton="0" quotePrefix="0" xfId="21">
      <alignment horizontal="center" vertical="center" wrapText="1"/>
    </xf>
    <xf numFmtId="165" fontId="11" fillId="5" borderId="2" applyAlignment="1" pivotButton="0" quotePrefix="0" xfId="21">
      <alignment horizontal="center" vertical="center" wrapText="1"/>
    </xf>
    <xf numFmtId="165" fontId="11" fillId="4" borderId="2" applyAlignment="1" pivotButton="0" quotePrefix="0" xfId="21">
      <alignment horizontal="center" vertical="center" wrapText="1"/>
    </xf>
    <xf numFmtId="165" fontId="11" fillId="8" borderId="2" applyAlignment="1" pivotButton="0" quotePrefix="0" xfId="21">
      <alignment horizontal="center" vertical="center" wrapText="1"/>
    </xf>
    <xf numFmtId="165" fontId="11" fillId="9" borderId="2" applyAlignment="1" pivotButton="0" quotePrefix="0" xfId="21">
      <alignment horizontal="center" vertical="center" wrapText="1"/>
    </xf>
    <xf numFmtId="164" fontId="11" fillId="6" borderId="2" applyAlignment="1" pivotButton="0" quotePrefix="0" xfId="21">
      <alignment horizontal="center" vertical="center" wrapText="1"/>
    </xf>
    <xf numFmtId="165" fontId="14" fillId="6" borderId="11" applyAlignment="1" pivotButton="0" quotePrefix="0" xfId="19">
      <alignment horizontal="center" vertical="center" wrapText="1"/>
    </xf>
    <xf numFmtId="164" fontId="14" fillId="6" borderId="12" applyAlignment="1" pivotButton="0" quotePrefix="0" xfId="19">
      <alignment horizontal="center" vertical="center" wrapText="1"/>
    </xf>
    <xf numFmtId="164" fontId="11" fillId="0" borderId="0" applyAlignment="1" pivotButton="0" quotePrefix="0" xfId="19">
      <alignment horizontal="center" wrapText="1"/>
    </xf>
    <xf numFmtId="164" fontId="14" fillId="7" borderId="13" applyAlignment="1" pivotButton="0" quotePrefix="0" xfId="19">
      <alignment horizontal="center" vertical="center" wrapText="1"/>
    </xf>
    <xf numFmtId="164" fontId="14" fillId="0" borderId="14" applyAlignment="1" pivotButton="0" quotePrefix="0" xfId="19">
      <alignment horizontal="center" vertical="center" wrapText="1"/>
    </xf>
    <xf numFmtId="165" fontId="20" fillId="6" borderId="15" applyAlignment="1" pivotButton="0" quotePrefix="0" xfId="18">
      <alignment horizontal="center" vertical="center" wrapText="1"/>
    </xf>
    <xf numFmtId="164" fontId="14" fillId="6" borderId="16" applyAlignment="1" pivotButton="0" quotePrefix="0" xfId="19">
      <alignment horizontal="center" vertical="center" wrapText="1"/>
    </xf>
    <xf numFmtId="165" fontId="20" fillId="12" borderId="17" applyAlignment="1" pivotButton="0" quotePrefix="0" xfId="18">
      <alignment horizontal="center" vertical="center" wrapText="1"/>
    </xf>
    <xf numFmtId="164" fontId="14" fillId="12" borderId="16" applyAlignment="1" pivotButton="0" quotePrefix="0" xfId="19">
      <alignment horizontal="center" vertical="center" wrapText="1"/>
    </xf>
    <xf numFmtId="164" fontId="1" fillId="0" borderId="0" applyAlignment="1" pivotButton="0" quotePrefix="0" xfId="19">
      <alignment horizontal="center" wrapText="1"/>
    </xf>
    <xf numFmtId="164" fontId="21" fillId="6" borderId="4" pivotButton="0" quotePrefix="0" xfId="21"/>
    <xf numFmtId="165" fontId="11" fillId="0" borderId="4" applyAlignment="1" pivotButton="0" quotePrefix="0" xfId="21">
      <alignment horizontal="right" vertical="center" wrapText="1"/>
    </xf>
    <xf numFmtId="165" fontId="11" fillId="5" borderId="4" applyAlignment="1" pivotButton="0" quotePrefix="0" xfId="21">
      <alignment horizontal="right" vertical="center" wrapText="1"/>
    </xf>
    <xf numFmtId="165" fontId="11" fillId="4" borderId="4" applyAlignment="1" pivotButton="0" quotePrefix="0" xfId="21">
      <alignment horizontal="right" vertical="center" wrapText="1"/>
    </xf>
    <xf numFmtId="165" fontId="11" fillId="8" borderId="4" applyAlignment="1" pivotButton="0" quotePrefix="0" xfId="21">
      <alignment horizontal="right" vertical="center" wrapText="1"/>
    </xf>
    <xf numFmtId="165" fontId="11" fillId="9" borderId="4" applyAlignment="1" pivotButton="0" quotePrefix="0" xfId="21">
      <alignment horizontal="right" vertical="center" wrapText="1"/>
    </xf>
    <xf numFmtId="165" fontId="11" fillId="6" borderId="23" applyAlignment="1" pivotButton="0" quotePrefix="0" xfId="19">
      <alignment horizontal="right" vertical="center" wrapText="1"/>
    </xf>
    <xf numFmtId="164" fontId="11" fillId="0" borderId="0" applyAlignment="1" pivotButton="0" quotePrefix="0" xfId="19">
      <alignment horizontal="center" vertical="center" wrapText="1"/>
    </xf>
    <xf numFmtId="165" fontId="11" fillId="7" borderId="14" applyAlignment="1" pivotButton="0" quotePrefix="0" xfId="19">
      <alignment horizontal="center"/>
    </xf>
    <xf numFmtId="165" fontId="11" fillId="0" borderId="14" applyAlignment="1" pivotButton="0" quotePrefix="0" xfId="19">
      <alignment horizontal="center"/>
    </xf>
    <xf numFmtId="165" fontId="11" fillId="6" borderId="20" applyAlignment="1" pivotButton="0" quotePrefix="0" xfId="19">
      <alignment horizontal="center"/>
    </xf>
    <xf numFmtId="165" fontId="11" fillId="12" borderId="22" applyAlignment="1" pivotButton="0" quotePrefix="0" xfId="19">
      <alignment horizontal="center"/>
    </xf>
    <xf numFmtId="164" fontId="1" fillId="0" borderId="0" applyAlignment="1" pivotButton="0" quotePrefix="0" xfId="19">
      <alignment horizontal="center" vertical="center" wrapText="1"/>
    </xf>
    <xf numFmtId="164" fontId="3" fillId="0" borderId="0" applyAlignment="1" pivotButton="0" quotePrefix="0" xfId="19">
      <alignment horizontal="center" vertical="center" wrapText="1"/>
    </xf>
    <xf numFmtId="164" fontId="11" fillId="4" borderId="31" pivotButton="0" quotePrefix="0" xfId="21"/>
    <xf numFmtId="165" fontId="11" fillId="0" borderId="31" applyAlignment="1" pivotButton="0" quotePrefix="0" xfId="21">
      <alignment horizontal="right"/>
    </xf>
    <xf numFmtId="165" fontId="11" fillId="5" borderId="31" pivotButton="0" quotePrefix="0" xfId="21"/>
    <xf numFmtId="165" fontId="11" fillId="4" borderId="31" pivotButton="0" quotePrefix="0" xfId="21"/>
    <xf numFmtId="165" fontId="11" fillId="8" borderId="31" pivotButton="0" quotePrefix="0" xfId="21"/>
    <xf numFmtId="165" fontId="11" fillId="9" borderId="31" pivotButton="0" quotePrefix="0" xfId="21"/>
    <xf numFmtId="165" fontId="11" fillId="4" borderId="23" applyAlignment="1" pivotButton="0" quotePrefix="0" xfId="19">
      <alignment vertical="center"/>
    </xf>
    <xf numFmtId="165" fontId="11" fillId="7" borderId="25" applyAlignment="1" pivotButton="0" quotePrefix="0" xfId="19">
      <alignment horizontal="center"/>
    </xf>
    <xf numFmtId="165" fontId="11" fillId="6" borderId="26" applyAlignment="1" pivotButton="0" quotePrefix="0" xfId="19">
      <alignment horizontal="center"/>
    </xf>
    <xf numFmtId="165" fontId="11" fillId="12" borderId="28" applyAlignment="1" pivotButton="0" quotePrefix="0" xfId="19">
      <alignment horizontal="center"/>
    </xf>
    <xf numFmtId="164" fontId="22" fillId="0" borderId="0" applyAlignment="1" pivotButton="0" quotePrefix="0" xfId="19">
      <alignment vertical="center"/>
    </xf>
    <xf numFmtId="165" fontId="11" fillId="0" borderId="0" pivotButton="0" quotePrefix="0" xfId="20"/>
    <xf numFmtId="165" fontId="11" fillId="9" borderId="0" pivotButton="0" quotePrefix="0" xfId="21"/>
    <xf numFmtId="165" fontId="11" fillId="6" borderId="18" applyAlignment="1" pivotButton="0" quotePrefix="0" xfId="19">
      <alignment vertical="center"/>
    </xf>
    <xf numFmtId="165" fontId="11" fillId="6" borderId="20" applyAlignment="1" pivotButton="0" quotePrefix="0" xfId="19">
      <alignment horizontal="center" vertical="center" wrapText="1"/>
    </xf>
    <xf numFmtId="165" fontId="11" fillId="12" borderId="22" applyAlignment="1" pivotButton="0" quotePrefix="0" xfId="19">
      <alignment horizontal="center" vertical="center" wrapText="1"/>
    </xf>
    <xf numFmtId="164" fontId="11" fillId="0" borderId="0" applyAlignment="1" pivotButton="0" quotePrefix="0" xfId="20">
      <alignment horizontal="right"/>
    </xf>
    <xf numFmtId="164" fontId="11" fillId="6" borderId="18" applyAlignment="1" pivotButton="0" quotePrefix="0" xfId="19">
      <alignment horizontal="right"/>
    </xf>
    <xf numFmtId="164" fontId="1" fillId="0" borderId="0" applyAlignment="1" pivotButton="0" quotePrefix="0" xfId="20">
      <alignment horizontal="right"/>
    </xf>
    <xf numFmtId="164" fontId="11" fillId="9" borderId="5" pivotButton="0" quotePrefix="0" xfId="21"/>
    <xf numFmtId="165" fontId="11" fillId="0" borderId="5" applyAlignment="1" pivotButton="0" quotePrefix="0" xfId="21">
      <alignment horizontal="right"/>
    </xf>
    <xf numFmtId="164" fontId="11" fillId="5" borderId="5" applyAlignment="1" pivotButton="0" quotePrefix="0" xfId="21">
      <alignment horizontal="right"/>
    </xf>
    <xf numFmtId="164" fontId="11" fillId="4" borderId="5" applyAlignment="1" pivotButton="0" quotePrefix="0" xfId="21">
      <alignment horizontal="right"/>
    </xf>
    <xf numFmtId="164" fontId="11" fillId="8" borderId="5" applyAlignment="1" pivotButton="0" quotePrefix="0" xfId="21">
      <alignment horizontal="right"/>
    </xf>
    <xf numFmtId="164" fontId="11" fillId="9" borderId="5" applyAlignment="1" pivotButton="0" quotePrefix="0" xfId="21">
      <alignment horizontal="right"/>
    </xf>
    <xf numFmtId="164" fontId="11" fillId="9" borderId="23" applyAlignment="1" pivotButton="0" quotePrefix="0" xfId="19">
      <alignment horizontal="right"/>
    </xf>
    <xf numFmtId="164" fontId="11" fillId="6" borderId="52" pivotButton="0" quotePrefix="0" xfId="21"/>
    <xf numFmtId="165" fontId="11" fillId="0" borderId="3" applyAlignment="1" pivotButton="0" quotePrefix="0" xfId="21">
      <alignment horizontal="right" vertical="center" wrapText="1"/>
    </xf>
    <xf numFmtId="165" fontId="11" fillId="5" borderId="3" applyAlignment="1" pivotButton="0" quotePrefix="0" xfId="21">
      <alignment horizontal="right" vertical="center" wrapText="1"/>
    </xf>
    <xf numFmtId="165" fontId="11" fillId="4" borderId="3" applyAlignment="1" pivotButton="0" quotePrefix="0" xfId="21">
      <alignment horizontal="right" vertical="center" wrapText="1"/>
    </xf>
    <xf numFmtId="165" fontId="11" fillId="8" borderId="3" applyAlignment="1" pivotButton="0" quotePrefix="0" xfId="21">
      <alignment horizontal="right" vertical="center" wrapText="1"/>
    </xf>
    <xf numFmtId="165" fontId="11" fillId="9" borderId="3" applyAlignment="1" pivotButton="0" quotePrefix="0" xfId="21">
      <alignment horizontal="right" vertical="center" wrapText="1"/>
    </xf>
    <xf numFmtId="164" fontId="13" fillId="4" borderId="7" pivotButton="0" quotePrefix="0" xfId="21"/>
    <xf numFmtId="165" fontId="11" fillId="0" borderId="7" applyAlignment="1" pivotButton="0" quotePrefix="0" xfId="21">
      <alignment horizontal="right"/>
    </xf>
    <xf numFmtId="165" fontId="11" fillId="5" borderId="7" pivotButton="0" quotePrefix="0" xfId="21"/>
    <xf numFmtId="165" fontId="11" fillId="4" borderId="7" pivotButton="0" quotePrefix="0" xfId="21"/>
    <xf numFmtId="165" fontId="11" fillId="8" borderId="7" pivotButton="0" quotePrefix="0" xfId="21"/>
    <xf numFmtId="165" fontId="11" fillId="9" borderId="7" pivotButton="0" quotePrefix="0" xfId="21"/>
    <xf numFmtId="164" fontId="13" fillId="7" borderId="29" applyAlignment="1" pivotButton="0" quotePrefix="0" xfId="21">
      <alignment horizontal="left" indent="2"/>
    </xf>
    <xf numFmtId="165" fontId="11" fillId="7" borderId="0" applyAlignment="1" pivotButton="0" quotePrefix="0" xfId="21">
      <alignment horizontal="right"/>
    </xf>
    <xf numFmtId="165" fontId="11" fillId="11" borderId="0" applyAlignment="1" pivotButton="0" quotePrefix="0" xfId="21">
      <alignment horizontal="right"/>
    </xf>
    <xf numFmtId="164" fontId="13" fillId="7" borderId="30" applyAlignment="1" pivotButton="0" quotePrefix="0" xfId="21">
      <alignment horizontal="left" indent="2"/>
    </xf>
    <xf numFmtId="164" fontId="11" fillId="0" borderId="0" pivotButton="0" quotePrefix="0" xfId="20"/>
    <xf numFmtId="164" fontId="11" fillId="6" borderId="18" applyAlignment="1" pivotButton="0" quotePrefix="0" xfId="19">
      <alignment vertical="center"/>
    </xf>
    <xf numFmtId="164" fontId="1" fillId="0" borderId="0" pivotButton="0" quotePrefix="0" xfId="20"/>
    <xf numFmtId="164" fontId="11" fillId="4" borderId="8" pivotButton="0" quotePrefix="0" xfId="21"/>
    <xf numFmtId="165" fontId="11" fillId="0" borderId="8" applyAlignment="1" pivotButton="0" quotePrefix="0" xfId="21">
      <alignment horizontal="right"/>
    </xf>
    <xf numFmtId="165" fontId="11" fillId="5" borderId="8" pivotButton="0" quotePrefix="0" xfId="21"/>
    <xf numFmtId="165" fontId="11" fillId="4" borderId="8" pivotButton="0" quotePrefix="0" xfId="21"/>
    <xf numFmtId="165" fontId="11" fillId="8" borderId="8" pivotButton="0" quotePrefix="0" xfId="21"/>
    <xf numFmtId="165" fontId="11" fillId="9" borderId="8" pivotButton="0" quotePrefix="0" xfId="21"/>
    <xf numFmtId="165" fontId="11" fillId="6" borderId="26" applyAlignment="1" pivotButton="0" quotePrefix="0" xfId="19">
      <alignment horizontal="center" vertical="center" wrapText="1"/>
    </xf>
    <xf numFmtId="165" fontId="11" fillId="12" borderId="28" applyAlignment="1" pivotButton="0" quotePrefix="0" xfId="19">
      <alignment horizontal="center" vertical="center" wrapText="1"/>
    </xf>
    <xf numFmtId="164" fontId="13" fillId="7" borderId="0" applyAlignment="1" pivotButton="0" quotePrefix="0" xfId="21">
      <alignment horizontal="left" indent="2"/>
    </xf>
    <xf numFmtId="165" fontId="11" fillId="5" borderId="0" applyAlignment="1" pivotButton="0" quotePrefix="0" xfId="21">
      <alignment horizontal="right"/>
    </xf>
    <xf numFmtId="165" fontId="11" fillId="4" borderId="0" applyAlignment="1" pivotButton="0" quotePrefix="0" xfId="21">
      <alignment horizontal="right"/>
    </xf>
    <xf numFmtId="165" fontId="11" fillId="8" borderId="0" applyAlignment="1" pivotButton="0" quotePrefix="0" xfId="21">
      <alignment horizontal="right"/>
    </xf>
    <xf numFmtId="165" fontId="11" fillId="9" borderId="0" applyAlignment="1" pivotButton="0" quotePrefix="0" xfId="21">
      <alignment horizontal="right"/>
    </xf>
    <xf numFmtId="164" fontId="23" fillId="7" borderId="0" applyAlignment="1" pivotButton="0" quotePrefix="0" xfId="21">
      <alignment horizontal="left" indent="2"/>
    </xf>
    <xf numFmtId="164" fontId="11" fillId="0" borderId="0" applyAlignment="1" pivotButton="0" quotePrefix="0" xfId="21">
      <alignment horizontal="left" indent="1"/>
    </xf>
    <xf numFmtId="164" fontId="11" fillId="9" borderId="8" pivotButton="0" quotePrefix="0" xfId="21"/>
    <xf numFmtId="165" fontId="11" fillId="9" borderId="23" applyAlignment="1" pivotButton="0" quotePrefix="0" xfId="19">
      <alignment vertical="center"/>
    </xf>
    <xf numFmtId="164" fontId="11" fillId="0" borderId="0" applyAlignment="1" pivotButton="0" quotePrefix="0" xfId="21">
      <alignment wrapText="1"/>
    </xf>
    <xf numFmtId="165" fontId="11" fillId="11" borderId="33" applyAlignment="1" pivotButton="0" quotePrefix="0" xfId="19">
      <alignment vertical="center"/>
    </xf>
    <xf numFmtId="164" fontId="11" fillId="11" borderId="0" applyAlignment="1" pivotButton="0" quotePrefix="0" xfId="19">
      <alignment vertical="center"/>
    </xf>
    <xf numFmtId="165" fontId="11" fillId="11" borderId="35" applyAlignment="1" pivotButton="0" quotePrefix="0" xfId="19">
      <alignment horizontal="center"/>
    </xf>
    <xf numFmtId="165" fontId="11" fillId="11" borderId="14" applyAlignment="1" pivotButton="0" quotePrefix="0" xfId="19">
      <alignment horizontal="center"/>
    </xf>
    <xf numFmtId="165" fontId="11" fillId="11" borderId="36" applyAlignment="1" pivotButton="0" quotePrefix="0" xfId="19">
      <alignment horizontal="center"/>
    </xf>
    <xf numFmtId="165" fontId="11" fillId="11" borderId="38" applyAlignment="1" pivotButton="0" quotePrefix="0" xfId="19">
      <alignment horizontal="center"/>
    </xf>
    <xf numFmtId="164" fontId="11" fillId="6" borderId="53" pivotButton="0" quotePrefix="0" xfId="21"/>
    <xf numFmtId="165" fontId="11" fillId="0" borderId="6" applyAlignment="1" pivotButton="0" quotePrefix="0" xfId="21">
      <alignment horizontal="right"/>
    </xf>
    <xf numFmtId="165" fontId="11" fillId="5" borderId="6" pivotButton="0" quotePrefix="0" xfId="21"/>
    <xf numFmtId="165" fontId="11" fillId="4" borderId="6" pivotButton="0" quotePrefix="0" xfId="21"/>
    <xf numFmtId="165" fontId="11" fillId="8" borderId="6" pivotButton="0" quotePrefix="0" xfId="21"/>
    <xf numFmtId="165" fontId="11" fillId="9" borderId="6" pivotButton="0" quotePrefix="0" xfId="21"/>
    <xf numFmtId="165" fontId="11" fillId="9" borderId="39" applyAlignment="1" pivotButton="0" quotePrefix="0" xfId="19">
      <alignment horizontal="right" vertical="center"/>
    </xf>
    <xf numFmtId="164" fontId="11" fillId="4" borderId="54" pivotButton="0" quotePrefix="0" xfId="21"/>
    <xf numFmtId="164" fontId="13" fillId="7" borderId="41" applyAlignment="1" pivotButton="0" quotePrefix="0" xfId="21">
      <alignment horizontal="left" indent="1"/>
    </xf>
    <xf numFmtId="164" fontId="11" fillId="5" borderId="0" pivotButton="0" quotePrefix="0" xfId="21"/>
    <xf numFmtId="164" fontId="11" fillId="4" borderId="0" pivotButton="0" quotePrefix="0" xfId="21"/>
    <xf numFmtId="164" fontId="11" fillId="8" borderId="0" pivotButton="0" quotePrefix="0" xfId="21"/>
    <xf numFmtId="165" fontId="11" fillId="7" borderId="14" pivotButton="0" quotePrefix="0" xfId="19"/>
    <xf numFmtId="165" fontId="11" fillId="0" borderId="14" pivotButton="0" quotePrefix="0" xfId="19"/>
    <xf numFmtId="164" fontId="21" fillId="6" borderId="9" pivotButton="0" quotePrefix="0" xfId="21"/>
    <xf numFmtId="165" fontId="11" fillId="0" borderId="9" applyAlignment="1" pivotButton="0" quotePrefix="0" xfId="21">
      <alignment horizontal="right"/>
    </xf>
    <xf numFmtId="164" fontId="11" fillId="5" borderId="9" pivotButton="0" quotePrefix="0" xfId="21"/>
    <xf numFmtId="164" fontId="11" fillId="4" borderId="9" pivotButton="0" quotePrefix="0" xfId="21"/>
    <xf numFmtId="164" fontId="11" fillId="8" borderId="9" pivotButton="0" quotePrefix="0" xfId="21"/>
    <xf numFmtId="164" fontId="11" fillId="9" borderId="9" pivotButton="0" quotePrefix="0" xfId="21"/>
    <xf numFmtId="164" fontId="11" fillId="6" borderId="23" applyAlignment="1" pivotButton="0" quotePrefix="0" xfId="19">
      <alignment horizontal="right" vertical="center"/>
    </xf>
    <xf numFmtId="165" fontId="11" fillId="7" borderId="25" pivotButton="0" quotePrefix="0" xfId="19"/>
    <xf numFmtId="165" fontId="11" fillId="12" borderId="28" pivotButton="0" quotePrefix="0" xfId="19"/>
    <xf numFmtId="164" fontId="21" fillId="10" borderId="9" pivotButton="0" quotePrefix="0" xfId="21"/>
    <xf numFmtId="165" fontId="11" fillId="10" borderId="18" applyAlignment="1" pivotButton="0" quotePrefix="0" xfId="19">
      <alignment vertical="center"/>
    </xf>
    <xf numFmtId="165" fontId="11" fillId="7" borderId="14" applyAlignment="1" pivotButton="0" quotePrefix="0" xfId="19">
      <alignment vertical="center"/>
    </xf>
    <xf numFmtId="165" fontId="11" fillId="0" borderId="14" applyAlignment="1" pivotButton="0" quotePrefix="0" xfId="19">
      <alignment vertical="center"/>
    </xf>
    <xf numFmtId="164" fontId="11" fillId="0" borderId="18" applyAlignment="1" pivotButton="0" quotePrefix="0" xfId="19">
      <alignment vertical="center"/>
    </xf>
    <xf numFmtId="165" fontId="11" fillId="0" borderId="20" applyAlignment="1" pivotButton="0" quotePrefix="0" xfId="19">
      <alignment horizontal="center"/>
    </xf>
    <xf numFmtId="164" fontId="11" fillId="0" borderId="21" pivotButton="0" quotePrefix="0" xfId="19"/>
    <xf numFmtId="165" fontId="11" fillId="0" borderId="22" pivotButton="0" quotePrefix="0" xfId="19"/>
    <xf numFmtId="164" fontId="21" fillId="0" borderId="9" pivotButton="0" quotePrefix="0" xfId="21"/>
    <xf numFmtId="165" fontId="11" fillId="5" borderId="9" pivotButton="0" quotePrefix="0" xfId="21"/>
    <xf numFmtId="165" fontId="11" fillId="4" borderId="9" pivotButton="0" quotePrefix="0" xfId="21"/>
    <xf numFmtId="165" fontId="11" fillId="8" borderId="9" pivotButton="0" quotePrefix="0" xfId="21"/>
    <xf numFmtId="165" fontId="11" fillId="9" borderId="9" pivotButton="0" quotePrefix="0" xfId="21"/>
    <xf numFmtId="165" fontId="11" fillId="7" borderId="23" applyAlignment="1" pivotButton="0" quotePrefix="0" xfId="19">
      <alignment vertical="center"/>
    </xf>
    <xf numFmtId="164" fontId="11" fillId="10" borderId="23" applyAlignment="1" pivotButton="0" quotePrefix="0" xfId="19">
      <alignment vertical="center"/>
    </xf>
    <xf numFmtId="164" fontId="21" fillId="10" borderId="10" pivotButton="0" quotePrefix="0" xfId="21"/>
    <xf numFmtId="165" fontId="11" fillId="0" borderId="10" applyAlignment="1" pivotButton="0" quotePrefix="0" xfId="21">
      <alignment horizontal="right"/>
    </xf>
    <xf numFmtId="165" fontId="11" fillId="5" borderId="10" pivotButton="0" quotePrefix="0" xfId="21"/>
    <xf numFmtId="165" fontId="11" fillId="4" borderId="10" pivotButton="0" quotePrefix="0" xfId="21"/>
    <xf numFmtId="165" fontId="11" fillId="8" borderId="10" pivotButton="0" quotePrefix="0" xfId="21"/>
    <xf numFmtId="165" fontId="11" fillId="9" borderId="10" pivotButton="0" quotePrefix="0" xfId="21"/>
    <xf numFmtId="164" fontId="11" fillId="10" borderId="18" applyAlignment="1" pivotButton="0" quotePrefix="0" xfId="19">
      <alignment vertical="center"/>
    </xf>
    <xf numFmtId="165" fontId="11" fillId="7" borderId="42" pivotButton="0" quotePrefix="0" xfId="19"/>
    <xf numFmtId="165" fontId="11" fillId="6" borderId="43" applyAlignment="1" pivotButton="0" quotePrefix="0" xfId="19">
      <alignment horizontal="center" vertical="center" wrapText="1"/>
    </xf>
    <xf numFmtId="165" fontId="11" fillId="12" borderId="45" applyAlignment="1" pivotButton="0" quotePrefix="0" xfId="19">
      <alignment horizontal="center" vertical="center" wrapText="1"/>
    </xf>
    <xf numFmtId="164" fontId="11" fillId="5" borderId="10" applyAlignment="1" pivotButton="0" quotePrefix="0" xfId="21">
      <alignment horizontal="right"/>
    </xf>
    <xf numFmtId="164" fontId="11" fillId="4" borderId="10" applyAlignment="1" pivotButton="0" quotePrefix="0" xfId="21">
      <alignment horizontal="right"/>
    </xf>
    <xf numFmtId="164" fontId="11" fillId="8" borderId="10" applyAlignment="1" pivotButton="0" quotePrefix="0" xfId="21">
      <alignment horizontal="right"/>
    </xf>
    <xf numFmtId="164" fontId="11" fillId="9" borderId="10" applyAlignment="1" pivotButton="0" quotePrefix="0" xfId="21">
      <alignment horizontal="right"/>
    </xf>
    <xf numFmtId="164" fontId="11" fillId="10" borderId="46" applyAlignment="1" pivotButton="0" quotePrefix="0" xfId="19">
      <alignment vertical="center"/>
    </xf>
    <xf numFmtId="164" fontId="11" fillId="7" borderId="14" pivotButton="0" quotePrefix="0" xfId="19"/>
    <xf numFmtId="164" fontId="11" fillId="0" borderId="14" pivotButton="0" quotePrefix="0" xfId="19"/>
    <xf numFmtId="164" fontId="11" fillId="12" borderId="22" applyAlignment="1" pivotButton="0" quotePrefix="0" xfId="19">
      <alignment horizontal="center" vertical="center" wrapText="1"/>
    </xf>
    <xf numFmtId="165" fontId="11" fillId="5" borderId="10" applyAlignment="1" pivotButton="0" quotePrefix="0" xfId="21">
      <alignment horizontal="right"/>
    </xf>
    <xf numFmtId="165" fontId="11" fillId="4" borderId="10" applyAlignment="1" pivotButton="0" quotePrefix="0" xfId="21">
      <alignment horizontal="right"/>
    </xf>
    <xf numFmtId="165" fontId="11" fillId="8" borderId="10" applyAlignment="1" pivotButton="0" quotePrefix="0" xfId="21">
      <alignment horizontal="right"/>
    </xf>
    <xf numFmtId="164" fontId="11" fillId="10" borderId="33" applyAlignment="1" pivotButton="0" quotePrefix="0" xfId="19">
      <alignment vertical="center"/>
    </xf>
    <xf numFmtId="164" fontId="11" fillId="7" borderId="35" pivotButton="0" quotePrefix="0" xfId="19"/>
    <xf numFmtId="165" fontId="11" fillId="6" borderId="36" applyAlignment="1" pivotButton="0" quotePrefix="0" xfId="19">
      <alignment horizontal="center" vertical="center" wrapText="1"/>
    </xf>
    <xf numFmtId="164" fontId="11" fillId="12" borderId="38" applyAlignment="1" pivotButton="0" quotePrefix="0" xfId="19">
      <alignment horizontal="center" vertical="center" wrapText="1"/>
    </xf>
    <xf numFmtId="164" fontId="21" fillId="13" borderId="55" pivotButton="0" quotePrefix="0" xfId="21"/>
    <xf numFmtId="165" fontId="11" fillId="0" borderId="48" pivotButton="0" quotePrefix="0" xfId="20"/>
    <xf numFmtId="164" fontId="11" fillId="9" borderId="10" pivotButton="0" quotePrefix="0" xfId="21"/>
    <xf numFmtId="164" fontId="11" fillId="12" borderId="18" applyAlignment="1" pivotButton="0" quotePrefix="0" xfId="19">
      <alignment vertical="center"/>
    </xf>
    <xf numFmtId="165" fontId="11" fillId="9" borderId="10" applyAlignment="1" pivotButton="0" quotePrefix="0" xfId="21">
      <alignment horizontal="right"/>
    </xf>
    <xf numFmtId="164" fontId="11" fillId="0" borderId="0" applyAlignment="1" pivotButton="0" quotePrefix="0" xfId="19">
      <alignment horizontal="center"/>
    </xf>
    <xf numFmtId="164" fontId="13" fillId="0" borderId="0" applyAlignment="1" pivotButton="0" quotePrefix="0" xfId="21">
      <alignment horizontal="left"/>
    </xf>
    <xf numFmtId="164" fontId="13" fillId="5" borderId="49" applyAlignment="1" pivotButton="0" quotePrefix="0" xfId="19">
      <alignment horizontal="right"/>
    </xf>
    <xf numFmtId="164" fontId="11" fillId="5" borderId="50" applyAlignment="1" pivotButton="0" quotePrefix="0" xfId="19">
      <alignment horizontal="right"/>
    </xf>
    <xf numFmtId="165" fontId="11" fillId="5" borderId="51" applyAlignment="1" pivotButton="0" quotePrefix="0" xfId="19">
      <alignment horizontal="center"/>
    </xf>
  </cellXfs>
  <cellStyles count="25">
    <cellStyle name="一般" xfId="0" builtinId="0"/>
    <cellStyle name="樣式 1" xfId="1"/>
    <cellStyle name="$-" xfId="2"/>
    <cellStyle name="$0" xfId="3"/>
    <cellStyle name="$0.00" xfId="4"/>
    <cellStyle name="$123" xfId="5"/>
    <cellStyle name="$123.00" xfId="6"/>
    <cellStyle name="0" xfId="7"/>
    <cellStyle name="0.00" xfId="8"/>
    <cellStyle name="123" xfId="9"/>
    <cellStyle name="123.00" xfId="10"/>
    <cellStyle name="Grey" xfId="11"/>
    <cellStyle name="Input [yellow]" xfId="12"/>
    <cellStyle name="Normal - Style1" xfId="13"/>
    <cellStyle name="Normal_Assumptions" xfId="14"/>
    <cellStyle name="Percent [2]" xfId="15"/>
    <cellStyle name="total" xfId="16"/>
    <cellStyle name="total.00" xfId="17"/>
    <cellStyle name="一般_2008 BU BP_T100" xfId="18"/>
    <cellStyle name="一般_2009 BU OP-T300" xfId="19"/>
    <cellStyle name="一般_2009 BU 彙總-T000-V.5" xfId="20"/>
    <cellStyle name="一般_2009.12_GTT_BU_Report" xfId="21"/>
    <cellStyle name="中文字形" xfId="22"/>
    <cellStyle name="百分比" xfId="23" builtinId="5"/>
    <cellStyle name="표준_P&amp;L" xfId="2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LydiaHuang</author>
  </authors>
  <commentList>
    <comment ref="AP2" authorId="0" shapeId="0">
      <text>
        <t>LydiaHuang:
Target A：
2008 Jan~Dec Actual</t>
      </text>
    </comment>
    <comment ref="AR2" authorId="0" shapeId="0">
      <text>
        <t>LydiaHuang:
Target B：
( 2008 Target A + 2008 Original Budget ) / 2</t>
      </text>
    </comment>
  </commentList>
</comment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indexed="47"/>
    <outlinePr summaryBelow="1" summaryRight="1"/>
    <pageSetUpPr/>
  </sheetPr>
  <dimension ref="A1:AX49"/>
  <sheetViews>
    <sheetView tabSelected="1" zoomScale="75" workbookViewId="0">
      <pane ySplit="2" topLeftCell="A3" activePane="bottomLeft" state="frozen"/>
      <selection pane="bottomLeft" activeCell="A30" sqref="A30"/>
    </sheetView>
  </sheetViews>
  <sheetFormatPr baseColWidth="8" defaultColWidth="17.6328125" defaultRowHeight="17"/>
  <cols>
    <col width="38.6328125" customWidth="1" style="252" min="1" max="1"/>
    <col width="15.1796875" customWidth="1" style="253" min="2" max="2"/>
    <col width="14.90625" customWidth="1" style="253" min="3" max="3"/>
    <col width="14.6328125" customWidth="1" style="253" min="4" max="4"/>
    <col width="14.08984375" customWidth="1" style="253" min="5" max="6"/>
    <col width="13.81640625" customWidth="1" style="253" min="7" max="7"/>
    <col width="13.6328125" customWidth="1" style="253" min="8" max="8"/>
    <col width="14.36328125" customWidth="1" style="253" min="9" max="9"/>
    <col width="14.81640625" customWidth="1" style="253" min="10" max="10"/>
    <col width="14" customWidth="1" style="253" min="11" max="11"/>
    <col width="14.36328125" customWidth="1" style="253" min="12" max="12"/>
    <col width="13.81640625" customWidth="1" style="253" min="13" max="13"/>
    <col width="14.08984375" customWidth="1" style="254" min="14" max="15"/>
    <col width="15.6328125" customWidth="1" style="254" min="16" max="16"/>
    <col width="15" customWidth="1" style="254" min="17" max="17"/>
    <col width="14" customWidth="1" style="254" min="18" max="20"/>
    <col width="14.1796875" customWidth="1" style="254" min="21" max="21"/>
    <col width="14.6328125" customWidth="1" style="254" min="22" max="22"/>
    <col width="15.453125" customWidth="1" style="252" min="23" max="23"/>
    <col width="14.453125" customWidth="1" style="252" min="24" max="24"/>
    <col width="16.453125" customWidth="1" style="252" min="25" max="25"/>
    <col hidden="1" width="13.453125" customWidth="1" style="252" min="26" max="26"/>
    <col hidden="1" width="13.6328125" customWidth="1" style="252" min="27" max="27"/>
    <col hidden="1" width="14.90625" customWidth="1" style="252" min="28" max="28"/>
    <col hidden="1" width="12.6328125" customWidth="1" style="252" min="29" max="29"/>
    <col hidden="1" width="12.36328125" customWidth="1" style="252" min="30" max="30"/>
    <col hidden="1" width="13" customWidth="1" style="252" min="31" max="31"/>
    <col hidden="1" width="13.453125" customWidth="1" style="252" min="32" max="32"/>
    <col hidden="1" width="11.81640625" customWidth="1" style="252" min="33" max="33"/>
    <col hidden="1" width="12.6328125" customWidth="1" style="252" min="34" max="34"/>
    <col hidden="1" width="13.6328125" customWidth="1" style="252" min="35" max="36"/>
    <col hidden="1" width="16.453125" customWidth="1" style="255" min="37" max="37"/>
    <col hidden="1" width="13.453125" customWidth="1" style="255" min="38" max="38"/>
    <col hidden="1" width="2" customWidth="1" style="256" min="39" max="39"/>
    <col hidden="1" width="15.1796875" customWidth="1" style="257" min="40" max="40"/>
    <col hidden="1" width="2.08984375" customWidth="1" style="257" min="41" max="41"/>
    <col hidden="1" width="15.36328125" customWidth="1" style="258" min="42" max="42"/>
    <col hidden="1" width="12.36328125" customWidth="1" style="259" min="43" max="43"/>
    <col hidden="1" width="15.90625" customWidth="1" style="257" min="44" max="44"/>
    <col hidden="1" width="12" customWidth="1" style="259" min="45" max="45"/>
    <col hidden="1" width="17.6328125" customWidth="1" style="256" min="46" max="46"/>
    <col hidden="1" width="17.6328125" customWidth="1" style="260" min="47" max="50"/>
    <col width="17.6328125" customWidth="1" style="252" min="51" max="16384"/>
  </cols>
  <sheetData>
    <row r="1" ht="24" customHeight="1" s="261">
      <c r="A1" s="262" t="inlineStr">
        <is>
          <t>Company ：Testing</t>
        </is>
      </c>
      <c r="C1" s="253" t="n"/>
      <c r="D1" s="253" t="n"/>
      <c r="E1" s="253" t="n"/>
      <c r="F1" s="253" t="n"/>
      <c r="N1" s="263" t="n"/>
      <c r="O1" s="263" t="n"/>
      <c r="P1" s="263" t="n"/>
      <c r="Q1" s="264" t="n"/>
      <c r="R1" s="264" t="n"/>
      <c r="S1" s="264" t="n"/>
      <c r="T1" s="265" t="n"/>
      <c r="U1" s="265" t="n"/>
      <c r="V1" s="265" t="n"/>
      <c r="W1" s="266" t="n"/>
      <c r="X1" s="266" t="n"/>
      <c r="Y1" s="266" t="n"/>
      <c r="Z1" s="267" t="n"/>
      <c r="AA1" s="267" t="n"/>
      <c r="AB1" s="267" t="n"/>
      <c r="AC1" s="267" t="n"/>
      <c r="AD1" s="267" t="n"/>
      <c r="AE1" s="267" t="n"/>
      <c r="AF1" s="267" t="n"/>
      <c r="AG1" s="267" t="n"/>
      <c r="AH1" s="267" t="n"/>
      <c r="AI1" s="267" t="n"/>
      <c r="AJ1" s="267" t="n"/>
      <c r="AU1" s="256" t="n"/>
      <c r="AV1" s="256" t="n"/>
      <c r="AW1" s="256" t="n"/>
      <c r="AX1" s="256" t="n"/>
    </row>
    <row r="2" ht="61.5" customFormat="1" customHeight="1" s="268" thickBot="1">
      <c r="A2" s="269" t="inlineStr">
        <is>
          <t>PRODUCT-  Y2009</t>
        </is>
      </c>
      <c r="B2" s="270" t="inlineStr">
        <is>
          <t>Jan (A)</t>
        </is>
      </c>
      <c r="C2" s="270" t="inlineStr">
        <is>
          <t>Feb (A)</t>
        </is>
      </c>
      <c r="D2" s="270" t="inlineStr">
        <is>
          <t>Mar (A)</t>
        </is>
      </c>
      <c r="E2" s="270" t="inlineStr">
        <is>
          <t>Apr (A)</t>
        </is>
      </c>
      <c r="F2" s="270" t="inlineStr">
        <is>
          <t>May (A)</t>
        </is>
      </c>
      <c r="G2" s="270" t="inlineStr">
        <is>
          <t>Jun (A)</t>
        </is>
      </c>
      <c r="H2" s="270" t="inlineStr">
        <is>
          <t>Jul (A)</t>
        </is>
      </c>
      <c r="I2" s="270" t="inlineStr">
        <is>
          <t>Aug (A)</t>
        </is>
      </c>
      <c r="J2" s="270" t="inlineStr">
        <is>
          <t>Sep (A)</t>
        </is>
      </c>
      <c r="K2" s="270" t="inlineStr">
        <is>
          <t>Oct (A)</t>
        </is>
      </c>
      <c r="L2" s="270" t="inlineStr">
        <is>
          <t>Nov (A)</t>
        </is>
      </c>
      <c r="M2" s="270" t="inlineStr">
        <is>
          <t>Dec (A)</t>
        </is>
      </c>
      <c r="N2" s="271" t="inlineStr">
        <is>
          <t>Jan (F)</t>
        </is>
      </c>
      <c r="O2" s="271" t="inlineStr">
        <is>
          <t>Feb (F)</t>
        </is>
      </c>
      <c r="P2" s="271" t="inlineStr">
        <is>
          <t>Mar (F)</t>
        </is>
      </c>
      <c r="Q2" s="272" t="inlineStr">
        <is>
          <t>Apr (F)</t>
        </is>
      </c>
      <c r="R2" s="272" t="inlineStr">
        <is>
          <t>May (F)</t>
        </is>
      </c>
      <c r="S2" s="272" t="inlineStr">
        <is>
          <t>Jun (F)-T1</t>
        </is>
      </c>
      <c r="T2" s="273" t="inlineStr">
        <is>
          <t>Jul (F)-T1</t>
        </is>
      </c>
      <c r="U2" s="273" t="inlineStr">
        <is>
          <t>Aug (F)-T1</t>
        </is>
      </c>
      <c r="V2" s="273" t="inlineStr">
        <is>
          <t>Sep (F)-T1</t>
        </is>
      </c>
      <c r="W2" s="274" t="inlineStr">
        <is>
          <t>Oct (F)-T1</t>
        </is>
      </c>
      <c r="X2" s="274" t="inlineStr">
        <is>
          <t>Nov (F)-T1</t>
        </is>
      </c>
      <c r="Y2" s="274" t="inlineStr">
        <is>
          <t>Dec (F)-T1</t>
        </is>
      </c>
      <c r="Z2" s="275" t="inlineStr">
        <is>
          <t>Jan-Achiev. %</t>
        </is>
      </c>
      <c r="AA2" s="275" t="inlineStr">
        <is>
          <t>Feb-Achiev. %</t>
        </is>
      </c>
      <c r="AB2" s="275" t="inlineStr">
        <is>
          <t>Mar-Achiev. %</t>
        </is>
      </c>
      <c r="AC2" s="275" t="inlineStr">
        <is>
          <t>Apr-Achiev. %</t>
        </is>
      </c>
      <c r="AD2" s="275" t="inlineStr">
        <is>
          <t>May-Achiev. %</t>
        </is>
      </c>
      <c r="AE2" s="275" t="inlineStr">
        <is>
          <t>Jun-Achiev. %</t>
        </is>
      </c>
      <c r="AF2" s="275" t="inlineStr">
        <is>
          <t>Jul-Achiev. %</t>
        </is>
      </c>
      <c r="AG2" s="275" t="inlineStr">
        <is>
          <t>Aug-Achiev.%</t>
        </is>
      </c>
      <c r="AH2" s="275" t="inlineStr">
        <is>
          <t>Sep-Achiev. %</t>
        </is>
      </c>
      <c r="AI2" s="275" t="inlineStr">
        <is>
          <t>Oct-Achiev. %</t>
        </is>
      </c>
      <c r="AJ2" s="275" t="inlineStr">
        <is>
          <t>Nov-Achiev. %</t>
        </is>
      </c>
      <c r="AK2" s="276" t="inlineStr">
        <is>
          <t>2008 Total (Actual)</t>
        </is>
      </c>
      <c r="AL2" s="277" t="inlineStr">
        <is>
          <t>Growth%</t>
        </is>
      </c>
      <c r="AM2" s="278" t="n"/>
      <c r="AN2" s="279" t="inlineStr">
        <is>
          <t xml:space="preserve">2008 Original Budget </t>
        </is>
      </c>
      <c r="AO2" s="280" t="n"/>
      <c r="AP2" s="281" t="inlineStr">
        <is>
          <t>2008 YTD (Target A)</t>
        </is>
      </c>
      <c r="AQ2" s="282" t="inlineStr">
        <is>
          <t>Growth%</t>
        </is>
      </c>
      <c r="AR2" s="283" t="inlineStr">
        <is>
          <t>2008 YTD (Target B)</t>
        </is>
      </c>
      <c r="AS2" s="284" t="inlineStr">
        <is>
          <t>Growth%</t>
        </is>
      </c>
      <c r="AT2" s="285" t="n"/>
      <c r="AU2" s="285" t="n"/>
      <c r="AV2" s="285" t="n"/>
      <c r="AW2" s="285" t="n"/>
      <c r="AX2" s="285" t="n"/>
    </row>
    <row r="3" ht="23.25" customFormat="1" customHeight="1" s="268" thickBot="1" thickTop="1">
      <c r="A3" s="286" t="inlineStr">
        <is>
          <t>Revenue Total</t>
        </is>
      </c>
      <c r="B3" s="287">
        <f>B4+B8</f>
        <v/>
      </c>
      <c r="C3" s="287">
        <f>C4+C8</f>
        <v/>
      </c>
      <c r="D3" s="287">
        <f>D4+D8</f>
        <v/>
      </c>
      <c r="E3" s="287">
        <f>E4+E8</f>
        <v/>
      </c>
      <c r="F3" s="287">
        <f>F4+F8</f>
        <v/>
      </c>
      <c r="G3" s="287">
        <f>G4+G8</f>
        <v/>
      </c>
      <c r="H3" s="287">
        <f>H4+H8</f>
        <v/>
      </c>
      <c r="I3" s="287">
        <f>I4+I8</f>
        <v/>
      </c>
      <c r="J3" s="287">
        <f>J4+J8</f>
        <v/>
      </c>
      <c r="K3" s="287">
        <f>K4+K8</f>
        <v/>
      </c>
      <c r="L3" s="287">
        <f>L4+L8</f>
        <v/>
      </c>
      <c r="M3" s="287">
        <f>M4+M8</f>
        <v/>
      </c>
      <c r="N3" s="288">
        <f>N4+N8</f>
        <v/>
      </c>
      <c r="O3" s="288">
        <f>O4+O8</f>
        <v/>
      </c>
      <c r="P3" s="288">
        <f>P4+P8</f>
        <v/>
      </c>
      <c r="Q3" s="289">
        <f>Q4+Q8</f>
        <v/>
      </c>
      <c r="R3" s="289">
        <f>R4+R8</f>
        <v/>
      </c>
      <c r="S3" s="289">
        <f>S4+S8</f>
        <v/>
      </c>
      <c r="T3" s="290">
        <f>T4+T8</f>
        <v/>
      </c>
      <c r="U3" s="290">
        <f>U4+U8</f>
        <v/>
      </c>
      <c r="V3" s="290">
        <f>V4+V8</f>
        <v/>
      </c>
      <c r="W3" s="291">
        <f>W4+W8</f>
        <v/>
      </c>
      <c r="X3" s="291">
        <f>X4+X8</f>
        <v/>
      </c>
      <c r="Y3" s="291">
        <f>Y4+Y8</f>
        <v/>
      </c>
      <c r="Z3" s="155">
        <f>+B3/N3</f>
        <v/>
      </c>
      <c r="AA3" s="155">
        <f>+C3/O3</f>
        <v/>
      </c>
      <c r="AB3" s="155">
        <f>+D3/P3</f>
        <v/>
      </c>
      <c r="AC3" s="155">
        <f>+E3/Q3</f>
        <v/>
      </c>
      <c r="AD3" s="155">
        <f>+F3/R3</f>
        <v/>
      </c>
      <c r="AE3" s="155">
        <f>+G3/S3</f>
        <v/>
      </c>
      <c r="AF3" s="155">
        <f>+H3/T3</f>
        <v/>
      </c>
      <c r="AG3" s="155">
        <f>+I3/U3</f>
        <v/>
      </c>
      <c r="AH3" s="155">
        <f>+J3/V3</f>
        <v/>
      </c>
      <c r="AI3" s="155">
        <f>+K3/W3</f>
        <v/>
      </c>
      <c r="AJ3" s="155">
        <f>+L3/X3</f>
        <v/>
      </c>
      <c r="AK3" s="292">
        <f>AK4+AK8</f>
        <v/>
      </c>
      <c r="AL3" s="21">
        <f>ROUND(#REF!/AK3,4)-1</f>
        <v/>
      </c>
      <c r="AM3" s="293" t="n"/>
      <c r="AN3" s="294">
        <f>AN4+AN8</f>
        <v/>
      </c>
      <c r="AO3" s="295" t="n"/>
      <c r="AP3" s="296">
        <f>AP4+AP8</f>
        <v/>
      </c>
      <c r="AQ3" s="25">
        <f>ROUND((#REF!-AP3)/ABS(AP3),2)</f>
        <v/>
      </c>
      <c r="AR3" s="297">
        <f>AR4+AR8</f>
        <v/>
      </c>
      <c r="AS3" s="27">
        <f>ROUND((#REF!-AR3)/ABS(AR3),2)</f>
        <v/>
      </c>
      <c r="AT3" s="298" t="n"/>
      <c r="AU3" s="299" t="n"/>
      <c r="AV3" s="299" t="n"/>
      <c r="AW3" s="299" t="n"/>
      <c r="AX3" s="299" t="n"/>
    </row>
    <row r="4" ht="19.5" customHeight="1" s="261" thickTop="1">
      <c r="A4" s="300" t="inlineStr">
        <is>
          <t xml:space="preserve">   External Revenue(by product)</t>
        </is>
      </c>
      <c r="B4" s="301">
        <f>SUM(B5:B7)</f>
        <v/>
      </c>
      <c r="C4" s="301">
        <f>SUM(C5:C7)</f>
        <v/>
      </c>
      <c r="D4" s="301">
        <f>SUM(D5:D7)</f>
        <v/>
      </c>
      <c r="E4" s="301">
        <f>SUM(E5:E7)</f>
        <v/>
      </c>
      <c r="F4" s="301">
        <f>SUM(F5:F7)</f>
        <v/>
      </c>
      <c r="G4" s="301">
        <f>SUM(G5:G7)</f>
        <v/>
      </c>
      <c r="H4" s="301">
        <f>SUM(H5:H7)</f>
        <v/>
      </c>
      <c r="I4" s="301">
        <f>SUM(I5:I7)</f>
        <v/>
      </c>
      <c r="J4" s="301">
        <f>SUM(J5:J7)</f>
        <v/>
      </c>
      <c r="K4" s="301">
        <f>SUM(K5:K7)</f>
        <v/>
      </c>
      <c r="L4" s="301">
        <f>SUM(L5:L7)</f>
        <v/>
      </c>
      <c r="M4" s="301">
        <f>SUM(M5:M7)</f>
        <v/>
      </c>
      <c r="N4" s="302">
        <f>SUM(N5:N7)</f>
        <v/>
      </c>
      <c r="O4" s="302">
        <f>SUM(O5:O7)</f>
        <v/>
      </c>
      <c r="P4" s="302">
        <f>SUM(P5:P7)</f>
        <v/>
      </c>
      <c r="Q4" s="303">
        <f>SUM(Q5:Q7)</f>
        <v/>
      </c>
      <c r="R4" s="303">
        <f>SUM(R5:R7)</f>
        <v/>
      </c>
      <c r="S4" s="303">
        <f>SUM(S5:S7)</f>
        <v/>
      </c>
      <c r="T4" s="304">
        <f>SUM(T5:T7)</f>
        <v/>
      </c>
      <c r="U4" s="304">
        <f>SUM(U5:U7)</f>
        <v/>
      </c>
      <c r="V4" s="304">
        <f>SUM(V5:V7)</f>
        <v/>
      </c>
      <c r="W4" s="305">
        <f>SUM(W5:W7)</f>
        <v/>
      </c>
      <c r="X4" s="305">
        <f>SUM(X5:X7)</f>
        <v/>
      </c>
      <c r="Y4" s="305">
        <f>SUM(Y5:Y7)</f>
        <v/>
      </c>
      <c r="Z4" s="162">
        <f>+B4/N4</f>
        <v/>
      </c>
      <c r="AA4" s="162">
        <f>+C4/O4</f>
        <v/>
      </c>
      <c r="AB4" s="162">
        <f>+D4/P4</f>
        <v/>
      </c>
      <c r="AC4" s="162">
        <f>+E4/Q4</f>
        <v/>
      </c>
      <c r="AD4" s="162">
        <f>+F4/R4</f>
        <v/>
      </c>
      <c r="AE4" s="162">
        <f>+G4/S4</f>
        <v/>
      </c>
      <c r="AF4" s="162">
        <f>+H4/T4</f>
        <v/>
      </c>
      <c r="AG4" s="162">
        <f>+I4/U4</f>
        <v/>
      </c>
      <c r="AH4" s="162">
        <f>+J4/V4</f>
        <v/>
      </c>
      <c r="AI4" s="162">
        <f>+K4/W4</f>
        <v/>
      </c>
      <c r="AJ4" s="162">
        <f>+L4/X4</f>
        <v/>
      </c>
      <c r="AK4" s="306">
        <f>SUM(AK5:AK7)</f>
        <v/>
      </c>
      <c r="AL4" s="29">
        <f>ROUND(#REF!/AK4,4)-1</f>
        <v/>
      </c>
      <c r="AM4" s="255" t="n"/>
      <c r="AN4" s="307">
        <f>SUM(AN5:AN7)</f>
        <v/>
      </c>
      <c r="AO4" s="295" t="n"/>
      <c r="AP4" s="308">
        <f>SUM(AP5:AP7)</f>
        <v/>
      </c>
      <c r="AQ4" s="32">
        <f>ROUND((#REF!-AP4)/ABS(AP4),2)</f>
        <v/>
      </c>
      <c r="AR4" s="309">
        <f>SUM(AR5:AR7)</f>
        <v/>
      </c>
      <c r="AS4" s="34">
        <f>ROUND((#REF!-AR4)/ABS(AR4),2)</f>
        <v/>
      </c>
      <c r="AT4" s="255" t="n"/>
      <c r="AU4" s="310" t="n"/>
      <c r="AV4" s="310" t="n"/>
      <c r="AW4" s="310" t="n"/>
      <c r="AX4" s="310" t="n"/>
    </row>
    <row r="5">
      <c r="A5" s="36" t="inlineStr">
        <is>
          <t>Book</t>
        </is>
      </c>
      <c r="B5" s="311" t="n">
        <v>3029906</v>
      </c>
      <c r="C5" s="253">
        <f>5363542+427088+48645</f>
        <v/>
      </c>
      <c r="D5" s="253">
        <f>4007129-5204+66916</f>
        <v/>
      </c>
      <c r="E5" s="253">
        <f>2307189+67091+26378</f>
        <v/>
      </c>
      <c r="F5" s="253">
        <f>1855546-5214-9061</f>
        <v/>
      </c>
      <c r="G5" s="253">
        <f>3361536-65700+1980</f>
        <v/>
      </c>
      <c r="H5" s="253">
        <f>2673883-4189+8357</f>
        <v/>
      </c>
      <c r="I5" s="253">
        <f>3411565+165791+30986</f>
        <v/>
      </c>
      <c r="J5" s="253">
        <f>7303213+442178+144816</f>
        <v/>
      </c>
      <c r="K5" s="253">
        <f>3192715-37818+164357</f>
        <v/>
      </c>
      <c r="L5" s="253">
        <f>2143481-36639+7200</f>
        <v/>
      </c>
      <c r="M5" s="253">
        <f>2445088+6742</f>
        <v/>
      </c>
      <c r="N5" s="263" t="n">
        <v>4000000</v>
      </c>
      <c r="O5" s="263" t="n">
        <v>6000000</v>
      </c>
      <c r="P5" s="263" t="n">
        <v>5000000</v>
      </c>
      <c r="Q5" s="264" t="n">
        <v>4500000</v>
      </c>
      <c r="R5" s="264" t="n">
        <v>3500000</v>
      </c>
      <c r="S5" s="264" t="n">
        <v>3800000</v>
      </c>
      <c r="T5" s="265" t="n">
        <v>4000000</v>
      </c>
      <c r="U5" s="265" t="n">
        <v>5500000</v>
      </c>
      <c r="V5" s="265" t="n">
        <v>16000000</v>
      </c>
      <c r="W5" s="312" t="n">
        <v>4000000</v>
      </c>
      <c r="X5" s="312" t="n">
        <v>3500000</v>
      </c>
      <c r="Y5" s="312" t="n">
        <v>4500000</v>
      </c>
      <c r="Z5" s="168">
        <f>+B5/N5</f>
        <v/>
      </c>
      <c r="AA5" s="168">
        <f>+C5/O5</f>
        <v/>
      </c>
      <c r="AB5" s="168">
        <f>+D5/P5</f>
        <v/>
      </c>
      <c r="AC5" s="168">
        <f>+E5/Q5</f>
        <v/>
      </c>
      <c r="AD5" s="168">
        <f>+F5/R5</f>
        <v/>
      </c>
      <c r="AE5" s="168">
        <f>+G5/S5</f>
        <v/>
      </c>
      <c r="AF5" s="168">
        <f>+H5/T5</f>
        <v/>
      </c>
      <c r="AG5" s="168">
        <f>+I5/U5</f>
        <v/>
      </c>
      <c r="AH5" s="168">
        <f>+J5/V5</f>
        <v/>
      </c>
      <c r="AI5" s="168">
        <f>+K5/W5</f>
        <v/>
      </c>
      <c r="AJ5" s="168">
        <f>+L5/X5</f>
        <v/>
      </c>
      <c r="AK5" s="313">
        <f>AP5</f>
        <v/>
      </c>
      <c r="AL5" s="39">
        <f>ROUND(#REF!/AK5,4)-1</f>
        <v/>
      </c>
      <c r="AM5" s="255" t="n"/>
      <c r="AN5" s="294" t="n">
        <v>67987000</v>
      </c>
      <c r="AO5" s="295" t="n"/>
      <c r="AP5" s="314">
        <f>43449118+2659452</f>
        <v/>
      </c>
      <c r="AQ5" s="25">
        <f>ROUND((#REF!-AP5)/ABS(AP5),2)</f>
        <v/>
      </c>
      <c r="AR5" s="315">
        <f>SUM(AN5+AP5)/2</f>
        <v/>
      </c>
      <c r="AS5" s="27">
        <f>ROUND((#REF!-AR5)/ABS(AR5),2)</f>
        <v/>
      </c>
    </row>
    <row r="6">
      <c r="A6" s="43" t="inlineStr">
        <is>
          <t>e-Learning</t>
        </is>
      </c>
      <c r="B6" s="316" t="n">
        <v>18009</v>
      </c>
      <c r="C6" s="253" t="n">
        <v>12000</v>
      </c>
      <c r="D6" s="253" t="n">
        <v>157143</v>
      </c>
      <c r="E6" s="253">
        <f>0</f>
        <v/>
      </c>
      <c r="F6" s="253">
        <f>427333</f>
        <v/>
      </c>
      <c r="G6" s="253" t="n">
        <v>0</v>
      </c>
      <c r="H6" s="253">
        <f>76115+166000</f>
        <v/>
      </c>
      <c r="I6" s="253" t="n">
        <v>59048</v>
      </c>
      <c r="J6" s="253">
        <f>176190</f>
        <v/>
      </c>
      <c r="K6" s="253">
        <f>0</f>
        <v/>
      </c>
      <c r="L6" s="253" t="n">
        <v>0</v>
      </c>
      <c r="M6" s="253">
        <f>0</f>
        <v/>
      </c>
      <c r="N6" s="263" t="n">
        <v>300000</v>
      </c>
      <c r="O6" s="263" t="n">
        <v>300000</v>
      </c>
      <c r="P6" s="263" t="n">
        <v>700000</v>
      </c>
      <c r="Q6" s="264" t="n">
        <v>500000</v>
      </c>
      <c r="R6" s="264" t="n">
        <v>700000</v>
      </c>
      <c r="S6" s="264" t="n">
        <v>800000</v>
      </c>
      <c r="T6" s="265" t="n">
        <v>600000</v>
      </c>
      <c r="U6" s="265" t="n">
        <v>600000</v>
      </c>
      <c r="V6" s="265" t="n">
        <v>900000</v>
      </c>
      <c r="W6" s="312" t="n">
        <v>700000</v>
      </c>
      <c r="X6" s="312" t="n">
        <v>600000</v>
      </c>
      <c r="Y6" s="312" t="n">
        <v>600000</v>
      </c>
      <c r="Z6" s="168">
        <f>+B6/N6</f>
        <v/>
      </c>
      <c r="AA6" s="168">
        <f>+C6/O6</f>
        <v/>
      </c>
      <c r="AB6" s="168">
        <f>+D6/P6</f>
        <v/>
      </c>
      <c r="AC6" s="168">
        <f>+E6/Q6</f>
        <v/>
      </c>
      <c r="AD6" s="168">
        <f>+F6/R6</f>
        <v/>
      </c>
      <c r="AE6" s="168">
        <f>+G6/S6</f>
        <v/>
      </c>
      <c r="AF6" s="168">
        <f>+H6/T6</f>
        <v/>
      </c>
      <c r="AG6" s="168">
        <f>+I6/U6</f>
        <v/>
      </c>
      <c r="AH6" s="168">
        <f>+J6/V6</f>
        <v/>
      </c>
      <c r="AI6" s="168">
        <f>+K6/W6</f>
        <v/>
      </c>
      <c r="AJ6" s="168">
        <f>+L6/X6</f>
        <v/>
      </c>
      <c r="AK6" s="317">
        <f>AP6</f>
        <v/>
      </c>
      <c r="AL6" s="39">
        <f>ROUND(#REF!/AK6,4)-1</f>
        <v/>
      </c>
      <c r="AM6" s="255" t="n"/>
      <c r="AN6" s="294" t="n">
        <v>16013000</v>
      </c>
      <c r="AO6" s="295" t="n"/>
      <c r="AP6" s="314" t="n">
        <v>5203532</v>
      </c>
      <c r="AQ6" s="25">
        <f>ROUND((#REF!-AP6)/ABS(AP6),2)</f>
        <v/>
      </c>
      <c r="AR6" s="315">
        <f>SUM(AN6+AP6)/2</f>
        <v/>
      </c>
      <c r="AS6" s="46">
        <f>ROUND((#REF!-AR6)/ABS(AR6),2)</f>
        <v/>
      </c>
    </row>
    <row r="7">
      <c r="A7" s="43" t="inlineStr">
        <is>
          <t>Other&amp; (ACA )</t>
        </is>
      </c>
      <c r="B7" s="318" t="n"/>
      <c r="C7" s="253">
        <f>42690</f>
        <v/>
      </c>
      <c r="D7" s="253">
        <f>-838+27086</f>
        <v/>
      </c>
      <c r="E7" s="253">
        <f>276347+152001</f>
        <v/>
      </c>
      <c r="F7" s="253">
        <f>108571+21197</f>
        <v/>
      </c>
      <c r="G7" s="253" t="n">
        <v>224457</v>
      </c>
      <c r="H7" s="253">
        <f>117524+174178</f>
        <v/>
      </c>
      <c r="I7" s="253">
        <f>150629+52862</f>
        <v/>
      </c>
      <c r="J7" s="253">
        <f>24953+166083</f>
        <v/>
      </c>
      <c r="K7" s="253">
        <f>294895+99421</f>
        <v/>
      </c>
      <c r="L7" s="253">
        <f>121981+6633</f>
        <v/>
      </c>
      <c r="M7" s="253">
        <f>516303+2990</f>
        <v/>
      </c>
      <c r="N7" s="263" t="n">
        <v>1166400</v>
      </c>
      <c r="O7" s="263" t="n">
        <v>388800</v>
      </c>
      <c r="P7" s="263" t="n">
        <v>388800</v>
      </c>
      <c r="Q7" s="264" t="n">
        <v>1244160</v>
      </c>
      <c r="R7" s="264" t="n">
        <v>1244160</v>
      </c>
      <c r="S7" s="264" t="n">
        <v>1658880</v>
      </c>
      <c r="T7" s="265" t="n">
        <v>803520</v>
      </c>
      <c r="U7" s="265" t="n">
        <v>803520</v>
      </c>
      <c r="V7" s="265" t="n">
        <v>984960</v>
      </c>
      <c r="W7" s="312" t="n">
        <v>1368576</v>
      </c>
      <c r="X7" s="312" t="n">
        <v>1368576</v>
      </c>
      <c r="Y7" s="312" t="n">
        <v>1539648</v>
      </c>
      <c r="Z7" s="168">
        <f>+B7/N7</f>
        <v/>
      </c>
      <c r="AA7" s="168">
        <f>+C7/O7</f>
        <v/>
      </c>
      <c r="AB7" s="168">
        <f>(+D7-P7)/ABS(P7)</f>
        <v/>
      </c>
      <c r="AC7" s="168">
        <f>+E7/Q7</f>
        <v/>
      </c>
      <c r="AD7" s="168">
        <f>+F7/R7</f>
        <v/>
      </c>
      <c r="AE7" s="168">
        <f>+G7/S7</f>
        <v/>
      </c>
      <c r="AF7" s="168">
        <f>+H7/T7</f>
        <v/>
      </c>
      <c r="AG7" s="168">
        <f>+I7/U7</f>
        <v/>
      </c>
      <c r="AH7" s="168">
        <f>+J7/V7</f>
        <v/>
      </c>
      <c r="AI7" s="168">
        <f>+K7/W7</f>
        <v/>
      </c>
      <c r="AJ7" s="168">
        <f>+L7/X7</f>
        <v/>
      </c>
      <c r="AK7" s="317">
        <f>AP7</f>
        <v/>
      </c>
      <c r="AL7" s="39">
        <f>ROUND(#REF!/AK7,4)-1</f>
        <v/>
      </c>
      <c r="AM7" s="255" t="n"/>
      <c r="AN7" s="294" t="n">
        <v>8000000</v>
      </c>
      <c r="AO7" s="295" t="n"/>
      <c r="AP7" s="314" t="n">
        <v>2274146</v>
      </c>
      <c r="AQ7" s="25">
        <f>ROUND((#REF!-AP7)/ABS(AP7),2)</f>
        <v/>
      </c>
      <c r="AR7" s="315">
        <f>SUM(AN7+AP7)/2</f>
        <v/>
      </c>
      <c r="AS7" s="27">
        <f>ROUND((#REF!-AR7)/ABS(AR7),2)</f>
        <v/>
      </c>
    </row>
    <row r="8" ht="21" customHeight="1" s="261" thickBot="1">
      <c r="A8" s="319" t="inlineStr">
        <is>
          <t xml:space="preserve">     Internal Revenue</t>
        </is>
      </c>
      <c r="B8" s="320" t="n"/>
      <c r="C8" s="320" t="n"/>
      <c r="D8" s="320" t="n"/>
      <c r="E8" s="320" t="n"/>
      <c r="F8" s="320" t="n"/>
      <c r="G8" s="320" t="n"/>
      <c r="H8" s="320" t="n"/>
      <c r="I8" s="320" t="n"/>
      <c r="J8" s="320" t="n"/>
      <c r="K8" s="320" t="n"/>
      <c r="L8" s="320" t="n"/>
      <c r="M8" s="320" t="n"/>
      <c r="N8" s="321" t="n"/>
      <c r="O8" s="321" t="n"/>
      <c r="P8" s="321" t="n"/>
      <c r="Q8" s="322" t="n"/>
      <c r="R8" s="322" t="n"/>
      <c r="S8" s="322" t="n"/>
      <c r="T8" s="323" t="n"/>
      <c r="U8" s="323" t="n"/>
      <c r="V8" s="323" t="n"/>
      <c r="W8" s="324" t="n"/>
      <c r="X8" s="324" t="n"/>
      <c r="Y8" s="324" t="n"/>
      <c r="Z8" s="179">
        <f>+B8/N8</f>
        <v/>
      </c>
      <c r="AA8" s="179" t="n"/>
      <c r="AB8" s="179">
        <f>+D8/P8</f>
        <v/>
      </c>
      <c r="AC8" s="179">
        <f>+E8/Q8</f>
        <v/>
      </c>
      <c r="AD8" s="179">
        <f>+F8/R8</f>
        <v/>
      </c>
      <c r="AE8" s="179" t="n"/>
      <c r="AF8" s="179" t="n"/>
      <c r="AG8" s="179" t="n"/>
      <c r="AH8" s="179">
        <f>+J8/V8</f>
        <v/>
      </c>
      <c r="AI8" s="179">
        <f>+K8/W8</f>
        <v/>
      </c>
      <c r="AJ8" s="179">
        <f>+L8/X8</f>
        <v/>
      </c>
      <c r="AK8" s="325">
        <f>AP8</f>
        <v/>
      </c>
      <c r="AL8" s="49">
        <f>ROUND(#REF!/AK8,4)-1</f>
        <v/>
      </c>
      <c r="AM8" s="255" t="n"/>
      <c r="AN8" s="307" t="n"/>
      <c r="AO8" s="295" t="n"/>
      <c r="AP8" s="308" t="n"/>
      <c r="AQ8" s="32">
        <f>ROUND((#REF!-AP8)/ABS(AP8),2)</f>
        <v/>
      </c>
      <c r="AR8" s="309">
        <f>SUM(AN8+AP8)/2</f>
        <v/>
      </c>
      <c r="AS8" s="34">
        <f>ROUND((#REF!-AR8)/ABS(AR8),2)</f>
        <v/>
      </c>
    </row>
    <row r="9" ht="18.75" customHeight="1" s="261" thickBot="1" thickTop="1">
      <c r="A9" s="326" t="inlineStr">
        <is>
          <t>Cost Total</t>
        </is>
      </c>
      <c r="B9" s="327">
        <f>B10+#REF!</f>
        <v/>
      </c>
      <c r="C9" s="327">
        <f>C10+#REF!</f>
        <v/>
      </c>
      <c r="D9" s="327">
        <f>D10+#REF!</f>
        <v/>
      </c>
      <c r="E9" s="327">
        <f>E10+#REF!</f>
        <v/>
      </c>
      <c r="F9" s="327">
        <f>F10+#REF!</f>
        <v/>
      </c>
      <c r="G9" s="327">
        <f>G10+#REF!</f>
        <v/>
      </c>
      <c r="H9" s="327">
        <f>H10+#REF!</f>
        <v/>
      </c>
      <c r="I9" s="327">
        <f>I10+#REF!</f>
        <v/>
      </c>
      <c r="J9" s="327">
        <f>J10+#REF!</f>
        <v/>
      </c>
      <c r="K9" s="327">
        <f>K10+#REF!</f>
        <v/>
      </c>
      <c r="L9" s="327">
        <f>L10+#REF!</f>
        <v/>
      </c>
      <c r="M9" s="327">
        <f>M10+#REF!</f>
        <v/>
      </c>
      <c r="N9" s="328">
        <f>N10+#REF!</f>
        <v/>
      </c>
      <c r="O9" s="328">
        <f>O10+#REF!</f>
        <v/>
      </c>
      <c r="P9" s="328">
        <f>P10+#REF!</f>
        <v/>
      </c>
      <c r="Q9" s="329">
        <f>Q10+#REF!</f>
        <v/>
      </c>
      <c r="R9" s="329">
        <f>R10+#REF!</f>
        <v/>
      </c>
      <c r="S9" s="329">
        <f>S10+#REF!</f>
        <v/>
      </c>
      <c r="T9" s="330">
        <f>T10+#REF!</f>
        <v/>
      </c>
      <c r="U9" s="330">
        <f>U10+#REF!</f>
        <v/>
      </c>
      <c r="V9" s="330">
        <f>V10+#REF!</f>
        <v/>
      </c>
      <c r="W9" s="331">
        <f>W10+#REF!</f>
        <v/>
      </c>
      <c r="X9" s="331">
        <f>X10+#REF!</f>
        <v/>
      </c>
      <c r="Y9" s="331">
        <f>Y10+#REF!</f>
        <v/>
      </c>
      <c r="Z9" s="186">
        <f>+B9/N9</f>
        <v/>
      </c>
      <c r="AA9" s="186">
        <f>+C9/O9</f>
        <v/>
      </c>
      <c r="AB9" s="186">
        <f>+D9/P9</f>
        <v/>
      </c>
      <c r="AC9" s="186">
        <f>+E9/Q9</f>
        <v/>
      </c>
      <c r="AD9" s="186">
        <f>+F9/R9</f>
        <v/>
      </c>
      <c r="AE9" s="186">
        <f>+G9/S9</f>
        <v/>
      </c>
      <c r="AF9" s="186">
        <f>+H9/T9</f>
        <v/>
      </c>
      <c r="AG9" s="186">
        <f>+I9/U9</f>
        <v/>
      </c>
      <c r="AH9" s="186">
        <f>+J9/V9</f>
        <v/>
      </c>
      <c r="AI9" s="186">
        <f>+K9/W9</f>
        <v/>
      </c>
      <c r="AJ9" s="186">
        <f>+L9/X9</f>
        <v/>
      </c>
      <c r="AK9" s="292">
        <f>AK10+#REF!</f>
        <v/>
      </c>
      <c r="AL9" s="21">
        <f>ROUND(#REF!/AK9,4)-1</f>
        <v/>
      </c>
      <c r="AM9" s="255" t="n"/>
      <c r="AN9" s="294">
        <f>AN10+#REF!</f>
        <v/>
      </c>
      <c r="AO9" s="295" t="n"/>
      <c r="AP9" s="308">
        <f>AP10+#REF!</f>
        <v/>
      </c>
      <c r="AQ9" s="32">
        <f>ROUND((#REF!-AP9)/ABS(AP9),2)</f>
        <v/>
      </c>
      <c r="AR9" s="309">
        <f>AR10+#REF!</f>
        <v/>
      </c>
      <c r="AS9" s="34">
        <f>ROUND((#REF!-AR9)/ABS(AR9),2)</f>
        <v/>
      </c>
    </row>
    <row r="10" ht="17.5" customHeight="1" s="261" thickTop="1">
      <c r="A10" s="332" t="inlineStr">
        <is>
          <t xml:space="preserve">     External Cost </t>
        </is>
      </c>
      <c r="B10" s="333">
        <f>SUM(B11:B13)</f>
        <v/>
      </c>
      <c r="C10" s="333">
        <f>SUM(C11:C13)</f>
        <v/>
      </c>
      <c r="D10" s="333">
        <f>SUM(D11:D13)</f>
        <v/>
      </c>
      <c r="E10" s="333">
        <f>SUM(E11:E13)</f>
        <v/>
      </c>
      <c r="F10" s="333">
        <f>SUM(F11:F13)</f>
        <v/>
      </c>
      <c r="G10" s="333">
        <f>SUM(G11:G13)</f>
        <v/>
      </c>
      <c r="H10" s="333">
        <f>SUM(H11:H13)</f>
        <v/>
      </c>
      <c r="I10" s="333">
        <f>SUM(I11:I13)</f>
        <v/>
      </c>
      <c r="J10" s="333">
        <f>SUM(J11:J13)</f>
        <v/>
      </c>
      <c r="K10" s="333">
        <f>SUM(K11:K13)</f>
        <v/>
      </c>
      <c r="L10" s="333">
        <f>SUM(L11:L13)</f>
        <v/>
      </c>
      <c r="M10" s="333">
        <f>SUM(M11:M13)</f>
        <v/>
      </c>
      <c r="N10" s="334">
        <f>SUM(N11:N13)</f>
        <v/>
      </c>
      <c r="O10" s="334">
        <f>SUM(O11:O13)</f>
        <v/>
      </c>
      <c r="P10" s="334">
        <f>SUM(P11:P13)</f>
        <v/>
      </c>
      <c r="Q10" s="335">
        <f>SUM(Q11:Q13)</f>
        <v/>
      </c>
      <c r="R10" s="335">
        <f>SUM(R11:R13)</f>
        <v/>
      </c>
      <c r="S10" s="335">
        <f>SUM(S11:S13)</f>
        <v/>
      </c>
      <c r="T10" s="336">
        <f>SUM(T11:T13)</f>
        <v/>
      </c>
      <c r="U10" s="336">
        <f>SUM(U11:U13)</f>
        <v/>
      </c>
      <c r="V10" s="336">
        <f>SUM(V11:V13)</f>
        <v/>
      </c>
      <c r="W10" s="337">
        <f>SUM(W11:W13)</f>
        <v/>
      </c>
      <c r="X10" s="337">
        <f>SUM(X11:X13)</f>
        <v/>
      </c>
      <c r="Y10" s="337">
        <f>SUM(Y11:Y13)</f>
        <v/>
      </c>
      <c r="Z10" s="163">
        <f>+B10/N10</f>
        <v/>
      </c>
      <c r="AA10" s="163">
        <f>+C10/O10</f>
        <v/>
      </c>
      <c r="AB10" s="163">
        <f>+D10/P10</f>
        <v/>
      </c>
      <c r="AC10" s="163">
        <f>+E10/Q10</f>
        <v/>
      </c>
      <c r="AD10" s="163">
        <f>+F10/R10</f>
        <v/>
      </c>
      <c r="AE10" s="163">
        <f>+G10/S10</f>
        <v/>
      </c>
      <c r="AF10" s="163">
        <f>+H10/T10</f>
        <v/>
      </c>
      <c r="AG10" s="163">
        <f>+I10/U10</f>
        <v/>
      </c>
      <c r="AH10" s="163">
        <f>+J10/V10</f>
        <v/>
      </c>
      <c r="AI10" s="163">
        <f>+K10/W10</f>
        <v/>
      </c>
      <c r="AJ10" s="163">
        <f>+L10/X10</f>
        <v/>
      </c>
      <c r="AK10" s="306">
        <f>SUM(AK11:AK13)</f>
        <v/>
      </c>
      <c r="AL10" s="29">
        <f>ROUND(#REF!/AK10,4)-1</f>
        <v/>
      </c>
      <c r="AM10" s="255" t="n"/>
      <c r="AN10" s="307">
        <f>SUM(AN11:AN13)</f>
        <v/>
      </c>
      <c r="AO10" s="295" t="n"/>
      <c r="AP10" s="308">
        <f>SUM(AP11:AP13)</f>
        <v/>
      </c>
      <c r="AQ10" s="32">
        <f>ROUND((#REF!-AP10)/ABS(AP10),2)</f>
        <v/>
      </c>
      <c r="AR10" s="309">
        <f>SUM(AR11:AR13)</f>
        <v/>
      </c>
      <c r="AS10" s="34">
        <f>ROUND((#REF!-AR10)/ABS(AR10),2)</f>
        <v/>
      </c>
      <c r="AT10" s="255" t="n"/>
      <c r="AU10" s="310" t="n"/>
      <c r="AV10" s="310" t="n"/>
      <c r="AW10" s="310" t="n"/>
      <c r="AX10" s="310" t="n"/>
    </row>
    <row r="11">
      <c r="A11" s="338">
        <f>A5</f>
        <v/>
      </c>
      <c r="B11" s="311" t="n">
        <v>1904224</v>
      </c>
      <c r="C11" s="253">
        <f>2911220+245482+55399</f>
        <v/>
      </c>
      <c r="D11" s="253">
        <f>1633950+12371+56443+30000</f>
        <v/>
      </c>
      <c r="E11" s="339">
        <f>1545368+4390+38907+2000+75172</f>
        <v/>
      </c>
      <c r="F11" s="253">
        <f>1380737+7400+15065+7000</f>
        <v/>
      </c>
      <c r="G11" s="253">
        <f>2149096+6418+28735</f>
        <v/>
      </c>
      <c r="H11" s="340">
        <f>1898976-9801+18572-208283</f>
        <v/>
      </c>
      <c r="I11" s="253">
        <f>2030761+133905+36550</f>
        <v/>
      </c>
      <c r="J11" s="253">
        <f>4043340+235445+135594</f>
        <v/>
      </c>
      <c r="K11" s="253">
        <f>1757725+1036+133451+67400</f>
        <v/>
      </c>
      <c r="L11" s="253">
        <f>1211893-24689-1138+130100</f>
        <v/>
      </c>
      <c r="M11" s="340">
        <f>697119+28991+107694</f>
        <v/>
      </c>
      <c r="N11" s="263" t="n">
        <v>2600000</v>
      </c>
      <c r="O11" s="263" t="n">
        <v>3720000</v>
      </c>
      <c r="P11" s="263" t="n">
        <v>3100000</v>
      </c>
      <c r="Q11" s="264" t="n">
        <v>2790000</v>
      </c>
      <c r="R11" s="264" t="n">
        <v>2170000</v>
      </c>
      <c r="S11" s="264" t="n">
        <v>2584000</v>
      </c>
      <c r="T11" s="265" t="n">
        <v>2680000</v>
      </c>
      <c r="U11" s="265" t="n">
        <v>3520000</v>
      </c>
      <c r="V11" s="265" t="n">
        <v>9280000</v>
      </c>
      <c r="W11" s="312" t="n">
        <v>2480000</v>
      </c>
      <c r="X11" s="312" t="n">
        <v>2170000</v>
      </c>
      <c r="Y11" s="312" t="n">
        <v>2790000</v>
      </c>
      <c r="Z11" s="168">
        <f>+B11/N11</f>
        <v/>
      </c>
      <c r="AA11" s="168">
        <f>+C11/O11</f>
        <v/>
      </c>
      <c r="AB11" s="168">
        <f>+D11/P11</f>
        <v/>
      </c>
      <c r="AC11" s="168">
        <f>+E11/Q11</f>
        <v/>
      </c>
      <c r="AD11" s="168">
        <f>+F11/R11</f>
        <v/>
      </c>
      <c r="AE11" s="168">
        <f>+G11/S11</f>
        <v/>
      </c>
      <c r="AF11" s="168">
        <f>+H11/T11</f>
        <v/>
      </c>
      <c r="AG11" s="168">
        <f>+I11/U11</f>
        <v/>
      </c>
      <c r="AH11" s="168">
        <f>+J11/V11</f>
        <v/>
      </c>
      <c r="AI11" s="168">
        <f>+K11/W11</f>
        <v/>
      </c>
      <c r="AJ11" s="168">
        <f>+L11/X11</f>
        <v/>
      </c>
      <c r="AK11" s="313">
        <f>AP11</f>
        <v/>
      </c>
      <c r="AL11" s="39">
        <f>ROUND(#REF!/AK11,4)-1</f>
        <v/>
      </c>
      <c r="AM11" s="255" t="n"/>
      <c r="AN11" s="294" t="n">
        <v>42257860</v>
      </c>
      <c r="AO11" s="295" t="n"/>
      <c r="AP11" s="314">
        <f>27826196+1694027</f>
        <v/>
      </c>
      <c r="AQ11" s="25">
        <f>ROUND((#REF!-AP11)/ABS(AP11),2)</f>
        <v/>
      </c>
      <c r="AR11" s="315">
        <f>SUM(AN11+AP11)/2</f>
        <v/>
      </c>
      <c r="AS11" s="27">
        <f>ROUND((#REF!-AR11)/ABS(AR11),2)</f>
        <v/>
      </c>
    </row>
    <row r="12">
      <c r="A12" s="341">
        <f>A6</f>
        <v/>
      </c>
      <c r="B12" s="342" t="n">
        <v>42285</v>
      </c>
      <c r="C12" s="253" t="n">
        <v>6608</v>
      </c>
      <c r="D12" s="253" t="n">
        <v>97142</v>
      </c>
      <c r="E12" s="253">
        <f>0</f>
        <v/>
      </c>
      <c r="F12" s="253" t="n">
        <v>227908</v>
      </c>
      <c r="G12" s="253" t="n">
        <v>0</v>
      </c>
      <c r="H12" s="253">
        <f>53333+94857</f>
        <v/>
      </c>
      <c r="I12" s="253">
        <f>24381</f>
        <v/>
      </c>
      <c r="J12" s="253" t="n">
        <v>65335</v>
      </c>
      <c r="K12" s="253" t="n">
        <v>0</v>
      </c>
      <c r="L12" s="253" t="n">
        <v>0</v>
      </c>
      <c r="M12" s="253" t="n">
        <v>0</v>
      </c>
      <c r="N12" s="263" t="n">
        <v>156000</v>
      </c>
      <c r="O12" s="263" t="n">
        <v>156000</v>
      </c>
      <c r="P12" s="263" t="n">
        <v>364000</v>
      </c>
      <c r="Q12" s="264" t="n">
        <v>260000</v>
      </c>
      <c r="R12" s="264" t="n">
        <v>364000</v>
      </c>
      <c r="S12" s="264" t="n">
        <v>416000</v>
      </c>
      <c r="T12" s="265" t="n">
        <v>312000</v>
      </c>
      <c r="U12" s="265" t="n">
        <v>312000</v>
      </c>
      <c r="V12" s="265" t="n">
        <v>468000</v>
      </c>
      <c r="W12" s="312" t="n">
        <v>364000</v>
      </c>
      <c r="X12" s="312" t="n">
        <v>312000</v>
      </c>
      <c r="Y12" s="312" t="n">
        <v>312000</v>
      </c>
      <c r="Z12" s="168">
        <f>+B12/N12</f>
        <v/>
      </c>
      <c r="AA12" s="168">
        <f>+C12/O12</f>
        <v/>
      </c>
      <c r="AB12" s="168">
        <f>+D12/P12</f>
        <v/>
      </c>
      <c r="AC12" s="168">
        <f>+E12/Q12</f>
        <v/>
      </c>
      <c r="AD12" s="168">
        <f>+F12/R12</f>
        <v/>
      </c>
      <c r="AE12" s="168">
        <f>+G12/S12</f>
        <v/>
      </c>
      <c r="AF12" s="168">
        <f>+H12/T12</f>
        <v/>
      </c>
      <c r="AG12" s="168">
        <f>+I12/U12</f>
        <v/>
      </c>
      <c r="AH12" s="168">
        <f>+J12/V12</f>
        <v/>
      </c>
      <c r="AI12" s="168">
        <f>+K12/W12</f>
        <v/>
      </c>
      <c r="AJ12" s="168">
        <f>+L12/X12</f>
        <v/>
      </c>
      <c r="AK12" s="343">
        <f>AP12</f>
        <v/>
      </c>
      <c r="AL12" s="39">
        <f>ROUND(#REF!/AK12,4)-1</f>
        <v/>
      </c>
      <c r="AM12" s="255" t="n"/>
      <c r="AN12" s="294" t="n">
        <v>10135140</v>
      </c>
      <c r="AO12" s="295" t="n"/>
      <c r="AP12" s="314" t="n">
        <v>3018417</v>
      </c>
      <c r="AQ12" s="25">
        <f>ROUND((#REF!-AP12)/ABS(AP12),2)</f>
        <v/>
      </c>
      <c r="AR12" s="315">
        <f>SUM(AN12+AP12)/2</f>
        <v/>
      </c>
      <c r="AS12" s="46">
        <f>ROUND((#REF!-AR12)/ABS(AR12),2)</f>
        <v/>
      </c>
    </row>
    <row r="13">
      <c r="A13" s="341">
        <f>A7</f>
        <v/>
      </c>
      <c r="B13" s="344" t="n"/>
      <c r="C13" s="253" t="n">
        <v>29099</v>
      </c>
      <c r="D13" s="253">
        <f>-715+27238</f>
        <v/>
      </c>
      <c r="E13" s="253">
        <f>152453+96770</f>
        <v/>
      </c>
      <c r="F13" s="253">
        <f>61624+19179</f>
        <v/>
      </c>
      <c r="G13" s="253" t="n">
        <v>186167</v>
      </c>
      <c r="H13" s="253">
        <f>87759+163948</f>
        <v/>
      </c>
      <c r="I13" s="253">
        <f>122835+49037</f>
        <v/>
      </c>
      <c r="J13" s="253">
        <f>45124+163964</f>
        <v/>
      </c>
      <c r="K13" s="253">
        <f>235453+93793</f>
        <v/>
      </c>
      <c r="L13" s="253">
        <f>96420+5312</f>
        <v/>
      </c>
      <c r="M13" s="253">
        <f>248345+3717</f>
        <v/>
      </c>
      <c r="N13" s="263" t="n">
        <v>875966.4</v>
      </c>
      <c r="O13" s="263" t="n">
        <v>291988.8</v>
      </c>
      <c r="P13" s="263" t="n">
        <v>290822.4</v>
      </c>
      <c r="Q13" s="264" t="n">
        <v>933120</v>
      </c>
      <c r="R13" s="264" t="n">
        <v>933120</v>
      </c>
      <c r="S13" s="264" t="n">
        <v>1244160</v>
      </c>
      <c r="T13" s="265" t="n">
        <v>603443.52</v>
      </c>
      <c r="U13" s="265" t="n">
        <v>602640</v>
      </c>
      <c r="V13" s="265" t="n">
        <v>736884.08</v>
      </c>
      <c r="W13" s="312" t="n">
        <v>1026432</v>
      </c>
      <c r="X13" s="312" t="n">
        <v>1025063.424</v>
      </c>
      <c r="Y13" s="312" t="n">
        <v>1156275.648</v>
      </c>
      <c r="Z13" s="168">
        <f>+B13/N13</f>
        <v/>
      </c>
      <c r="AA13" s="168">
        <f>+C13/O13</f>
        <v/>
      </c>
      <c r="AB13" s="168">
        <f>(+D13-P13)/ABS(P13)</f>
        <v/>
      </c>
      <c r="AC13" s="168">
        <f>+E13/Q13</f>
        <v/>
      </c>
      <c r="AD13" s="168">
        <f>+F13/R13</f>
        <v/>
      </c>
      <c r="AE13" s="168">
        <f>+G13/S13</f>
        <v/>
      </c>
      <c r="AF13" s="168">
        <f>+H13/T13</f>
        <v/>
      </c>
      <c r="AG13" s="168">
        <f>+I13/U13</f>
        <v/>
      </c>
      <c r="AH13" s="168">
        <f>+J13/V13</f>
        <v/>
      </c>
      <c r="AI13" s="168">
        <f>+K13/W13</f>
        <v/>
      </c>
      <c r="AJ13" s="168">
        <f>+L13/X13</f>
        <v/>
      </c>
      <c r="AK13" s="343">
        <f>AP13</f>
        <v/>
      </c>
      <c r="AL13" s="39">
        <f>ROUND(#REF!/AK13,4)-1</f>
        <v/>
      </c>
      <c r="AM13" s="255" t="n"/>
      <c r="AN13" s="294" t="n">
        <v>4400000</v>
      </c>
      <c r="AO13" s="295" t="n"/>
      <c r="AP13" s="314" t="n">
        <v>1812072</v>
      </c>
      <c r="AQ13" s="25">
        <f>ROUND((#REF!-AP13)/ABS(AP13),2)</f>
        <v/>
      </c>
      <c r="AR13" s="315">
        <f>SUM(AN13+AP13)/2</f>
        <v/>
      </c>
      <c r="AS13" s="27">
        <f>ROUND((#REF!-AR13)/ABS(AR13),2)</f>
        <v/>
      </c>
    </row>
    <row r="14" ht="20.25" customHeight="1" s="261">
      <c r="A14" s="345" t="inlineStr">
        <is>
          <t xml:space="preserve">     External Margin</t>
        </is>
      </c>
      <c r="B14" s="346">
        <f>SUM(B15:B28)</f>
        <v/>
      </c>
      <c r="C14" s="346">
        <f>SUM(C15:C28)</f>
        <v/>
      </c>
      <c r="D14" s="346">
        <f>SUM(D15:D28)</f>
        <v/>
      </c>
      <c r="E14" s="346">
        <f>SUM(E15:E28)</f>
        <v/>
      </c>
      <c r="F14" s="346">
        <f>SUM(F15:F28)</f>
        <v/>
      </c>
      <c r="G14" s="346">
        <f>SUM(G15:G28)</f>
        <v/>
      </c>
      <c r="H14" s="346">
        <f>SUM(H15:H28)</f>
        <v/>
      </c>
      <c r="I14" s="346">
        <f>SUM(I15:I21)</f>
        <v/>
      </c>
      <c r="J14" s="346">
        <f>SUM(J15:J28)</f>
        <v/>
      </c>
      <c r="K14" s="346">
        <f>SUM(K15:K28)</f>
        <v/>
      </c>
      <c r="L14" s="346">
        <f>SUM(L15:L28)</f>
        <v/>
      </c>
      <c r="M14" s="346">
        <f>SUM(M15:M28)</f>
        <v/>
      </c>
      <c r="N14" s="347">
        <f>SUM(N15:N28)</f>
        <v/>
      </c>
      <c r="O14" s="347">
        <f>SUM(O15:O28)</f>
        <v/>
      </c>
      <c r="P14" s="347">
        <f>SUM(P15:P28)</f>
        <v/>
      </c>
      <c r="Q14" s="348">
        <f>SUM(Q15:Q28)</f>
        <v/>
      </c>
      <c r="R14" s="348">
        <f>SUM(R15:R28)</f>
        <v/>
      </c>
      <c r="S14" s="348">
        <f>SUM(S15:S28)</f>
        <v/>
      </c>
      <c r="T14" s="349">
        <f>SUM(T15:T28)</f>
        <v/>
      </c>
      <c r="U14" s="349">
        <f>SUM(U15:U28)</f>
        <v/>
      </c>
      <c r="V14" s="349">
        <f>SUM(V15:V28)</f>
        <v/>
      </c>
      <c r="W14" s="350">
        <f>SUM(W15:W28)</f>
        <v/>
      </c>
      <c r="X14" s="350">
        <f>SUM(X15:X28)</f>
        <v/>
      </c>
      <c r="Y14" s="350">
        <f>SUM(Y15:Y28)</f>
        <v/>
      </c>
      <c r="Z14" s="196">
        <f>+B14/N14</f>
        <v/>
      </c>
      <c r="AA14" s="196">
        <f>+C14/O14</f>
        <v/>
      </c>
      <c r="AB14" s="196">
        <f>+D14/P14</f>
        <v/>
      </c>
      <c r="AC14" s="196">
        <f>+E14/Q14</f>
        <v/>
      </c>
      <c r="AD14" s="196">
        <f>+F14/R14</f>
        <v/>
      </c>
      <c r="AE14" s="196">
        <f>+G14/S14</f>
        <v/>
      </c>
      <c r="AF14" s="196">
        <f>+H14/T14</f>
        <v/>
      </c>
      <c r="AG14" s="196">
        <f>+I14/U14</f>
        <v/>
      </c>
      <c r="AH14" s="196">
        <f>+J14/V14</f>
        <v/>
      </c>
      <c r="AI14" s="196">
        <f>+K14/W14</f>
        <v/>
      </c>
      <c r="AJ14" s="196">
        <f>+L14/X14</f>
        <v/>
      </c>
      <c r="AK14" s="306">
        <f>AK4-AK10</f>
        <v/>
      </c>
      <c r="AL14" s="29">
        <f>ROUND(#REF!/AK14,4)-1</f>
        <v/>
      </c>
      <c r="AM14" s="255" t="n"/>
      <c r="AN14" s="307">
        <f>AN4-AN10</f>
        <v/>
      </c>
      <c r="AO14" s="295" t="n"/>
      <c r="AP14" s="351">
        <f>SUM(AP15:AP28)</f>
        <v/>
      </c>
      <c r="AQ14" s="32">
        <f>ROUND((#REF!-AP14)/ABS(AP14),2)</f>
        <v/>
      </c>
      <c r="AR14" s="352">
        <f>SUM(AR15:AR28)</f>
        <v/>
      </c>
      <c r="AS14" s="34">
        <f>ROUND((#REF!-AR14)/ABS(AR14),2)</f>
        <v/>
      </c>
      <c r="AT14" s="255" t="n"/>
      <c r="AU14" s="310" t="n"/>
      <c r="AV14" s="310" t="n"/>
      <c r="AW14" s="310" t="n"/>
      <c r="AX14" s="310" t="n"/>
    </row>
    <row r="15">
      <c r="A15" s="353">
        <f>A5</f>
        <v/>
      </c>
      <c r="B15" s="253">
        <f>+B5-B11</f>
        <v/>
      </c>
      <c r="C15" s="253">
        <f>+C5-C11</f>
        <v/>
      </c>
      <c r="D15" s="253">
        <f>+D5-D11</f>
        <v/>
      </c>
      <c r="E15" s="253">
        <f>+E5-E11</f>
        <v/>
      </c>
      <c r="F15" s="253">
        <f>+F5-F11</f>
        <v/>
      </c>
      <c r="G15" s="253">
        <f>+G5-G11</f>
        <v/>
      </c>
      <c r="H15" s="253">
        <f>+H5-H11</f>
        <v/>
      </c>
      <c r="I15" s="253">
        <f>+I5-I11</f>
        <v/>
      </c>
      <c r="J15" s="253">
        <f>+J5-J11</f>
        <v/>
      </c>
      <c r="K15" s="253">
        <f>+K5-K11</f>
        <v/>
      </c>
      <c r="L15" s="253">
        <f>+L5-L11</f>
        <v/>
      </c>
      <c r="M15" s="253">
        <f>+M5-M11</f>
        <v/>
      </c>
      <c r="N15" s="354">
        <f>+N5-N11</f>
        <v/>
      </c>
      <c r="O15" s="354">
        <f>+O5-O11</f>
        <v/>
      </c>
      <c r="P15" s="354">
        <f>+P5-P11</f>
        <v/>
      </c>
      <c r="Q15" s="355">
        <f>+Q5-Q11</f>
        <v/>
      </c>
      <c r="R15" s="355">
        <f>+R5-R11</f>
        <v/>
      </c>
      <c r="S15" s="355">
        <f>+S5-S11</f>
        <v/>
      </c>
      <c r="T15" s="356">
        <f>+T5-T11</f>
        <v/>
      </c>
      <c r="U15" s="356">
        <f>+U5-U11</f>
        <v/>
      </c>
      <c r="V15" s="356">
        <f>+V5-V11</f>
        <v/>
      </c>
      <c r="W15" s="357">
        <f>+W5-W11</f>
        <v/>
      </c>
      <c r="X15" s="357">
        <f>+X5-X11</f>
        <v/>
      </c>
      <c r="Y15" s="357">
        <f>+Y5-Y11</f>
        <v/>
      </c>
      <c r="Z15" s="168">
        <f>+B15/N15</f>
        <v/>
      </c>
      <c r="AA15" s="168">
        <f>+C15/O15</f>
        <v/>
      </c>
      <c r="AB15" s="168">
        <f>+D15/P15</f>
        <v/>
      </c>
      <c r="AC15" s="168">
        <f>+E15/Q15</f>
        <v/>
      </c>
      <c r="AD15" s="168">
        <f>+F15/R15</f>
        <v/>
      </c>
      <c r="AE15" s="168">
        <f>+G15/S15</f>
        <v/>
      </c>
      <c r="AF15" s="168">
        <f>+H15/T15</f>
        <v/>
      </c>
      <c r="AG15" s="168">
        <f>+I15/U15</f>
        <v/>
      </c>
      <c r="AH15" s="168">
        <f>+J15/V15</f>
        <v/>
      </c>
      <c r="AI15" s="168">
        <f>+K15/W15</f>
        <v/>
      </c>
      <c r="AJ15" s="168">
        <f>+L15/X15</f>
        <v/>
      </c>
      <c r="AK15" s="313">
        <f>AK5-AK11</f>
        <v/>
      </c>
      <c r="AL15" s="39">
        <f>ROUND(#REF!/AK15,4)-1</f>
        <v/>
      </c>
      <c r="AM15" s="255" t="n"/>
      <c r="AN15" s="294">
        <f>AN5-AN11</f>
        <v/>
      </c>
      <c r="AO15" s="295" t="n"/>
      <c r="AP15" s="314">
        <f>AP5-AP11</f>
        <v/>
      </c>
      <c r="AQ15" s="25">
        <f>ROUND((#REF!-AP15)/ABS(AP15),2)</f>
        <v/>
      </c>
      <c r="AR15" s="315">
        <f>AR5-AR11</f>
        <v/>
      </c>
      <c r="AS15" s="27">
        <f>ROUND((#REF!-AR15)/ABS(AR15),2)</f>
        <v/>
      </c>
    </row>
    <row r="16">
      <c r="A16" s="353">
        <f>A6</f>
        <v/>
      </c>
      <c r="B16" s="253">
        <f>+B6-B12</f>
        <v/>
      </c>
      <c r="C16" s="253">
        <f>+C6-C12</f>
        <v/>
      </c>
      <c r="D16" s="253">
        <f>+D6-D12</f>
        <v/>
      </c>
      <c r="E16" s="253">
        <f>+E6-E12</f>
        <v/>
      </c>
      <c r="F16" s="253">
        <f>+F6-F12</f>
        <v/>
      </c>
      <c r="G16" s="253">
        <f>+G6-G12</f>
        <v/>
      </c>
      <c r="H16" s="253">
        <f>+H6-H12</f>
        <v/>
      </c>
      <c r="I16" s="253">
        <f>+I6-I12</f>
        <v/>
      </c>
      <c r="J16" s="253">
        <f>+J6-J12</f>
        <v/>
      </c>
      <c r="K16" s="253">
        <f>+K6-K12</f>
        <v/>
      </c>
      <c r="L16" s="253">
        <f>+L6-L12</f>
        <v/>
      </c>
      <c r="M16" s="253">
        <f>+M6-M12</f>
        <v/>
      </c>
      <c r="N16" s="354">
        <f>+N6-N12</f>
        <v/>
      </c>
      <c r="O16" s="354">
        <f>+O6-O12</f>
        <v/>
      </c>
      <c r="P16" s="354">
        <f>+P6-P12</f>
        <v/>
      </c>
      <c r="Q16" s="355">
        <f>+Q6-Q12</f>
        <v/>
      </c>
      <c r="R16" s="355">
        <f>+R6-R12</f>
        <v/>
      </c>
      <c r="S16" s="355">
        <f>+S6-S12</f>
        <v/>
      </c>
      <c r="T16" s="356">
        <f>+T6-T12</f>
        <v/>
      </c>
      <c r="U16" s="356">
        <f>+U6-U12</f>
        <v/>
      </c>
      <c r="V16" s="356">
        <f>+V6-V12</f>
        <v/>
      </c>
      <c r="W16" s="357">
        <f>+W6-W12</f>
        <v/>
      </c>
      <c r="X16" s="357">
        <f>+X6-X12</f>
        <v/>
      </c>
      <c r="Y16" s="357">
        <f>+Y6-Y12</f>
        <v/>
      </c>
      <c r="Z16" s="168">
        <f>(+B16-N16)/ABS(N16)</f>
        <v/>
      </c>
      <c r="AA16" s="168">
        <f>+C16/O16</f>
        <v/>
      </c>
      <c r="AB16" s="168">
        <f>+D16/P16</f>
        <v/>
      </c>
      <c r="AC16" s="168">
        <f>+E16/Q16</f>
        <v/>
      </c>
      <c r="AD16" s="168">
        <f>+F16/R16</f>
        <v/>
      </c>
      <c r="AE16" s="168">
        <f>+G16/S16</f>
        <v/>
      </c>
      <c r="AF16" s="168">
        <f>+H16/T16</f>
        <v/>
      </c>
      <c r="AG16" s="168">
        <f>+I16/U16</f>
        <v/>
      </c>
      <c r="AH16" s="168">
        <f>+J16/V16</f>
        <v/>
      </c>
      <c r="AI16" s="168">
        <f>+K16/W16</f>
        <v/>
      </c>
      <c r="AJ16" s="168">
        <f>+L16/X16</f>
        <v/>
      </c>
      <c r="AK16" s="313">
        <f>AK6-AK12</f>
        <v/>
      </c>
      <c r="AL16" s="39">
        <f>ROUND(#REF!/AK16,4)-1</f>
        <v/>
      </c>
      <c r="AM16" s="255" t="n"/>
      <c r="AN16" s="294">
        <f>AN6-AN12</f>
        <v/>
      </c>
      <c r="AO16" s="295" t="n"/>
      <c r="AP16" s="314">
        <f>AP6-AP12</f>
        <v/>
      </c>
      <c r="AQ16" s="25">
        <f>ROUND((#REF!-AP16)/ABS(AP16),2)</f>
        <v/>
      </c>
      <c r="AR16" s="315">
        <f>AR6-AR12</f>
        <v/>
      </c>
      <c r="AS16" s="46">
        <f>ROUND((#REF!-AR16)/ABS(AR16),2)</f>
        <v/>
      </c>
    </row>
    <row r="17">
      <c r="A17" s="353">
        <f>A7</f>
        <v/>
      </c>
      <c r="B17" s="253">
        <f>+B7-B13</f>
        <v/>
      </c>
      <c r="C17" s="253">
        <f>+C7-C13</f>
        <v/>
      </c>
      <c r="D17" s="253">
        <f>+D7-D13</f>
        <v/>
      </c>
      <c r="E17" s="253">
        <f>+E7-E13</f>
        <v/>
      </c>
      <c r="F17" s="253">
        <f>+F7-F13</f>
        <v/>
      </c>
      <c r="G17" s="253">
        <f>+G7-G13</f>
        <v/>
      </c>
      <c r="H17" s="253">
        <f>+H7-H13</f>
        <v/>
      </c>
      <c r="I17" s="253">
        <f>+I7-I13</f>
        <v/>
      </c>
      <c r="J17" s="253">
        <f>+J7-J13</f>
        <v/>
      </c>
      <c r="K17" s="253">
        <f>+K7-K13</f>
        <v/>
      </c>
      <c r="L17" s="253">
        <f>+L7-L13</f>
        <v/>
      </c>
      <c r="M17" s="253">
        <f>+M7-M13</f>
        <v/>
      </c>
      <c r="N17" s="354">
        <f>+N7-N13</f>
        <v/>
      </c>
      <c r="O17" s="354">
        <f>+O7-O13</f>
        <v/>
      </c>
      <c r="P17" s="354">
        <f>+P7-P13</f>
        <v/>
      </c>
      <c r="Q17" s="355">
        <f>+Q7-Q13</f>
        <v/>
      </c>
      <c r="R17" s="355">
        <f>+R7-R13</f>
        <v/>
      </c>
      <c r="S17" s="355">
        <f>+S7-S13</f>
        <v/>
      </c>
      <c r="T17" s="356">
        <f>+T7-T13</f>
        <v/>
      </c>
      <c r="U17" s="356">
        <f>+U7-U13</f>
        <v/>
      </c>
      <c r="V17" s="356">
        <f>+V7-V13</f>
        <v/>
      </c>
      <c r="W17" s="357">
        <f>+W7-W13</f>
        <v/>
      </c>
      <c r="X17" s="357">
        <f>+X7-X13</f>
        <v/>
      </c>
      <c r="Y17" s="357">
        <f>+Y7-Y13</f>
        <v/>
      </c>
      <c r="Z17" s="168">
        <f>+B17/N17</f>
        <v/>
      </c>
      <c r="AA17" s="168">
        <f>+C17/O17</f>
        <v/>
      </c>
      <c r="AB17" s="168">
        <f>(+D17-P17)/ABS(P17)</f>
        <v/>
      </c>
      <c r="AC17" s="168">
        <f>+E17/Q17</f>
        <v/>
      </c>
      <c r="AD17" s="168">
        <f>+F17/R17</f>
        <v/>
      </c>
      <c r="AE17" s="168">
        <f>+G17/S17</f>
        <v/>
      </c>
      <c r="AF17" s="168">
        <f>+H17/T17</f>
        <v/>
      </c>
      <c r="AG17" s="168">
        <f>+I17/U17</f>
        <v/>
      </c>
      <c r="AH17" s="168">
        <f>(+J17-V17)/ABS(V17)</f>
        <v/>
      </c>
      <c r="AI17" s="168">
        <f>+K17/W17</f>
        <v/>
      </c>
      <c r="AJ17" s="168">
        <f>+L17/X17</f>
        <v/>
      </c>
      <c r="AK17" s="313">
        <f>AK7-AK13</f>
        <v/>
      </c>
      <c r="AL17" s="39">
        <f>ROUND(#REF!/AK17,4)-1</f>
        <v/>
      </c>
      <c r="AM17" s="255" t="n"/>
      <c r="AN17" s="294">
        <f>AN7-AN13</f>
        <v/>
      </c>
      <c r="AO17" s="295" t="n"/>
      <c r="AP17" s="314">
        <f>AP7-AP13</f>
        <v/>
      </c>
      <c r="AQ17" s="25">
        <f>ROUND((#REF!-AP17)/ABS(AP17),2)</f>
        <v/>
      </c>
      <c r="AR17" s="315">
        <f>AR7-AR13</f>
        <v/>
      </c>
      <c r="AS17" s="27">
        <f>ROUND((#REF!-AR17)/ABS(AR17),2)</f>
        <v/>
      </c>
    </row>
    <row r="18" hidden="1" s="261">
      <c r="A18" s="353" t="n"/>
      <c r="B18" s="253">
        <f>+#REF!-#REF!</f>
        <v/>
      </c>
      <c r="C18" s="253">
        <f>+#REF!-#REF!</f>
        <v/>
      </c>
      <c r="D18" s="253">
        <f>+#REF!-#REF!</f>
        <v/>
      </c>
      <c r="E18" s="253">
        <f>+#REF!-#REF!</f>
        <v/>
      </c>
      <c r="F18" s="253">
        <f>+#REF!-#REF!</f>
        <v/>
      </c>
      <c r="G18" s="253">
        <f>+#REF!-#REF!</f>
        <v/>
      </c>
      <c r="H18" s="253">
        <f>+#REF!-#REF!</f>
        <v/>
      </c>
      <c r="I18" s="253">
        <f>+#REF!-#REF!</f>
        <v/>
      </c>
      <c r="J18" s="253">
        <f>+#REF!-#REF!</f>
        <v/>
      </c>
      <c r="K18" s="253">
        <f>+#REF!-#REF!</f>
        <v/>
      </c>
      <c r="L18" s="253">
        <f>+#REF!-#REF!</f>
        <v/>
      </c>
      <c r="M18" s="253">
        <f>+#REF!-#REF!</f>
        <v/>
      </c>
      <c r="N18" s="253">
        <f>+#REF!-#REF!</f>
        <v/>
      </c>
      <c r="O18" s="354">
        <f>+#REF!-#REF!</f>
        <v/>
      </c>
      <c r="P18" s="354">
        <f>+#REF!-#REF!</f>
        <v/>
      </c>
      <c r="Q18" s="355">
        <f>+#REF!-#REF!</f>
        <v/>
      </c>
      <c r="R18" s="355">
        <f>+#REF!-#REF!</f>
        <v/>
      </c>
      <c r="S18" s="355">
        <f>+#REF!-#REF!</f>
        <v/>
      </c>
      <c r="T18" s="356">
        <f>+#REF!-#REF!</f>
        <v/>
      </c>
      <c r="U18" s="356">
        <f>+#REF!-#REF!</f>
        <v/>
      </c>
      <c r="V18" s="356">
        <f>+#REF!-#REF!</f>
        <v/>
      </c>
      <c r="W18" s="357">
        <f>+#REF!-#REF!</f>
        <v/>
      </c>
      <c r="X18" s="357">
        <f>+#REF!-#REF!</f>
        <v/>
      </c>
      <c r="Y18" s="357">
        <f>+#REF!-#REF!</f>
        <v/>
      </c>
      <c r="Z18" s="168">
        <f>+B18/N18</f>
        <v/>
      </c>
      <c r="AA18" s="168" t="n"/>
      <c r="AB18" s="168">
        <f>+D18/P18</f>
        <v/>
      </c>
      <c r="AC18" s="168">
        <f>+E18/Q18</f>
        <v/>
      </c>
      <c r="AD18" s="168">
        <f>+F18/R18</f>
        <v/>
      </c>
      <c r="AE18" s="168" t="n"/>
      <c r="AF18" s="168" t="n"/>
      <c r="AG18" s="168" t="n"/>
      <c r="AH18" s="168" t="n"/>
      <c r="AI18" s="168">
        <f>+K18/W18</f>
        <v/>
      </c>
      <c r="AJ18" s="168" t="n"/>
      <c r="AK18" s="313">
        <f>#REF!-#REF!</f>
        <v/>
      </c>
      <c r="AL18" s="39">
        <f>ROUND(#REF!/AK18,4)-1</f>
        <v/>
      </c>
      <c r="AM18" s="255" t="n"/>
      <c r="AN18" s="294">
        <f>#REF!-#REF!</f>
        <v/>
      </c>
      <c r="AO18" s="295" t="n"/>
      <c r="AP18" s="314">
        <f>#REF!-#REF!</f>
        <v/>
      </c>
      <c r="AQ18" s="25">
        <f>ROUND((#REF!-AP18)/ABS(AP18),2)</f>
        <v/>
      </c>
      <c r="AR18" s="315">
        <f>#REF!-#REF!</f>
        <v/>
      </c>
      <c r="AS18" s="27">
        <f>ROUND((#REF!-AR18)/ABS(AR18),2)</f>
        <v/>
      </c>
    </row>
    <row r="19" hidden="1" s="261">
      <c r="A19" s="353" t="n"/>
      <c r="B19" s="253">
        <f>+#REF!-#REF!</f>
        <v/>
      </c>
      <c r="C19" s="253">
        <f>+#REF!-#REF!</f>
        <v/>
      </c>
      <c r="D19" s="253">
        <f>+#REF!-#REF!</f>
        <v/>
      </c>
      <c r="E19" s="253">
        <f>+#REF!-#REF!</f>
        <v/>
      </c>
      <c r="F19" s="253">
        <f>+#REF!-#REF!</f>
        <v/>
      </c>
      <c r="G19" s="253">
        <f>+#REF!-#REF!</f>
        <v/>
      </c>
      <c r="H19" s="253">
        <f>+#REF!-#REF!</f>
        <v/>
      </c>
      <c r="I19" s="253">
        <f>+#REF!-#REF!</f>
        <v/>
      </c>
      <c r="J19" s="253">
        <f>+#REF!-#REF!</f>
        <v/>
      </c>
      <c r="K19" s="253">
        <f>+#REF!-#REF!</f>
        <v/>
      </c>
      <c r="L19" s="253">
        <f>+#REF!-#REF!</f>
        <v/>
      </c>
      <c r="M19" s="253">
        <f>+#REF!-#REF!</f>
        <v/>
      </c>
      <c r="N19" s="253">
        <f>+#REF!-#REF!</f>
        <v/>
      </c>
      <c r="O19" s="354">
        <f>+#REF!-#REF!</f>
        <v/>
      </c>
      <c r="P19" s="354">
        <f>+#REF!-#REF!</f>
        <v/>
      </c>
      <c r="Q19" s="355">
        <f>+#REF!-#REF!</f>
        <v/>
      </c>
      <c r="R19" s="355">
        <f>+#REF!-#REF!</f>
        <v/>
      </c>
      <c r="S19" s="355">
        <f>+#REF!-#REF!</f>
        <v/>
      </c>
      <c r="T19" s="356">
        <f>+#REF!-#REF!</f>
        <v/>
      </c>
      <c r="U19" s="356">
        <f>+#REF!-#REF!</f>
        <v/>
      </c>
      <c r="V19" s="356">
        <f>+#REF!-#REF!</f>
        <v/>
      </c>
      <c r="W19" s="357">
        <f>+#REF!-#REF!</f>
        <v/>
      </c>
      <c r="X19" s="357">
        <f>+#REF!-#REF!</f>
        <v/>
      </c>
      <c r="Y19" s="357">
        <f>+#REF!-#REF!</f>
        <v/>
      </c>
      <c r="Z19" s="168">
        <f>+B19/N19</f>
        <v/>
      </c>
      <c r="AA19" s="168" t="n"/>
      <c r="AB19" s="168">
        <f>+D19/P19</f>
        <v/>
      </c>
      <c r="AC19" s="168">
        <f>+E19/Q19</f>
        <v/>
      </c>
      <c r="AD19" s="168">
        <f>+F19/R19</f>
        <v/>
      </c>
      <c r="AE19" s="168" t="n"/>
      <c r="AF19" s="168" t="n"/>
      <c r="AG19" s="168" t="n"/>
      <c r="AH19" s="168">
        <f>+J19/V19</f>
        <v/>
      </c>
      <c r="AI19" s="168">
        <f>+K19/W19</f>
        <v/>
      </c>
      <c r="AJ19" s="168">
        <f>+L19/X19</f>
        <v/>
      </c>
      <c r="AK19" s="313">
        <f>#REF!-#REF!</f>
        <v/>
      </c>
      <c r="AL19" s="39">
        <f>ROUND(#REF!/AK19,4)-1</f>
        <v/>
      </c>
      <c r="AM19" s="255" t="n"/>
      <c r="AN19" s="294">
        <f>#REF!-#REF!</f>
        <v/>
      </c>
      <c r="AO19" s="295" t="n"/>
      <c r="AP19" s="314">
        <f>#REF!-#REF!</f>
        <v/>
      </c>
      <c r="AQ19" s="25">
        <f>ROUND((#REF!-AP19)/ABS(AP19),2)</f>
        <v/>
      </c>
      <c r="AR19" s="297">
        <f>#REF!-#REF!</f>
        <v/>
      </c>
      <c r="AS19" s="27">
        <f>ROUND((#REF!-AR19)/ABS(AR19),2)</f>
        <v/>
      </c>
    </row>
    <row r="20" hidden="1" s="261">
      <c r="A20" s="353" t="n"/>
      <c r="B20" s="253">
        <f>+#REF!-#REF!</f>
        <v/>
      </c>
      <c r="C20" s="253">
        <f>+#REF!-#REF!</f>
        <v/>
      </c>
      <c r="D20" s="253">
        <f>+#REF!-#REF!</f>
        <v/>
      </c>
      <c r="E20" s="253">
        <f>+#REF!-#REF!</f>
        <v/>
      </c>
      <c r="F20" s="253">
        <f>+#REF!-#REF!</f>
        <v/>
      </c>
      <c r="G20" s="253">
        <f>+#REF!-#REF!</f>
        <v/>
      </c>
      <c r="H20" s="253">
        <f>+#REF!-#REF!</f>
        <v/>
      </c>
      <c r="I20" s="253">
        <f>+#REF!-#REF!</f>
        <v/>
      </c>
      <c r="J20" s="253">
        <f>+#REF!-#REF!</f>
        <v/>
      </c>
      <c r="K20" s="253">
        <f>+#REF!-#REF!</f>
        <v/>
      </c>
      <c r="L20" s="253">
        <f>+#REF!-#REF!</f>
        <v/>
      </c>
      <c r="M20" s="253">
        <f>+#REF!-#REF!</f>
        <v/>
      </c>
      <c r="N20" s="253">
        <f>+#REF!-#REF!</f>
        <v/>
      </c>
      <c r="O20" s="354">
        <f>+#REF!-#REF!</f>
        <v/>
      </c>
      <c r="P20" s="354">
        <f>+#REF!-#REF!</f>
        <v/>
      </c>
      <c r="Q20" s="355">
        <f>+#REF!-#REF!</f>
        <v/>
      </c>
      <c r="R20" s="355">
        <f>+#REF!-#REF!</f>
        <v/>
      </c>
      <c r="S20" s="355">
        <f>+#REF!-#REF!</f>
        <v/>
      </c>
      <c r="T20" s="356">
        <f>+#REF!-#REF!</f>
        <v/>
      </c>
      <c r="U20" s="356">
        <f>+#REF!-#REF!</f>
        <v/>
      </c>
      <c r="V20" s="356">
        <f>+#REF!-#REF!</f>
        <v/>
      </c>
      <c r="W20" s="357">
        <f>+#REF!-#REF!</f>
        <v/>
      </c>
      <c r="X20" s="357">
        <f>+#REF!-#REF!</f>
        <v/>
      </c>
      <c r="Y20" s="357">
        <f>+#REF!-#REF!</f>
        <v/>
      </c>
      <c r="Z20" s="168">
        <f>+B20/N20</f>
        <v/>
      </c>
      <c r="AA20" s="168">
        <f>+C20/O20</f>
        <v/>
      </c>
      <c r="AB20" s="168">
        <f>+D20/P20</f>
        <v/>
      </c>
      <c r="AC20" s="168">
        <f>+E20/Q20</f>
        <v/>
      </c>
      <c r="AD20" s="168">
        <f>+F20/R20</f>
        <v/>
      </c>
      <c r="AE20" s="168" t="n"/>
      <c r="AF20" s="168" t="n"/>
      <c r="AG20" s="168" t="n"/>
      <c r="AH20" s="168">
        <f>+J20/V20</f>
        <v/>
      </c>
      <c r="AI20" s="168">
        <f>+K20/W20</f>
        <v/>
      </c>
      <c r="AJ20" s="168">
        <f>+L20/X20</f>
        <v/>
      </c>
      <c r="AK20" s="313">
        <f>#REF!-#REF!</f>
        <v/>
      </c>
      <c r="AL20" s="39">
        <f>ROUND(#REF!/AK20,4)-1</f>
        <v/>
      </c>
      <c r="AM20" s="255" t="n"/>
      <c r="AN20" s="294">
        <f>#REF!-#REF!</f>
        <v/>
      </c>
      <c r="AO20" s="295" t="n"/>
      <c r="AP20" s="314">
        <f>#REF!-#REF!</f>
        <v/>
      </c>
      <c r="AQ20" s="25">
        <f>ROUND((#REF!-AP20)/ABS(AP20),2)</f>
        <v/>
      </c>
      <c r="AR20" s="297">
        <f>#REF!-#REF!</f>
        <v/>
      </c>
      <c r="AS20" s="27">
        <f>ROUND((#REF!-AR20)/ABS(AR20),2)</f>
        <v/>
      </c>
    </row>
    <row r="21" hidden="1" s="261">
      <c r="A21" s="358" t="n"/>
      <c r="B21" s="253">
        <f>+#REF!-#REF!</f>
        <v/>
      </c>
      <c r="C21" s="253">
        <f>+#REF!-#REF!</f>
        <v/>
      </c>
      <c r="D21" s="253">
        <f>+#REF!-#REF!</f>
        <v/>
      </c>
      <c r="E21" s="253">
        <f>+#REF!-#REF!</f>
        <v/>
      </c>
      <c r="F21" s="253">
        <f>+#REF!-#REF!</f>
        <v/>
      </c>
      <c r="G21" s="253">
        <f>+#REF!-#REF!</f>
        <v/>
      </c>
      <c r="H21" s="253">
        <f>+#REF!-#REF!</f>
        <v/>
      </c>
      <c r="I21" s="253">
        <f>+#REF!-#REF!</f>
        <v/>
      </c>
      <c r="J21" s="253">
        <f>+#REF!-#REF!</f>
        <v/>
      </c>
      <c r="K21" s="253">
        <f>+#REF!-#REF!</f>
        <v/>
      </c>
      <c r="L21" s="253">
        <f>+#REF!-#REF!</f>
        <v/>
      </c>
      <c r="M21" s="253">
        <f>+#REF!-#REF!</f>
        <v/>
      </c>
      <c r="N21" s="253">
        <f>+#REF!-#REF!</f>
        <v/>
      </c>
      <c r="O21" s="354">
        <f>+#REF!-#REF!</f>
        <v/>
      </c>
      <c r="P21" s="354">
        <f>+#REF!-#REF!</f>
        <v/>
      </c>
      <c r="Q21" s="355">
        <f>+#REF!-#REF!</f>
        <v/>
      </c>
      <c r="R21" s="355">
        <f>+#REF!-#REF!</f>
        <v/>
      </c>
      <c r="S21" s="355">
        <f>+#REF!-#REF!</f>
        <v/>
      </c>
      <c r="T21" s="356">
        <f>+#REF!-#REF!</f>
        <v/>
      </c>
      <c r="U21" s="356">
        <f>+#REF!-#REF!</f>
        <v/>
      </c>
      <c r="V21" s="356">
        <f>+#REF!-#REF!</f>
        <v/>
      </c>
      <c r="W21" s="357">
        <f>+#REF!-#REF!</f>
        <v/>
      </c>
      <c r="X21" s="357">
        <f>+#REF!-#REF!</f>
        <v/>
      </c>
      <c r="Y21" s="357">
        <f>+#REF!-#REF!</f>
        <v/>
      </c>
      <c r="Z21" s="168">
        <f>+B21/N21</f>
        <v/>
      </c>
      <c r="AA21" s="168">
        <f>+C21/O21</f>
        <v/>
      </c>
      <c r="AB21" s="162">
        <f>+D21/P21</f>
        <v/>
      </c>
      <c r="AC21" s="162">
        <f>+E21/Q21</f>
        <v/>
      </c>
      <c r="AD21" s="168">
        <f>+F21/R21</f>
        <v/>
      </c>
      <c r="AE21" s="162">
        <f>+G21/S21</f>
        <v/>
      </c>
      <c r="AF21" s="162">
        <f>+H21/T21</f>
        <v/>
      </c>
      <c r="AG21" s="162">
        <f>+I21/U21</f>
        <v/>
      </c>
      <c r="AH21" s="162">
        <f>+J21/V21</f>
        <v/>
      </c>
      <c r="AI21" s="168">
        <f>+K21/W21</f>
        <v/>
      </c>
      <c r="AJ21" s="168">
        <f>+L21/X21</f>
        <v/>
      </c>
      <c r="AK21" s="313">
        <f>#REF!-#REF!</f>
        <v/>
      </c>
      <c r="AL21" s="39">
        <f>ROUND(#REF!/AK21,4)-1</f>
        <v/>
      </c>
      <c r="AM21" s="255" t="n"/>
      <c r="AN21" s="294">
        <f>#REF!-#REF!</f>
        <v/>
      </c>
      <c r="AO21" s="295" t="n"/>
      <c r="AP21" s="314">
        <f>#REF!-#REF!</f>
        <v/>
      </c>
      <c r="AQ21" s="25">
        <f>ROUND((#REF!-AP21)/ABS(AP21),2)</f>
        <v/>
      </c>
      <c r="AR21" s="297">
        <f>#REF!-#REF!</f>
        <v/>
      </c>
      <c r="AS21" s="27">
        <f>ROUND((#REF!-AR21)/ABS(AR21),2)</f>
        <v/>
      </c>
    </row>
    <row r="22" hidden="1" s="261">
      <c r="A22" s="252" t="n">
        <v>0</v>
      </c>
      <c r="B22" s="253">
        <f>+#REF!-#REF!</f>
        <v/>
      </c>
      <c r="C22" s="253">
        <f>+#REF!-#REF!</f>
        <v/>
      </c>
      <c r="D22" s="253">
        <f>+#REF!-#REF!</f>
        <v/>
      </c>
      <c r="E22" s="253">
        <f>+#REF!-#REF!</f>
        <v/>
      </c>
      <c r="F22" s="253">
        <f>+#REF!-#REF!</f>
        <v/>
      </c>
      <c r="G22" s="253">
        <f>+#REF!-#REF!</f>
        <v/>
      </c>
      <c r="H22" s="253">
        <f>+#REF!-#REF!</f>
        <v/>
      </c>
      <c r="I22" s="253">
        <f>+#REF!-#REF!</f>
        <v/>
      </c>
      <c r="J22" s="253">
        <f>+#REF!-#REF!</f>
        <v/>
      </c>
      <c r="K22" s="253">
        <f>+#REF!-#REF!</f>
        <v/>
      </c>
      <c r="L22" s="253">
        <f>+#REF!-#REF!</f>
        <v/>
      </c>
      <c r="M22" s="253">
        <f>+#REF!-#REF!</f>
        <v/>
      </c>
      <c r="N22" s="253">
        <f>+#REF!-#REF!</f>
        <v/>
      </c>
      <c r="O22" s="354">
        <f>+#REF!-#REF!</f>
        <v/>
      </c>
      <c r="P22" s="354">
        <f>+#REF!-#REF!</f>
        <v/>
      </c>
      <c r="Q22" s="355">
        <f>+#REF!-#REF!</f>
        <v/>
      </c>
      <c r="R22" s="355">
        <f>+#REF!-#REF!</f>
        <v/>
      </c>
      <c r="S22" s="355">
        <f>+#REF!-#REF!</f>
        <v/>
      </c>
      <c r="T22" s="356">
        <f>+#REF!-#REF!</f>
        <v/>
      </c>
      <c r="U22" s="356">
        <f>+#REF!-#REF!</f>
        <v/>
      </c>
      <c r="V22" s="356">
        <f>+#REF!-#REF!</f>
        <v/>
      </c>
      <c r="W22" s="357">
        <f>+#REF!-#REF!</f>
        <v/>
      </c>
      <c r="X22" s="357">
        <f>+#REF!-#REF!</f>
        <v/>
      </c>
      <c r="Y22" s="357">
        <f>+#REF!-#REF!</f>
        <v/>
      </c>
      <c r="Z22" s="168">
        <f>+B22/N22</f>
        <v/>
      </c>
      <c r="AA22" s="168">
        <f>+C22/O22</f>
        <v/>
      </c>
      <c r="AB22" s="196">
        <f>+D22/P22</f>
        <v/>
      </c>
      <c r="AC22" s="196">
        <f>+E22/Q22</f>
        <v/>
      </c>
      <c r="AD22" s="197">
        <f>+F22/R22</f>
        <v/>
      </c>
      <c r="AE22" s="196">
        <f>+G22/S22</f>
        <v/>
      </c>
      <c r="AF22" s="196">
        <f>+H22/T22</f>
        <v/>
      </c>
      <c r="AG22" s="196">
        <f>+I22/U22</f>
        <v/>
      </c>
      <c r="AH22" s="196">
        <f>+J22/V22</f>
        <v/>
      </c>
      <c r="AI22" s="196">
        <f>+K22/W22</f>
        <v/>
      </c>
      <c r="AJ22" s="197">
        <f>+L22/X22</f>
        <v/>
      </c>
      <c r="AK22" s="313">
        <f>#REF!-#REF!</f>
        <v/>
      </c>
      <c r="AL22" s="39">
        <f>ROUND(#REF!/AK22,4)-1</f>
        <v/>
      </c>
      <c r="AM22" s="255" t="n"/>
      <c r="AN22" s="294">
        <f>#REF!-#REF!</f>
        <v/>
      </c>
      <c r="AO22" s="295" t="n"/>
      <c r="AP22" s="314">
        <f>#REF!-#REF!</f>
        <v/>
      </c>
      <c r="AQ22" s="25">
        <f>ROUND((#REF!-AP22)/ABS(AP22),2)</f>
        <v/>
      </c>
      <c r="AR22" s="297">
        <f>#REF!-#REF!</f>
        <v/>
      </c>
      <c r="AS22" s="27">
        <f>ROUND((#REF!-AR22)/ABS(AR22),2)</f>
        <v/>
      </c>
    </row>
    <row r="23" hidden="1" s="261">
      <c r="A23" s="252" t="n">
        <v>0</v>
      </c>
      <c r="B23" s="253">
        <f>+#REF!-#REF!</f>
        <v/>
      </c>
      <c r="C23" s="253">
        <f>+#REF!-#REF!</f>
        <v/>
      </c>
      <c r="D23" s="253">
        <f>+#REF!-#REF!</f>
        <v/>
      </c>
      <c r="E23" s="253">
        <f>+#REF!-#REF!</f>
        <v/>
      </c>
      <c r="F23" s="253">
        <f>+#REF!-#REF!</f>
        <v/>
      </c>
      <c r="G23" s="253">
        <f>+#REF!-#REF!</f>
        <v/>
      </c>
      <c r="H23" s="253">
        <f>+#REF!-#REF!</f>
        <v/>
      </c>
      <c r="I23" s="253">
        <f>+#REF!-#REF!</f>
        <v/>
      </c>
      <c r="J23" s="253">
        <f>+#REF!-#REF!</f>
        <v/>
      </c>
      <c r="K23" s="253">
        <f>+#REF!-#REF!</f>
        <v/>
      </c>
      <c r="L23" s="253">
        <f>+#REF!-#REF!</f>
        <v/>
      </c>
      <c r="M23" s="253">
        <f>+#REF!-#REF!</f>
        <v/>
      </c>
      <c r="N23" s="253">
        <f>+#REF!-#REF!</f>
        <v/>
      </c>
      <c r="O23" s="354">
        <f>+#REF!-#REF!</f>
        <v/>
      </c>
      <c r="P23" s="354">
        <f>+#REF!-#REF!</f>
        <v/>
      </c>
      <c r="Q23" s="355">
        <f>+#REF!-#REF!</f>
        <v/>
      </c>
      <c r="R23" s="355">
        <f>+#REF!-#REF!</f>
        <v/>
      </c>
      <c r="S23" s="355">
        <f>+#REF!-#REF!</f>
        <v/>
      </c>
      <c r="T23" s="356">
        <f>+#REF!-#REF!</f>
        <v/>
      </c>
      <c r="U23" s="356">
        <f>+#REF!-#REF!</f>
        <v/>
      </c>
      <c r="V23" s="356">
        <f>+#REF!-#REF!</f>
        <v/>
      </c>
      <c r="W23" s="357">
        <f>+#REF!-#REF!</f>
        <v/>
      </c>
      <c r="X23" s="357">
        <f>+#REF!-#REF!</f>
        <v/>
      </c>
      <c r="Y23" s="357">
        <f>+#REF!-#REF!</f>
        <v/>
      </c>
      <c r="Z23" s="168">
        <f>+B23/N23</f>
        <v/>
      </c>
      <c r="AA23" s="168">
        <f>+C23/O23</f>
        <v/>
      </c>
      <c r="AB23" s="196">
        <f>+D23/P23</f>
        <v/>
      </c>
      <c r="AC23" s="196">
        <f>+E23/Q23</f>
        <v/>
      </c>
      <c r="AD23" s="197">
        <f>+F23/R23</f>
        <v/>
      </c>
      <c r="AE23" s="196">
        <f>+G23/S23</f>
        <v/>
      </c>
      <c r="AF23" s="196">
        <f>+H23/T23</f>
        <v/>
      </c>
      <c r="AG23" s="196">
        <f>+I23/U23</f>
        <v/>
      </c>
      <c r="AH23" s="196">
        <f>+J23/V23</f>
        <v/>
      </c>
      <c r="AI23" s="196">
        <f>+K23/W23</f>
        <v/>
      </c>
      <c r="AJ23" s="197">
        <f>+L23/X23</f>
        <v/>
      </c>
      <c r="AK23" s="313">
        <f>#REF!-#REF!</f>
        <v/>
      </c>
      <c r="AL23" s="39">
        <f>ROUND(#REF!/AK23,4)-1</f>
        <v/>
      </c>
      <c r="AM23" s="255" t="n"/>
      <c r="AN23" s="294">
        <f>#REF!-#REF!</f>
        <v/>
      </c>
      <c r="AO23" s="295" t="n"/>
      <c r="AP23" s="314">
        <f>#REF!-#REF!</f>
        <v/>
      </c>
      <c r="AQ23" s="25">
        <f>ROUND((#REF!-AP23)/ABS(AP23),2)</f>
        <v/>
      </c>
      <c r="AR23" s="297">
        <f>#REF!-#REF!</f>
        <v/>
      </c>
      <c r="AS23" s="27">
        <f>ROUND((#REF!-AR23)/ABS(AR23),2)</f>
        <v/>
      </c>
    </row>
    <row r="24" hidden="1" s="261">
      <c r="A24" s="252" t="n">
        <v>0</v>
      </c>
      <c r="B24" s="253">
        <f>+#REF!-#REF!</f>
        <v/>
      </c>
      <c r="C24" s="253">
        <f>+#REF!-#REF!</f>
        <v/>
      </c>
      <c r="D24" s="253">
        <f>+#REF!-#REF!</f>
        <v/>
      </c>
      <c r="E24" s="253">
        <f>+#REF!-#REF!</f>
        <v/>
      </c>
      <c r="F24" s="253">
        <f>+#REF!-#REF!</f>
        <v/>
      </c>
      <c r="G24" s="253">
        <f>+#REF!-#REF!</f>
        <v/>
      </c>
      <c r="H24" s="253">
        <f>+#REF!-#REF!</f>
        <v/>
      </c>
      <c r="I24" s="253">
        <f>+#REF!-#REF!</f>
        <v/>
      </c>
      <c r="J24" s="253">
        <f>+#REF!-#REF!</f>
        <v/>
      </c>
      <c r="K24" s="253">
        <f>+#REF!-#REF!</f>
        <v/>
      </c>
      <c r="L24" s="253">
        <f>+#REF!-#REF!</f>
        <v/>
      </c>
      <c r="M24" s="253">
        <f>+#REF!-#REF!</f>
        <v/>
      </c>
      <c r="N24" s="253">
        <f>+#REF!-#REF!</f>
        <v/>
      </c>
      <c r="O24" s="354">
        <f>+#REF!-#REF!</f>
        <v/>
      </c>
      <c r="P24" s="354">
        <f>+#REF!-#REF!</f>
        <v/>
      </c>
      <c r="Q24" s="355">
        <f>+#REF!-#REF!</f>
        <v/>
      </c>
      <c r="R24" s="355">
        <f>+#REF!-#REF!</f>
        <v/>
      </c>
      <c r="S24" s="355">
        <f>+#REF!-#REF!</f>
        <v/>
      </c>
      <c r="T24" s="356">
        <f>+#REF!-#REF!</f>
        <v/>
      </c>
      <c r="U24" s="356">
        <f>+#REF!-#REF!</f>
        <v/>
      </c>
      <c r="V24" s="356">
        <f>+#REF!-#REF!</f>
        <v/>
      </c>
      <c r="W24" s="357">
        <f>+#REF!-#REF!</f>
        <v/>
      </c>
      <c r="X24" s="357">
        <f>+#REF!-#REF!</f>
        <v/>
      </c>
      <c r="Y24" s="357">
        <f>+#REF!-#REF!</f>
        <v/>
      </c>
      <c r="Z24" s="168">
        <f>+B24/N24</f>
        <v/>
      </c>
      <c r="AA24" s="168">
        <f>+C24/O24</f>
        <v/>
      </c>
      <c r="AB24" s="196">
        <f>+D24/P24</f>
        <v/>
      </c>
      <c r="AC24" s="196">
        <f>+E24/Q24</f>
        <v/>
      </c>
      <c r="AD24" s="197">
        <f>+F24/R24</f>
        <v/>
      </c>
      <c r="AE24" s="196">
        <f>+G24/S24</f>
        <v/>
      </c>
      <c r="AF24" s="196">
        <f>+H24/T24</f>
        <v/>
      </c>
      <c r="AG24" s="196">
        <f>+I24/U24</f>
        <v/>
      </c>
      <c r="AH24" s="196">
        <f>+J24/V24</f>
        <v/>
      </c>
      <c r="AI24" s="196">
        <f>+K24/W24</f>
        <v/>
      </c>
      <c r="AJ24" s="197">
        <f>+L24/X24</f>
        <v/>
      </c>
      <c r="AK24" s="313">
        <f>#REF!-#REF!</f>
        <v/>
      </c>
      <c r="AL24" s="39">
        <f>ROUND(#REF!/AK24,4)-1</f>
        <v/>
      </c>
      <c r="AM24" s="255" t="n"/>
      <c r="AN24" s="294">
        <f>#REF!-#REF!</f>
        <v/>
      </c>
      <c r="AO24" s="295" t="n"/>
      <c r="AP24" s="314">
        <f>#REF!-#REF!</f>
        <v/>
      </c>
      <c r="AQ24" s="25">
        <f>ROUND((#REF!-AP24)/ABS(AP24),2)</f>
        <v/>
      </c>
      <c r="AR24" s="297">
        <f>#REF!-#REF!</f>
        <v/>
      </c>
      <c r="AS24" s="27">
        <f>ROUND((#REF!-AR24)/ABS(AR24),2)</f>
        <v/>
      </c>
    </row>
    <row r="25" hidden="1" s="261">
      <c r="A25" s="252" t="n"/>
      <c r="B25" s="253">
        <f>+#REF!-#REF!</f>
        <v/>
      </c>
      <c r="C25" s="253">
        <f>+#REF!-#REF!</f>
        <v/>
      </c>
      <c r="D25" s="253">
        <f>+#REF!-#REF!</f>
        <v/>
      </c>
      <c r="E25" s="253">
        <f>+#REF!-#REF!</f>
        <v/>
      </c>
      <c r="F25" s="253">
        <f>+#REF!-#REF!</f>
        <v/>
      </c>
      <c r="G25" s="253">
        <f>+#REF!-#REF!</f>
        <v/>
      </c>
      <c r="H25" s="253">
        <f>+#REF!-#REF!</f>
        <v/>
      </c>
      <c r="I25" s="253">
        <f>+#REF!-#REF!</f>
        <v/>
      </c>
      <c r="J25" s="253">
        <f>+#REF!-#REF!</f>
        <v/>
      </c>
      <c r="K25" s="253">
        <f>+#REF!-#REF!</f>
        <v/>
      </c>
      <c r="L25" s="253">
        <f>+#REF!-#REF!</f>
        <v/>
      </c>
      <c r="M25" s="253">
        <f>+#REF!-#REF!</f>
        <v/>
      </c>
      <c r="N25" s="253">
        <f>+#REF!-#REF!</f>
        <v/>
      </c>
      <c r="O25" s="354">
        <f>+#REF!-#REF!</f>
        <v/>
      </c>
      <c r="P25" s="354">
        <f>+#REF!-#REF!</f>
        <v/>
      </c>
      <c r="Q25" s="355">
        <f>+#REF!-#REF!</f>
        <v/>
      </c>
      <c r="R25" s="355">
        <f>+#REF!-#REF!</f>
        <v/>
      </c>
      <c r="S25" s="355">
        <f>+#REF!-#REF!</f>
        <v/>
      </c>
      <c r="T25" s="356">
        <f>+#REF!-#REF!</f>
        <v/>
      </c>
      <c r="U25" s="356">
        <f>+#REF!-#REF!</f>
        <v/>
      </c>
      <c r="V25" s="356">
        <f>+#REF!-#REF!</f>
        <v/>
      </c>
      <c r="W25" s="357">
        <f>+#REF!-#REF!</f>
        <v/>
      </c>
      <c r="X25" s="357">
        <f>+#REF!-#REF!</f>
        <v/>
      </c>
      <c r="Y25" s="357">
        <f>+#REF!-#REF!</f>
        <v/>
      </c>
      <c r="Z25" s="168">
        <f>+B25/N25</f>
        <v/>
      </c>
      <c r="AA25" s="168">
        <f>+C25/O25</f>
        <v/>
      </c>
      <c r="AB25" s="196">
        <f>+D25/P25</f>
        <v/>
      </c>
      <c r="AC25" s="196">
        <f>+E25/Q25</f>
        <v/>
      </c>
      <c r="AD25" s="197">
        <f>+F25/R25</f>
        <v/>
      </c>
      <c r="AE25" s="196">
        <f>+G25/S25</f>
        <v/>
      </c>
      <c r="AF25" s="196">
        <f>+H25/T25</f>
        <v/>
      </c>
      <c r="AG25" s="196">
        <f>+I25/U25</f>
        <v/>
      </c>
      <c r="AH25" s="196">
        <f>+J25/V25</f>
        <v/>
      </c>
      <c r="AI25" s="196">
        <f>+K25/W25</f>
        <v/>
      </c>
      <c r="AJ25" s="197">
        <f>+L25/X25</f>
        <v/>
      </c>
      <c r="AK25" s="313">
        <f>#REF!-#REF!</f>
        <v/>
      </c>
      <c r="AL25" s="39">
        <f>ROUND(#REF!/AK25,4)-1</f>
        <v/>
      </c>
      <c r="AM25" s="255" t="n"/>
      <c r="AN25" s="294">
        <f>#REF!-#REF!</f>
        <v/>
      </c>
      <c r="AO25" s="295" t="n"/>
      <c r="AP25" s="314">
        <f>#REF!-#REF!</f>
        <v/>
      </c>
      <c r="AQ25" s="25">
        <f>ROUND((#REF!-AP25)/ABS(AP25),2)</f>
        <v/>
      </c>
      <c r="AR25" s="297">
        <f>#REF!-#REF!</f>
        <v/>
      </c>
      <c r="AS25" s="27">
        <f>ROUND((#REF!-AR25)/ABS(AR25),2)</f>
        <v/>
      </c>
    </row>
    <row r="26" hidden="1" s="261">
      <c r="A26" s="252" t="n">
        <v>0</v>
      </c>
      <c r="B26" s="253">
        <f>+#REF!-#REF!</f>
        <v/>
      </c>
      <c r="C26" s="253">
        <f>+#REF!-#REF!</f>
        <v/>
      </c>
      <c r="D26" s="253">
        <f>+#REF!-#REF!</f>
        <v/>
      </c>
      <c r="E26" s="253">
        <f>+#REF!-#REF!</f>
        <v/>
      </c>
      <c r="F26" s="253">
        <f>+#REF!-#REF!</f>
        <v/>
      </c>
      <c r="G26" s="253">
        <f>+#REF!-#REF!</f>
        <v/>
      </c>
      <c r="H26" s="253">
        <f>+#REF!-#REF!</f>
        <v/>
      </c>
      <c r="I26" s="253">
        <f>+#REF!-#REF!</f>
        <v/>
      </c>
      <c r="J26" s="253">
        <f>+#REF!-#REF!</f>
        <v/>
      </c>
      <c r="K26" s="253">
        <f>+#REF!-#REF!</f>
        <v/>
      </c>
      <c r="L26" s="253">
        <f>+#REF!-#REF!</f>
        <v/>
      </c>
      <c r="M26" s="253">
        <f>+#REF!-#REF!</f>
        <v/>
      </c>
      <c r="N26" s="253">
        <f>+#REF!-#REF!</f>
        <v/>
      </c>
      <c r="O26" s="354">
        <f>+#REF!-#REF!</f>
        <v/>
      </c>
      <c r="P26" s="354">
        <f>+#REF!-#REF!</f>
        <v/>
      </c>
      <c r="Q26" s="355">
        <f>+#REF!-#REF!</f>
        <v/>
      </c>
      <c r="R26" s="355">
        <f>+#REF!-#REF!</f>
        <v/>
      </c>
      <c r="S26" s="355">
        <f>+#REF!-#REF!</f>
        <v/>
      </c>
      <c r="T26" s="356">
        <f>+#REF!-#REF!</f>
        <v/>
      </c>
      <c r="U26" s="356">
        <f>+#REF!-#REF!</f>
        <v/>
      </c>
      <c r="V26" s="356">
        <f>+#REF!-#REF!</f>
        <v/>
      </c>
      <c r="W26" s="357">
        <f>+#REF!-#REF!</f>
        <v/>
      </c>
      <c r="X26" s="357">
        <f>+#REF!-#REF!</f>
        <v/>
      </c>
      <c r="Y26" s="357">
        <f>+#REF!-#REF!</f>
        <v/>
      </c>
      <c r="Z26" s="168">
        <f>+B26/N26</f>
        <v/>
      </c>
      <c r="AA26" s="168">
        <f>+C26/O26</f>
        <v/>
      </c>
      <c r="AB26" s="196">
        <f>+D26/P26</f>
        <v/>
      </c>
      <c r="AC26" s="196">
        <f>+E26/Q26</f>
        <v/>
      </c>
      <c r="AD26" s="197">
        <f>+F26/R26</f>
        <v/>
      </c>
      <c r="AE26" s="196">
        <f>+G26/S26</f>
        <v/>
      </c>
      <c r="AF26" s="196">
        <f>+H26/T26</f>
        <v/>
      </c>
      <c r="AG26" s="196">
        <f>+I26/U26</f>
        <v/>
      </c>
      <c r="AH26" s="196">
        <f>+J26/V26</f>
        <v/>
      </c>
      <c r="AI26" s="196">
        <f>+K26/W26</f>
        <v/>
      </c>
      <c r="AJ26" s="197">
        <f>+L26/X26</f>
        <v/>
      </c>
      <c r="AK26" s="313">
        <f>#REF!-#REF!</f>
        <v/>
      </c>
      <c r="AL26" s="39">
        <f>ROUND(#REF!/AK26,4)-1</f>
        <v/>
      </c>
      <c r="AM26" s="255" t="n"/>
      <c r="AN26" s="294">
        <f>#REF!-#REF!</f>
        <v/>
      </c>
      <c r="AO26" s="295" t="n"/>
      <c r="AP26" s="314">
        <f>#REF!-#REF!</f>
        <v/>
      </c>
      <c r="AQ26" s="25">
        <f>ROUND((#REF!-AP26)/ABS(AP26),2)</f>
        <v/>
      </c>
      <c r="AR26" s="297">
        <f>#REF!-#REF!</f>
        <v/>
      </c>
      <c r="AS26" s="27">
        <f>ROUND((#REF!-AR26)/ABS(AR26),2)</f>
        <v/>
      </c>
    </row>
    <row r="27" hidden="1" s="261">
      <c r="A27" s="359" t="n"/>
      <c r="B27" s="253">
        <f>+#REF!-#REF!</f>
        <v/>
      </c>
      <c r="C27" s="253">
        <f>+#REF!-#REF!</f>
        <v/>
      </c>
      <c r="D27" s="253">
        <f>+#REF!-#REF!</f>
        <v/>
      </c>
      <c r="E27" s="253">
        <f>+#REF!-#REF!</f>
        <v/>
      </c>
      <c r="F27" s="253">
        <f>+#REF!-#REF!</f>
        <v/>
      </c>
      <c r="G27" s="253">
        <f>+#REF!-#REF!</f>
        <v/>
      </c>
      <c r="H27" s="253">
        <f>+#REF!-#REF!</f>
        <v/>
      </c>
      <c r="I27" s="253">
        <f>+#REF!-#REF!</f>
        <v/>
      </c>
      <c r="J27" s="253">
        <f>+#REF!-#REF!</f>
        <v/>
      </c>
      <c r="K27" s="253">
        <f>+#REF!-#REF!</f>
        <v/>
      </c>
      <c r="L27" s="253">
        <f>+#REF!-#REF!</f>
        <v/>
      </c>
      <c r="M27" s="253">
        <f>+#REF!-#REF!</f>
        <v/>
      </c>
      <c r="N27" s="253">
        <f>+#REF!-#REF!</f>
        <v/>
      </c>
      <c r="O27" s="354">
        <f>+#REF!-#REF!</f>
        <v/>
      </c>
      <c r="P27" s="354">
        <f>+#REF!-#REF!</f>
        <v/>
      </c>
      <c r="Q27" s="355">
        <f>+#REF!-#REF!</f>
        <v/>
      </c>
      <c r="R27" s="355">
        <f>+#REF!-#REF!</f>
        <v/>
      </c>
      <c r="S27" s="355">
        <f>+#REF!-#REF!</f>
        <v/>
      </c>
      <c r="T27" s="356">
        <f>+#REF!-#REF!</f>
        <v/>
      </c>
      <c r="U27" s="356">
        <f>+#REF!-#REF!</f>
        <v/>
      </c>
      <c r="V27" s="356">
        <f>+#REF!-#REF!</f>
        <v/>
      </c>
      <c r="W27" s="357">
        <f>+#REF!-#REF!</f>
        <v/>
      </c>
      <c r="X27" s="357">
        <f>+#REF!-#REF!</f>
        <v/>
      </c>
      <c r="Y27" s="357">
        <f>+#REF!-#REF!</f>
        <v/>
      </c>
      <c r="Z27" s="168">
        <f>+B27/N27</f>
        <v/>
      </c>
      <c r="AA27" s="168">
        <f>+C27/O27</f>
        <v/>
      </c>
      <c r="AB27" s="196">
        <f>+D27/P27</f>
        <v/>
      </c>
      <c r="AC27" s="196">
        <f>+E27/Q27</f>
        <v/>
      </c>
      <c r="AD27" s="197">
        <f>+F27/R27</f>
        <v/>
      </c>
      <c r="AE27" s="196">
        <f>+G27/S27</f>
        <v/>
      </c>
      <c r="AF27" s="196">
        <f>+H27/T27</f>
        <v/>
      </c>
      <c r="AG27" s="196">
        <f>+I27/U27</f>
        <v/>
      </c>
      <c r="AH27" s="196">
        <f>+J27/V27</f>
        <v/>
      </c>
      <c r="AI27" s="196">
        <f>+K27/W27</f>
        <v/>
      </c>
      <c r="AJ27" s="197">
        <f>+L27/X27</f>
        <v/>
      </c>
      <c r="AK27" s="313">
        <f>#REF!-#REF!</f>
        <v/>
      </c>
      <c r="AL27" s="39">
        <f>ROUND(#REF!/AK27,4)-1</f>
        <v/>
      </c>
      <c r="AM27" s="255" t="n"/>
      <c r="AN27" s="294">
        <f>#REF!-#REF!</f>
        <v/>
      </c>
      <c r="AO27" s="295" t="n"/>
      <c r="AP27" s="314">
        <f>#REF!-#REF!</f>
        <v/>
      </c>
      <c r="AQ27" s="25">
        <f>ROUND((#REF!-AP27)/ABS(AP27),2)</f>
        <v/>
      </c>
      <c r="AR27" s="297">
        <f>#REF!-#REF!</f>
        <v/>
      </c>
      <c r="AS27" s="27">
        <f>ROUND((#REF!-AR27)/ABS(AR27),2)</f>
        <v/>
      </c>
    </row>
    <row r="28" hidden="1" s="261">
      <c r="A28" s="359" t="n"/>
      <c r="B28" s="253">
        <f>+#REF!-#REF!</f>
        <v/>
      </c>
      <c r="C28" s="253">
        <f>+#REF!-#REF!</f>
        <v/>
      </c>
      <c r="D28" s="253">
        <f>+#REF!-#REF!</f>
        <v/>
      </c>
      <c r="E28" s="253">
        <f>+#REF!-#REF!</f>
        <v/>
      </c>
      <c r="F28" s="253">
        <f>+#REF!-#REF!</f>
        <v/>
      </c>
      <c r="G28" s="253">
        <f>+#REF!-#REF!</f>
        <v/>
      </c>
      <c r="H28" s="253">
        <f>+#REF!-#REF!</f>
        <v/>
      </c>
      <c r="I28" s="253">
        <f>+#REF!-#REF!</f>
        <v/>
      </c>
      <c r="J28" s="253">
        <f>+#REF!-#REF!</f>
        <v/>
      </c>
      <c r="K28" s="253">
        <f>+#REF!-#REF!</f>
        <v/>
      </c>
      <c r="L28" s="253">
        <f>+#REF!-#REF!</f>
        <v/>
      </c>
      <c r="M28" s="253">
        <f>+#REF!-#REF!</f>
        <v/>
      </c>
      <c r="N28" s="253">
        <f>+#REF!-#REF!</f>
        <v/>
      </c>
      <c r="O28" s="354">
        <f>+#REF!-#REF!</f>
        <v/>
      </c>
      <c r="P28" s="354">
        <f>+#REF!-#REF!</f>
        <v/>
      </c>
      <c r="Q28" s="355">
        <f>+#REF!-#REF!</f>
        <v/>
      </c>
      <c r="R28" s="355">
        <f>+#REF!-#REF!</f>
        <v/>
      </c>
      <c r="S28" s="355">
        <f>+#REF!-#REF!</f>
        <v/>
      </c>
      <c r="T28" s="356">
        <f>+#REF!-#REF!</f>
        <v/>
      </c>
      <c r="U28" s="356">
        <f>+#REF!-#REF!</f>
        <v/>
      </c>
      <c r="V28" s="356">
        <f>+#REF!-#REF!</f>
        <v/>
      </c>
      <c r="W28" s="357">
        <f>+#REF!-#REF!</f>
        <v/>
      </c>
      <c r="X28" s="357">
        <f>+#REF!-#REF!</f>
        <v/>
      </c>
      <c r="Y28" s="357">
        <f>+#REF!-#REF!</f>
        <v/>
      </c>
      <c r="Z28" s="168">
        <f>+B28/N28</f>
        <v/>
      </c>
      <c r="AA28" s="168">
        <f>+C28/O28</f>
        <v/>
      </c>
      <c r="AB28" s="196">
        <f>+D28/P28</f>
        <v/>
      </c>
      <c r="AC28" s="196">
        <f>+E28/Q28</f>
        <v/>
      </c>
      <c r="AD28" s="197">
        <f>+F28/R28</f>
        <v/>
      </c>
      <c r="AE28" s="196">
        <f>+G28/S28</f>
        <v/>
      </c>
      <c r="AF28" s="196">
        <f>+H28/T28</f>
        <v/>
      </c>
      <c r="AG28" s="196">
        <f>+I28/U28</f>
        <v/>
      </c>
      <c r="AH28" s="196">
        <f>+J28/V28</f>
        <v/>
      </c>
      <c r="AI28" s="196">
        <f>+K28/W28</f>
        <v/>
      </c>
      <c r="AJ28" s="197">
        <f>+L28/X28</f>
        <v/>
      </c>
      <c r="AK28" s="313">
        <f>#REF!-#REF!</f>
        <v/>
      </c>
      <c r="AL28" s="39">
        <f>ROUND(#REF!/AK28,4)-1</f>
        <v/>
      </c>
      <c r="AM28" s="255" t="n"/>
      <c r="AN28" s="294">
        <f>#REF!-#REF!</f>
        <v/>
      </c>
      <c r="AO28" s="295" t="n"/>
      <c r="AP28" s="314">
        <f>#REF!-#REF!</f>
        <v/>
      </c>
      <c r="AQ28" s="25">
        <f>ROUND((#REF!-AP28)/ABS(AP28),2)</f>
        <v/>
      </c>
      <c r="AR28" s="297">
        <f>#REF!-#REF!</f>
        <v/>
      </c>
      <c r="AS28" s="27">
        <f>ROUND((#REF!-AR28)/ABS(AR28),2)</f>
        <v/>
      </c>
    </row>
    <row r="29" ht="21.75" customHeight="1" s="261">
      <c r="A29" s="360" t="inlineStr">
        <is>
          <t xml:space="preserve">     Internal Margin</t>
        </is>
      </c>
      <c r="B29" s="346">
        <f>+B8-#REF!</f>
        <v/>
      </c>
      <c r="C29" s="346">
        <f>+C8-#REF!</f>
        <v/>
      </c>
      <c r="D29" s="346">
        <f>+D8-#REF!</f>
        <v/>
      </c>
      <c r="E29" s="346">
        <f>+E8-#REF!</f>
        <v/>
      </c>
      <c r="F29" s="346">
        <f>+F8-#REF!</f>
        <v/>
      </c>
      <c r="G29" s="346">
        <f>+G8-#REF!</f>
        <v/>
      </c>
      <c r="H29" s="346">
        <f>+H8-#REF!</f>
        <v/>
      </c>
      <c r="I29" s="346">
        <f>+I8-#REF!</f>
        <v/>
      </c>
      <c r="J29" s="346">
        <f>+J8-#REF!</f>
        <v/>
      </c>
      <c r="K29" s="346">
        <f>+K8-#REF!</f>
        <v/>
      </c>
      <c r="L29" s="346">
        <f>+L8-#REF!</f>
        <v/>
      </c>
      <c r="M29" s="346">
        <f>+M8-#REF!</f>
        <v/>
      </c>
      <c r="N29" s="347">
        <f>+N8-#REF!</f>
        <v/>
      </c>
      <c r="O29" s="347">
        <f>+O8-#REF!</f>
        <v/>
      </c>
      <c r="P29" s="347">
        <f>+P8-#REF!</f>
        <v/>
      </c>
      <c r="Q29" s="348">
        <f>+Q8-#REF!</f>
        <v/>
      </c>
      <c r="R29" s="348">
        <f>+R8-#REF!</f>
        <v/>
      </c>
      <c r="S29" s="348">
        <f>+S8-#REF!</f>
        <v/>
      </c>
      <c r="T29" s="349">
        <f>+T8-#REF!</f>
        <v/>
      </c>
      <c r="U29" s="349">
        <f>+U8-#REF!</f>
        <v/>
      </c>
      <c r="V29" s="349">
        <f>+V8-#REF!</f>
        <v/>
      </c>
      <c r="W29" s="350">
        <f>+W8-#REF!</f>
        <v/>
      </c>
      <c r="X29" s="350">
        <f>+X8-#REF!</f>
        <v/>
      </c>
      <c r="Y29" s="350">
        <f>+Y8-#REF!</f>
        <v/>
      </c>
      <c r="Z29" s="196">
        <f>+B29/N29</f>
        <v/>
      </c>
      <c r="AA29" s="196" t="n"/>
      <c r="AB29" s="196">
        <f>+D29/P29</f>
        <v/>
      </c>
      <c r="AC29" s="196">
        <f>+E29/Q29</f>
        <v/>
      </c>
      <c r="AD29" s="196">
        <f>+F29/R29</f>
        <v/>
      </c>
      <c r="AE29" s="196" t="n"/>
      <c r="AF29" s="196" t="n"/>
      <c r="AG29" s="196" t="n"/>
      <c r="AH29" s="196">
        <f>+J29/V29</f>
        <v/>
      </c>
      <c r="AI29" s="196">
        <f>+K29/W29</f>
        <v/>
      </c>
      <c r="AJ29" s="196">
        <f>+L29/X29</f>
        <v/>
      </c>
      <c r="AK29" s="361">
        <f>AK8-#REF!</f>
        <v/>
      </c>
      <c r="AL29" s="49">
        <f>ROUND(#REF!/AK29,4)-1</f>
        <v/>
      </c>
      <c r="AM29" s="255" t="n"/>
      <c r="AN29" s="307">
        <f>AN8-#REF!</f>
        <v/>
      </c>
      <c r="AO29" s="295" t="n"/>
      <c r="AP29" s="308">
        <f>AP8-#REF!</f>
        <v/>
      </c>
      <c r="AQ29" s="32">
        <f>ROUND((#REF!-AP29)/ABS(AP29),2)</f>
        <v/>
      </c>
      <c r="AR29" s="309">
        <f>AR8-#REF!</f>
        <v/>
      </c>
      <c r="AS29" s="34">
        <f>ROUND((#REF!-AR29)/ABS(AR29),2)</f>
        <v/>
      </c>
      <c r="AT29" s="255" t="n"/>
      <c r="AU29" s="310" t="n"/>
      <c r="AV29" s="310" t="n"/>
      <c r="AW29" s="310" t="n"/>
      <c r="AX29" s="310" t="n"/>
    </row>
    <row r="30" ht="34.5" customHeight="1" s="261" thickBot="1">
      <c r="A30" s="362" t="inlineStr">
        <is>
          <t>Quarterly Sales Rebate (1%) to SEA/HK/China/Korea</t>
        </is>
      </c>
      <c r="B30" s="253" t="n"/>
      <c r="C30" s="253" t="n"/>
      <c r="D30" s="253" t="n"/>
      <c r="E30" s="253" t="n"/>
      <c r="F30" s="253" t="n"/>
      <c r="N30" s="263" t="n"/>
      <c r="O30" s="263" t="n"/>
      <c r="P30" s="263" t="n"/>
      <c r="Q30" s="264" t="n"/>
      <c r="R30" s="264" t="n"/>
      <c r="S30" s="264" t="n"/>
      <c r="T30" s="265" t="n"/>
      <c r="U30" s="265" t="n"/>
      <c r="V30" s="265" t="n"/>
      <c r="W30" s="312" t="n"/>
      <c r="X30" s="312" t="n"/>
      <c r="Y30" s="312" t="n"/>
      <c r="Z30" s="168">
        <f>+B30/N30</f>
        <v/>
      </c>
      <c r="AA30" s="168">
        <f>+C30/O30</f>
        <v/>
      </c>
      <c r="AB30" s="162">
        <f>+D30/P30</f>
        <v/>
      </c>
      <c r="AC30" s="162">
        <f>+E30/Q30</f>
        <v/>
      </c>
      <c r="AD30" s="168">
        <f>+F30/R30</f>
        <v/>
      </c>
      <c r="AE30" s="162">
        <f>+G30/S30</f>
        <v/>
      </c>
      <c r="AF30" s="162">
        <f>+H30/T30</f>
        <v/>
      </c>
      <c r="AG30" s="162">
        <f>+I30/U30</f>
        <v/>
      </c>
      <c r="AH30" s="162">
        <f>+J30/V30</f>
        <v/>
      </c>
      <c r="AI30" s="162">
        <f>+K30/W30</f>
        <v/>
      </c>
      <c r="AJ30" s="168">
        <f>+L30/X30</f>
        <v/>
      </c>
      <c r="AK30" s="363" t="n"/>
      <c r="AL30" s="57" t="n"/>
      <c r="AM30" s="364" t="n"/>
      <c r="AN30" s="365" t="n"/>
      <c r="AO30" s="366" t="n"/>
      <c r="AP30" s="367" t="n"/>
      <c r="AQ30" s="62" t="n"/>
      <c r="AR30" s="368" t="n"/>
      <c r="AS30" s="62" t="n"/>
      <c r="AT30" s="255" t="n"/>
      <c r="AU30" s="310" t="n"/>
      <c r="AV30" s="310" t="n"/>
      <c r="AW30" s="310" t="n"/>
      <c r="AX30" s="310" t="n"/>
    </row>
    <row r="31" ht="21.75" customHeight="1" s="261" thickBot="1" thickTop="1">
      <c r="A31" s="369" t="inlineStr">
        <is>
          <t>Gross Margin</t>
        </is>
      </c>
      <c r="B31" s="370">
        <f>+B14+B29+#REF!</f>
        <v/>
      </c>
      <c r="C31" s="370">
        <f>+C14+C29+#REF!</f>
        <v/>
      </c>
      <c r="D31" s="370">
        <f>+D14+D29+#REF!</f>
        <v/>
      </c>
      <c r="E31" s="370">
        <f>+E14+E29+#REF!</f>
        <v/>
      </c>
      <c r="F31" s="370">
        <f>+F14+F29+#REF!</f>
        <v/>
      </c>
      <c r="G31" s="370">
        <f>+G14+G29+#REF!</f>
        <v/>
      </c>
      <c r="H31" s="370">
        <f>+H14+H29+#REF!</f>
        <v/>
      </c>
      <c r="I31" s="370">
        <f>+I14+I29+#REF!</f>
        <v/>
      </c>
      <c r="J31" s="370">
        <f>+J14+J29+#REF!</f>
        <v/>
      </c>
      <c r="K31" s="370">
        <f>+K14+K29+#REF!</f>
        <v/>
      </c>
      <c r="L31" s="370">
        <f>+L14+L29+#REF!</f>
        <v/>
      </c>
      <c r="M31" s="370">
        <f>+M14+M29+#REF!</f>
        <v/>
      </c>
      <c r="N31" s="371">
        <f>N14+N29+#REF!</f>
        <v/>
      </c>
      <c r="O31" s="371">
        <f>O14+O29+#REF!</f>
        <v/>
      </c>
      <c r="P31" s="371">
        <f>P14+P29+#REF!</f>
        <v/>
      </c>
      <c r="Q31" s="372">
        <f>Q14+Q29+#REF!</f>
        <v/>
      </c>
      <c r="R31" s="372">
        <f>R14+R29+#REF!</f>
        <v/>
      </c>
      <c r="S31" s="372">
        <f>S14+S29+#REF!</f>
        <v/>
      </c>
      <c r="T31" s="373">
        <f>T14+T29+#REF!</f>
        <v/>
      </c>
      <c r="U31" s="373">
        <f>U14+U29+#REF!</f>
        <v/>
      </c>
      <c r="V31" s="373">
        <f>V14+V29+#REF!</f>
        <v/>
      </c>
      <c r="W31" s="374">
        <f>W14+W29+#REF!</f>
        <v/>
      </c>
      <c r="X31" s="374">
        <f>X14+X29+#REF!</f>
        <v/>
      </c>
      <c r="Y31" s="374">
        <f>Y14+Y29+#REF!</f>
        <v/>
      </c>
      <c r="Z31" s="215">
        <f>+B31/N31</f>
        <v/>
      </c>
      <c r="AA31" s="215">
        <f>+C31/O31</f>
        <v/>
      </c>
      <c r="AB31" s="215">
        <f>+D31/P31</f>
        <v/>
      </c>
      <c r="AC31" s="215">
        <f>+E31/Q31</f>
        <v/>
      </c>
      <c r="AD31" s="215">
        <f>+F31/R31</f>
        <v/>
      </c>
      <c r="AE31" s="215">
        <f>+G31/S31</f>
        <v/>
      </c>
      <c r="AF31" s="215">
        <f>+H31/T31</f>
        <v/>
      </c>
      <c r="AG31" s="215">
        <f>+I31/U31</f>
        <v/>
      </c>
      <c r="AH31" s="215">
        <f>+J31/V31</f>
        <v/>
      </c>
      <c r="AI31" s="215">
        <f>+K31/W31</f>
        <v/>
      </c>
      <c r="AJ31" s="215">
        <f>+L31/X31</f>
        <v/>
      </c>
      <c r="AK31" s="375">
        <f>AK14+AK29-AK30+#REF!</f>
        <v/>
      </c>
      <c r="AL31" s="49">
        <f>ROUND(#REF!/AK31,4)-1</f>
        <v/>
      </c>
      <c r="AM31" s="255" t="n"/>
      <c r="AN31" s="375">
        <f>AN14+AN29-AN30+#REF!</f>
        <v/>
      </c>
      <c r="AO31" s="295" t="n"/>
      <c r="AP31" s="375">
        <f>AP14+AP29-AP30+#REF!</f>
        <v/>
      </c>
      <c r="AQ31" s="32">
        <f>ROUND((#REF!-AP31)/ABS(AP31),2)</f>
        <v/>
      </c>
      <c r="AR31" s="375">
        <f>AR14+AR29-AR30+#REF!</f>
        <v/>
      </c>
      <c r="AS31" s="34">
        <f>ROUND((#REF!-AR31)/ABS(AR31),2)</f>
        <v/>
      </c>
      <c r="AT31" s="255" t="n"/>
      <c r="AU31" s="310" t="n"/>
      <c r="AV31" s="310" t="n"/>
      <c r="AW31" s="310" t="n"/>
      <c r="AX31" s="310" t="n"/>
    </row>
    <row r="32" ht="17.5" customHeight="1" s="261" thickTop="1">
      <c r="A32" s="376" t="inlineStr">
        <is>
          <t xml:space="preserve">     External Margin%</t>
        </is>
      </c>
      <c r="B32" s="70">
        <f>+B14/B4</f>
        <v/>
      </c>
      <c r="C32" s="70">
        <f>+C14/C4</f>
        <v/>
      </c>
      <c r="D32" s="70">
        <f>+D14/D4</f>
        <v/>
      </c>
      <c r="E32" s="70">
        <f>+E14/E4</f>
        <v/>
      </c>
      <c r="F32" s="70">
        <f>+F14/F4</f>
        <v/>
      </c>
      <c r="G32" s="70">
        <f>+G14/G4</f>
        <v/>
      </c>
      <c r="H32" s="70">
        <f>+H14/H4</f>
        <v/>
      </c>
      <c r="I32" s="70">
        <f>+I14/I4</f>
        <v/>
      </c>
      <c r="J32" s="70">
        <f>+J14/J4</f>
        <v/>
      </c>
      <c r="K32" s="70">
        <f>+K14/K4</f>
        <v/>
      </c>
      <c r="L32" s="70">
        <f>+L14/L4</f>
        <v/>
      </c>
      <c r="M32" s="70">
        <f>+M14/M4</f>
        <v/>
      </c>
      <c r="N32" s="72">
        <f>+N14/N4</f>
        <v/>
      </c>
      <c r="O32" s="72">
        <f>+O14/O4</f>
        <v/>
      </c>
      <c r="P32" s="72">
        <f>+P14/P4</f>
        <v/>
      </c>
      <c r="Q32" s="71">
        <f>+Q14/Q4</f>
        <v/>
      </c>
      <c r="R32" s="71">
        <f>+R14/R4</f>
        <v/>
      </c>
      <c r="S32" s="71">
        <f>+S14/S4</f>
        <v/>
      </c>
      <c r="T32" s="73">
        <f>+T14/T4</f>
        <v/>
      </c>
      <c r="U32" s="73">
        <f>+U14/U4</f>
        <v/>
      </c>
      <c r="V32" s="73">
        <f>+V14/V4</f>
        <v/>
      </c>
      <c r="W32" s="74">
        <f>+W14/W4</f>
        <v/>
      </c>
      <c r="X32" s="74">
        <f>+X14/X4</f>
        <v/>
      </c>
      <c r="Y32" s="74">
        <f>+Y14/Y4</f>
        <v/>
      </c>
      <c r="Z32" s="217">
        <f>+B32/N32</f>
        <v/>
      </c>
      <c r="AA32" s="217">
        <f>+C32/O32</f>
        <v/>
      </c>
      <c r="AB32" s="217">
        <f>+D32/P32</f>
        <v/>
      </c>
      <c r="AC32" s="217">
        <f>+E32/Q32</f>
        <v/>
      </c>
      <c r="AD32" s="217">
        <f>+F32/R32</f>
        <v/>
      </c>
      <c r="AE32" s="217">
        <f>+G32/S32</f>
        <v/>
      </c>
      <c r="AF32" s="217">
        <f>+H32/T32</f>
        <v/>
      </c>
      <c r="AG32" s="217">
        <f>+I32/U32</f>
        <v/>
      </c>
      <c r="AH32" s="217">
        <f>+J32/V32</f>
        <v/>
      </c>
      <c r="AI32" s="217">
        <f>+K32/W32</f>
        <v/>
      </c>
      <c r="AJ32" s="217">
        <f>+L32/X32</f>
        <v/>
      </c>
      <c r="AK32" s="75">
        <f>ROUND(AK14/AK4,4)</f>
        <v/>
      </c>
      <c r="AL32" s="76">
        <f>ROUND(#REF!/AK32,4)-1</f>
        <v/>
      </c>
      <c r="AM32" s="255" t="n"/>
      <c r="AN32" s="77">
        <f>ROUND(AN14/AN4,4)</f>
        <v/>
      </c>
      <c r="AO32" s="78" t="n"/>
      <c r="AP32" s="79">
        <f>ROUND(AP14/AP4,4)</f>
        <v/>
      </c>
      <c r="AQ32" s="80">
        <f>ROUND((#REF!-AP32)/ABS(AP32),2)</f>
        <v/>
      </c>
      <c r="AR32" s="81">
        <f>ROUND(AR14/AR4,4)</f>
        <v/>
      </c>
      <c r="AS32" s="82">
        <f>ROUND((#REF!-AR32)/ABS(AR32),2)</f>
        <v/>
      </c>
      <c r="AT32" s="255" t="n"/>
      <c r="AU32" s="310" t="n"/>
      <c r="AV32" s="310" t="n"/>
      <c r="AW32" s="310" t="n"/>
      <c r="AX32" s="310" t="n"/>
    </row>
    <row r="33" ht="17.5" customHeight="1" s="261" thickBot="1">
      <c r="A33" s="377" t="inlineStr">
        <is>
          <t>Rental&amp;Management Fee</t>
        </is>
      </c>
      <c r="B33" s="253" t="n">
        <v>110938</v>
      </c>
      <c r="C33" s="253" t="n">
        <v>121262</v>
      </c>
      <c r="D33" s="253" t="n">
        <v>114096</v>
      </c>
      <c r="E33" s="253" t="n">
        <v>120808</v>
      </c>
      <c r="F33" s="253" t="n">
        <v>114536</v>
      </c>
      <c r="G33" s="253" t="n">
        <v>118685</v>
      </c>
      <c r="H33" s="253" t="n">
        <v>118813</v>
      </c>
      <c r="I33" s="253" t="n">
        <v>120589</v>
      </c>
      <c r="J33" s="253" t="n">
        <v>118914</v>
      </c>
      <c r="K33" s="253" t="n">
        <v>114473</v>
      </c>
      <c r="L33" s="253" t="n">
        <v>119609</v>
      </c>
      <c r="M33" s="253" t="n">
        <v>114961</v>
      </c>
      <c r="N33" s="378" t="n">
        <v>157626.0869565217</v>
      </c>
      <c r="O33" s="378" t="n">
        <v>145647.8260869565</v>
      </c>
      <c r="P33" s="378" t="n">
        <v>145647.8260869565</v>
      </c>
      <c r="Q33" s="379" t="n">
        <v>136013.0434782609</v>
      </c>
      <c r="R33" s="379" t="n">
        <v>135647.8260869565</v>
      </c>
      <c r="S33" s="379" t="n">
        <v>135647.8260869565</v>
      </c>
      <c r="T33" s="380" t="n">
        <v>146013.0434782609</v>
      </c>
      <c r="U33" s="380" t="n">
        <v>155647.8260869565</v>
      </c>
      <c r="V33" s="380" t="n">
        <v>135647.8260869565</v>
      </c>
      <c r="W33" s="266" t="n">
        <v>136013.0434782609</v>
      </c>
      <c r="X33" s="266" t="n">
        <v>135647.8260869565</v>
      </c>
      <c r="Y33" s="266" t="n">
        <v>135647.8260869565</v>
      </c>
      <c r="Z33" s="168">
        <f>+B33/N33</f>
        <v/>
      </c>
      <c r="AA33" s="168">
        <f>+C33/O33</f>
        <v/>
      </c>
      <c r="AB33" s="168">
        <f>+D33/P33</f>
        <v/>
      </c>
      <c r="AC33" s="168">
        <f>+E33/Q33</f>
        <v/>
      </c>
      <c r="AD33" s="168">
        <f>+F33/R33</f>
        <v/>
      </c>
      <c r="AE33" s="168">
        <f>+G33/S33</f>
        <v/>
      </c>
      <c r="AF33" s="168">
        <f>+H33/T33</f>
        <v/>
      </c>
      <c r="AG33" s="168">
        <f>+I33/U33</f>
        <v/>
      </c>
      <c r="AH33" s="168">
        <f>+J33/V33</f>
        <v/>
      </c>
      <c r="AI33" s="168">
        <f>+K33/W33</f>
        <v/>
      </c>
      <c r="AJ33" s="168">
        <f>+L33/X33</f>
        <v/>
      </c>
      <c r="AK33" s="343">
        <f>AP33</f>
        <v/>
      </c>
      <c r="AL33" s="39">
        <f>ROUND(#REF!/AK33,4)-1</f>
        <v/>
      </c>
      <c r="AM33" s="255" t="n"/>
      <c r="AN33" s="381" t="n">
        <v>1780252</v>
      </c>
      <c r="AO33" s="382" t="n"/>
      <c r="AP33" s="314" t="n">
        <v>1580170</v>
      </c>
      <c r="AQ33" s="25">
        <f>ROUND((#REF!-AP33)/ABS(AP33),2)</f>
        <v/>
      </c>
      <c r="AR33" s="315">
        <f>SUM(AN33+AP33)/2</f>
        <v/>
      </c>
      <c r="AS33" s="27">
        <f>ROUND((#REF!-AR33)/ABS(AR33),2)</f>
        <v/>
      </c>
    </row>
    <row r="34" ht="23.25" customHeight="1" s="261" thickBot="1">
      <c r="A34" s="383" t="inlineStr">
        <is>
          <t>Expenses Total</t>
        </is>
      </c>
      <c r="B34" s="384">
        <f>SUM(B33:B33)</f>
        <v/>
      </c>
      <c r="C34" s="384">
        <f>SUM(C33:C33)</f>
        <v/>
      </c>
      <c r="D34" s="384">
        <f>SUM(D33:D33)</f>
        <v/>
      </c>
      <c r="E34" s="384">
        <f>SUM(E33:E33)</f>
        <v/>
      </c>
      <c r="F34" s="384">
        <f>SUM(F33:F33)</f>
        <v/>
      </c>
      <c r="G34" s="384">
        <f>SUM(G33:G33)</f>
        <v/>
      </c>
      <c r="H34" s="384">
        <f>SUM(H33:H33)</f>
        <v/>
      </c>
      <c r="I34" s="384">
        <f>SUM(I33:I33)</f>
        <v/>
      </c>
      <c r="J34" s="384">
        <f>SUM(J33:J33)</f>
        <v/>
      </c>
      <c r="K34" s="384">
        <f>SUM(K33:K33)</f>
        <v/>
      </c>
      <c r="L34" s="384">
        <f>SUM(L33:L33)</f>
        <v/>
      </c>
      <c r="M34" s="384">
        <f>SUM(M33:M33)</f>
        <v/>
      </c>
      <c r="N34" s="385">
        <f>SUM(N33:N33)</f>
        <v/>
      </c>
      <c r="O34" s="385">
        <f>SUM(O33:O33)</f>
        <v/>
      </c>
      <c r="P34" s="385">
        <f>SUM(P33:P33)</f>
        <v/>
      </c>
      <c r="Q34" s="386">
        <f>SUM(Q33:Q33)</f>
        <v/>
      </c>
      <c r="R34" s="386">
        <f>SUM(R33:R33)</f>
        <v/>
      </c>
      <c r="S34" s="386">
        <f>SUM(S33:S33)</f>
        <v/>
      </c>
      <c r="T34" s="387">
        <f>SUM(T33:T33)</f>
        <v/>
      </c>
      <c r="U34" s="387">
        <f>SUM(U33:U33)</f>
        <v/>
      </c>
      <c r="V34" s="387">
        <f>SUM(V33:V33)</f>
        <v/>
      </c>
      <c r="W34" s="388">
        <f>SUM(W33:W33)</f>
        <v/>
      </c>
      <c r="X34" s="388">
        <f>SUM(X33:X33)</f>
        <v/>
      </c>
      <c r="Y34" s="388">
        <f>SUM(Y33:Y33)</f>
        <v/>
      </c>
      <c r="Z34" s="225">
        <f>+B34/N34</f>
        <v/>
      </c>
      <c r="AA34" s="225">
        <f>+C34/O34</f>
        <v/>
      </c>
      <c r="AB34" s="225">
        <f>+D34/P34</f>
        <v/>
      </c>
      <c r="AC34" s="225">
        <f>+E34/Q34</f>
        <v/>
      </c>
      <c r="AD34" s="225">
        <f>+F34/R34</f>
        <v/>
      </c>
      <c r="AE34" s="225">
        <f>+G34/S34</f>
        <v/>
      </c>
      <c r="AF34" s="225">
        <f>+H34/T34</f>
        <v/>
      </c>
      <c r="AG34" s="225">
        <f>+I34/U34</f>
        <v/>
      </c>
      <c r="AH34" s="225">
        <f>+J34/V34</f>
        <v/>
      </c>
      <c r="AI34" s="225">
        <f>+K34/W34</f>
        <v/>
      </c>
      <c r="AJ34" s="226">
        <f>+L34/X34</f>
        <v/>
      </c>
      <c r="AK34" s="389">
        <f>SUM(AK33:AK33)</f>
        <v/>
      </c>
      <c r="AL34" s="21">
        <f>ROUND(#REF!/AK34,4)-1</f>
        <v/>
      </c>
      <c r="AM34" s="255" t="n"/>
      <c r="AN34" s="390">
        <f>SUM(AN33:AN33)</f>
        <v/>
      </c>
      <c r="AO34" s="382" t="n"/>
      <c r="AP34" s="308">
        <f>SUM(AP33:AP33)</f>
        <v/>
      </c>
      <c r="AQ34" s="91">
        <f>ROUND((#REF!-AP34)/ABS(AP34),2)</f>
        <v/>
      </c>
      <c r="AR34" s="391">
        <f>SUM(AR33:AR33)</f>
        <v/>
      </c>
      <c r="AS34" s="83">
        <f>ROUND((#REF!-AR34)/ABS(AR34),2)</f>
        <v/>
      </c>
      <c r="AT34" s="255" t="n"/>
      <c r="AU34" s="310" t="n"/>
      <c r="AV34" s="310" t="n"/>
      <c r="AW34" s="310" t="n"/>
      <c r="AX34" s="310" t="n"/>
    </row>
    <row r="35" ht="20.25" customHeight="1" s="261" thickBot="1">
      <c r="A35" s="392" t="inlineStr">
        <is>
          <t>G&amp;A Expenses</t>
        </is>
      </c>
      <c r="B35" s="384" t="n">
        <v>61596</v>
      </c>
      <c r="C35" s="384" t="n">
        <v>54174</v>
      </c>
      <c r="D35" s="384" t="n">
        <v>31562</v>
      </c>
      <c r="E35" s="384" t="n">
        <v>60417</v>
      </c>
      <c r="F35" s="384" t="n">
        <v>59781</v>
      </c>
      <c r="G35" s="384" t="n">
        <v>59086</v>
      </c>
      <c r="H35" s="384" t="n">
        <v>58788</v>
      </c>
      <c r="I35" s="384" t="n">
        <v>57789</v>
      </c>
      <c r="J35" s="384" t="n">
        <v>60686</v>
      </c>
      <c r="K35" s="384" t="n">
        <v>65911</v>
      </c>
      <c r="L35" s="384" t="n">
        <v>60990</v>
      </c>
      <c r="M35" s="384">
        <f>54452</f>
        <v/>
      </c>
      <c r="N35" s="385" t="n">
        <v>84064.31012443329</v>
      </c>
      <c r="O35" s="385" t="n">
        <v>74174.1546545806</v>
      </c>
      <c r="P35" s="385" t="n">
        <v>75642.27024770759</v>
      </c>
      <c r="Q35" s="386" t="n">
        <v>77392.59042215435</v>
      </c>
      <c r="R35" s="386" t="n">
        <v>78653.76712015296</v>
      </c>
      <c r="S35" s="386" t="n">
        <v>76101.30336059566</v>
      </c>
      <c r="T35" s="387" t="n">
        <v>77691.10012953554</v>
      </c>
      <c r="U35" s="387" t="n">
        <v>75514.41769775729</v>
      </c>
      <c r="V35" s="387" t="n">
        <v>77153.02045531099</v>
      </c>
      <c r="W35" s="388" t="n">
        <v>77613.33179122854</v>
      </c>
      <c r="X35" s="388" t="n">
        <v>77646.49581392443</v>
      </c>
      <c r="Y35" s="388" t="n">
        <v>76401.46446146278</v>
      </c>
      <c r="Z35" s="225">
        <f>+B35/N35</f>
        <v/>
      </c>
      <c r="AA35" s="225">
        <f>+C35/O35</f>
        <v/>
      </c>
      <c r="AB35" s="225">
        <f>+D35/P35</f>
        <v/>
      </c>
      <c r="AC35" s="225">
        <f>+E35/Q35</f>
        <v/>
      </c>
      <c r="AD35" s="225">
        <f>+F35/R35</f>
        <v/>
      </c>
      <c r="AE35" s="225">
        <f>+G35/S35</f>
        <v/>
      </c>
      <c r="AF35" s="225">
        <f>+H35/T35</f>
        <v/>
      </c>
      <c r="AG35" s="225">
        <f>+I35/U35</f>
        <v/>
      </c>
      <c r="AH35" s="225">
        <f>+J35/V35</f>
        <v/>
      </c>
      <c r="AI35" s="225">
        <f>+K35/W35</f>
        <v/>
      </c>
      <c r="AJ35" s="225">
        <f>+L35/X35</f>
        <v/>
      </c>
      <c r="AK35" s="393">
        <f>AP35</f>
        <v/>
      </c>
      <c r="AL35" s="96">
        <f>ROUND(#REF!/AK35,4)-1</f>
        <v/>
      </c>
      <c r="AM35" s="255" t="n"/>
      <c r="AN35" s="394" t="n">
        <v>943029</v>
      </c>
      <c r="AO35" s="395" t="n"/>
      <c r="AP35" s="314" t="n">
        <v>738057</v>
      </c>
      <c r="AQ35" s="25">
        <f>ROUND((#REF!-AP35)/ABS(AP35),2)</f>
        <v/>
      </c>
      <c r="AR35" s="315">
        <f>SUM(AN35+AP35)/2</f>
        <v/>
      </c>
      <c r="AS35" s="27">
        <f>ROUND((#REF!-AR35)/ABS(AR35),2)</f>
        <v/>
      </c>
    </row>
    <row r="36" hidden="1" ht="20.25" customHeight="1" s="261" thickBot="1">
      <c r="A36" s="392" t="n"/>
      <c r="B36" s="384" t="n"/>
      <c r="C36" s="384" t="n"/>
      <c r="D36" s="384" t="n"/>
      <c r="E36" s="384" t="n"/>
      <c r="F36" s="384" t="n"/>
      <c r="G36" s="384" t="n"/>
      <c r="H36" s="384" t="n"/>
      <c r="I36" s="384" t="n"/>
      <c r="J36" s="384" t="n"/>
      <c r="K36" s="384" t="n"/>
      <c r="L36" s="384" t="n"/>
      <c r="M36" s="384" t="n"/>
      <c r="N36" s="385" t="n"/>
      <c r="O36" s="385" t="n"/>
      <c r="P36" s="385" t="n"/>
      <c r="Q36" s="386" t="n"/>
      <c r="R36" s="386" t="n"/>
      <c r="S36" s="386" t="n"/>
      <c r="T36" s="387" t="n"/>
      <c r="U36" s="387" t="n"/>
      <c r="V36" s="387" t="n"/>
      <c r="W36" s="388" t="n"/>
      <c r="X36" s="388" t="n"/>
      <c r="Y36" s="388" t="n"/>
      <c r="Z36" s="225" t="n"/>
      <c r="AA36" s="225">
        <f>+C36/O36</f>
        <v/>
      </c>
      <c r="AB36" s="225">
        <f>+D36/P36</f>
        <v/>
      </c>
      <c r="AC36" s="225">
        <f>+E36/Q36</f>
        <v/>
      </c>
      <c r="AD36" s="225">
        <f>+F36/R36</f>
        <v/>
      </c>
      <c r="AE36" s="225" t="n"/>
      <c r="AF36" s="225" t="n"/>
      <c r="AG36" s="225" t="n"/>
      <c r="AH36" s="225" t="n"/>
      <c r="AI36" s="225">
        <f>+K36/W36</f>
        <v/>
      </c>
      <c r="AJ36" s="225" t="n"/>
      <c r="AK36" s="396" t="n"/>
      <c r="AL36" s="65" t="n"/>
      <c r="AM36" s="255" t="n"/>
      <c r="AN36" s="382" t="n"/>
      <c r="AO36" s="382" t="n"/>
      <c r="AP36" s="397" t="n"/>
      <c r="AQ36" s="398" t="n"/>
      <c r="AR36" s="399" t="n"/>
      <c r="AS36" s="398" t="n"/>
      <c r="AT36" s="256" t="n"/>
      <c r="AU36" s="260" t="n"/>
      <c r="AV36" s="260" t="n"/>
      <c r="AW36" s="260" t="n"/>
      <c r="AX36" s="260" t="n"/>
    </row>
    <row r="37" ht="19.5" customHeight="1" s="261" thickBot="1">
      <c r="A37" s="400" t="inlineStr">
        <is>
          <t>BU direct profit</t>
        </is>
      </c>
      <c r="B37" s="384">
        <f>+#REF!-B35</f>
        <v/>
      </c>
      <c r="C37" s="384">
        <f>+#REF!-C35</f>
        <v/>
      </c>
      <c r="D37" s="384">
        <f>+#REF!-D35</f>
        <v/>
      </c>
      <c r="E37" s="384">
        <f>+#REF!-E35</f>
        <v/>
      </c>
      <c r="F37" s="384">
        <f>+#REF!-F35</f>
        <v/>
      </c>
      <c r="G37" s="384">
        <f>+#REF!-G35</f>
        <v/>
      </c>
      <c r="H37" s="384">
        <f>+#REF!-H35</f>
        <v/>
      </c>
      <c r="I37" s="384">
        <f>+#REF!-I35</f>
        <v/>
      </c>
      <c r="J37" s="384">
        <f>+#REF!-J35</f>
        <v/>
      </c>
      <c r="K37" s="384">
        <f>+#REF!-K35</f>
        <v/>
      </c>
      <c r="L37" s="384">
        <f>+#REF!-L35</f>
        <v/>
      </c>
      <c r="M37" s="384">
        <f>+#REF!-M35</f>
        <v/>
      </c>
      <c r="N37" s="401">
        <f>+#REF!-N35</f>
        <v/>
      </c>
      <c r="O37" s="401">
        <f>+#REF!-O35</f>
        <v/>
      </c>
      <c r="P37" s="401">
        <f>+#REF!-P35</f>
        <v/>
      </c>
      <c r="Q37" s="402">
        <f>+#REF!-Q35</f>
        <v/>
      </c>
      <c r="R37" s="402">
        <f>+#REF!-R35</f>
        <v/>
      </c>
      <c r="S37" s="402">
        <f>+#REF!-S35</f>
        <v/>
      </c>
      <c r="T37" s="403">
        <f>+#REF!-T35</f>
        <v/>
      </c>
      <c r="U37" s="403">
        <f>+#REF!-U35</f>
        <v/>
      </c>
      <c r="V37" s="403">
        <f>+#REF!-V35</f>
        <v/>
      </c>
      <c r="W37" s="404">
        <f>+#REF!-W35</f>
        <v/>
      </c>
      <c r="X37" s="404">
        <f>+#REF!-X35</f>
        <v/>
      </c>
      <c r="Y37" s="404">
        <f>+#REF!-Y35</f>
        <v/>
      </c>
      <c r="Z37" s="225">
        <f>(+B37-N37)/ABS(N37)</f>
        <v/>
      </c>
      <c r="AA37" s="225">
        <f>+C37/O37</f>
        <v/>
      </c>
      <c r="AB37" s="225">
        <f>+D37/P37</f>
        <v/>
      </c>
      <c r="AC37" s="225">
        <f>(+E37-Q37)/ABS(Q37)</f>
        <v/>
      </c>
      <c r="AD37" s="225">
        <f>(+F37-R37)/ABS(R37)</f>
        <v/>
      </c>
      <c r="AE37" s="225">
        <f>(+G37-S37)/ABS(S37)</f>
        <v/>
      </c>
      <c r="AF37" s="225">
        <f>(+H37-T37)/ABS(T37)</f>
        <v/>
      </c>
      <c r="AG37" s="225">
        <f>+I37/U37</f>
        <v/>
      </c>
      <c r="AH37" s="225">
        <f>+J37/V37</f>
        <v/>
      </c>
      <c r="AI37" s="225">
        <f>+K37/W37</f>
        <v/>
      </c>
      <c r="AJ37" s="225">
        <f>(+L37-X37)/ABS(X37)</f>
        <v/>
      </c>
      <c r="AK37" s="405">
        <f>#REF!-AK35+AK36</f>
        <v/>
      </c>
      <c r="AL37" s="94">
        <f>ROUND(#REF!/AK37,4)-1</f>
        <v/>
      </c>
      <c r="AM37" s="255" t="n"/>
      <c r="AN37" s="390">
        <f>#REF!-AN35+AN36</f>
        <v/>
      </c>
      <c r="AO37" s="382" t="n"/>
      <c r="AP37" s="351">
        <f>#REF!-AP35</f>
        <v/>
      </c>
      <c r="AQ37" s="32">
        <f>ROUND((#REF!-AP37)/ABS(AP37),2)</f>
        <v/>
      </c>
      <c r="AR37" s="352">
        <f>#REF!-AR35</f>
        <v/>
      </c>
      <c r="AS37" s="34">
        <f>ROUND((#REF!-AR37)/ABS(AR37),2)</f>
        <v/>
      </c>
    </row>
    <row r="38" ht="21" customHeight="1" s="261" thickBot="1">
      <c r="A38" s="392" t="inlineStr">
        <is>
          <t>G&amp;A Expenses-From H</t>
        </is>
      </c>
      <c r="B38" s="384" t="n">
        <v>389162</v>
      </c>
      <c r="C38" s="384" t="n">
        <v>299091</v>
      </c>
      <c r="D38" s="384" t="n">
        <v>194337</v>
      </c>
      <c r="E38" s="384" t="n">
        <v>288746</v>
      </c>
      <c r="F38" s="384" t="n">
        <v>321395</v>
      </c>
      <c r="G38" s="384" t="n">
        <v>316620</v>
      </c>
      <c r="H38" s="384" t="n">
        <v>327778</v>
      </c>
      <c r="I38" s="384" t="n">
        <v>313811</v>
      </c>
      <c r="J38" s="384" t="n">
        <v>393072</v>
      </c>
      <c r="K38" s="384" t="n">
        <v>336417</v>
      </c>
      <c r="L38" s="384" t="n">
        <v>343427</v>
      </c>
      <c r="M38" s="384" t="n">
        <v>319225</v>
      </c>
      <c r="N38" s="385" t="n">
        <v>456966.1581589855</v>
      </c>
      <c r="O38" s="385" t="n">
        <v>326553.4789494994</v>
      </c>
      <c r="P38" s="385" t="n">
        <v>328554.8153328986</v>
      </c>
      <c r="Q38" s="386" t="n">
        <v>335743.9035937755</v>
      </c>
      <c r="R38" s="386" t="n">
        <v>360183.7974277675</v>
      </c>
      <c r="S38" s="386" t="n">
        <v>352631.7122024711</v>
      </c>
      <c r="T38" s="387" t="n">
        <v>345917.6410305791</v>
      </c>
      <c r="U38" s="387" t="n">
        <v>376840.8405953145</v>
      </c>
      <c r="V38" s="387" t="n">
        <v>351227.5481096305</v>
      </c>
      <c r="W38" s="388" t="n">
        <v>332756.7410247827</v>
      </c>
      <c r="X38" s="388" t="n">
        <v>328388.4961631226</v>
      </c>
      <c r="Y38" s="388" t="n">
        <v>326908.2017552175</v>
      </c>
      <c r="Z38" s="225">
        <f>+B38/N38</f>
        <v/>
      </c>
      <c r="AA38" s="225">
        <f>+C38/O38</f>
        <v/>
      </c>
      <c r="AB38" s="225">
        <f>+D38/P38</f>
        <v/>
      </c>
      <c r="AC38" s="225">
        <f>+E38/Q38</f>
        <v/>
      </c>
      <c r="AD38" s="225">
        <f>+F38/R38</f>
        <v/>
      </c>
      <c r="AE38" s="225">
        <f>+G38/S38</f>
        <v/>
      </c>
      <c r="AF38" s="225">
        <f>+H38/T38</f>
        <v/>
      </c>
      <c r="AG38" s="225">
        <f>+I38/U38</f>
        <v/>
      </c>
      <c r="AH38" s="225">
        <f>+J38/V38</f>
        <v/>
      </c>
      <c r="AI38" s="225">
        <f>+K38/W38</f>
        <v/>
      </c>
      <c r="AJ38" s="225">
        <f>+L38/X38</f>
        <v/>
      </c>
      <c r="AK38" s="406">
        <f>AP38</f>
        <v/>
      </c>
      <c r="AL38" s="103">
        <f>ROUND(#REF!/AK38,4)-1</f>
        <v/>
      </c>
      <c r="AM38" s="255" t="n"/>
      <c r="AN38" s="381" t="n">
        <v>4900164</v>
      </c>
      <c r="AO38" s="382" t="n"/>
      <c r="AP38" s="314" t="n">
        <v>4924636</v>
      </c>
      <c r="AQ38" s="88">
        <f>ROUND((#REF!-AP38)/ABS(AP38),2)</f>
        <v/>
      </c>
      <c r="AR38" s="315">
        <f>SUM(AN38+AP38)/2</f>
        <v/>
      </c>
      <c r="AS38" s="46">
        <f>ROUND((#REF!-AR38)/ABS(AR38),2)</f>
        <v/>
      </c>
    </row>
    <row r="39" ht="21" customHeight="1" s="261" thickBot="1">
      <c r="A39" s="407" t="inlineStr">
        <is>
          <t>Inventory-instant</t>
        </is>
      </c>
      <c r="B39" s="408" t="n">
        <v>12011940</v>
      </c>
      <c r="C39" s="408">
        <f>10383063</f>
        <v/>
      </c>
      <c r="D39" s="408">
        <f>9961872</f>
        <v/>
      </c>
      <c r="E39" s="408">
        <f>9326977.8+1046355.2</f>
        <v/>
      </c>
      <c r="F39" s="408" t="n">
        <v>10916604</v>
      </c>
      <c r="G39" s="408">
        <f>10999829</f>
        <v/>
      </c>
      <c r="H39" s="408" t="n">
        <v>10475424</v>
      </c>
      <c r="I39" s="408">
        <f>10574190</f>
        <v/>
      </c>
      <c r="J39" s="408">
        <f>8742524</f>
        <v/>
      </c>
      <c r="K39" s="408">
        <f>9792874</f>
        <v/>
      </c>
      <c r="L39" s="408">
        <f>9867035</f>
        <v/>
      </c>
      <c r="M39" s="408">
        <f>8202408</f>
        <v/>
      </c>
      <c r="N39" s="409" t="n"/>
      <c r="O39" s="409" t="n"/>
      <c r="P39" s="409" t="n">
        <v>13500000</v>
      </c>
      <c r="Q39" s="410" t="n"/>
      <c r="R39" s="410" t="n"/>
      <c r="S39" s="410" t="n">
        <v>12500000</v>
      </c>
      <c r="T39" s="411" t="n"/>
      <c r="U39" s="411" t="n"/>
      <c r="V39" s="411" t="n">
        <v>12500000</v>
      </c>
      <c r="W39" s="412" t="n"/>
      <c r="X39" s="412" t="n"/>
      <c r="Y39" s="412" t="n">
        <v>11000000</v>
      </c>
      <c r="Z39" s="239">
        <f>+B39/N39</f>
        <v/>
      </c>
      <c r="AA39" s="239">
        <f>+C39/O39</f>
        <v/>
      </c>
      <c r="AB39" s="239">
        <f>+D39/P39</f>
        <v/>
      </c>
      <c r="AC39" s="239">
        <f>+E39/Q39</f>
        <v/>
      </c>
      <c r="AD39" s="239">
        <f>+F39/R39</f>
        <v/>
      </c>
      <c r="AE39" s="239">
        <f>+G39/S39</f>
        <v/>
      </c>
      <c r="AF39" s="239">
        <f>+H39/T39</f>
        <v/>
      </c>
      <c r="AG39" s="239">
        <f>+I39/U39</f>
        <v/>
      </c>
      <c r="AH39" s="239">
        <f>+J39/V39</f>
        <v/>
      </c>
      <c r="AI39" s="239">
        <f>+K39/W39</f>
        <v/>
      </c>
      <c r="AJ39" s="239">
        <f>+L39/X39</f>
        <v/>
      </c>
      <c r="AK39" s="413">
        <f>AP39</f>
        <v/>
      </c>
      <c r="AL39" s="105">
        <f>(#REF!-AK39)/AK39</f>
        <v/>
      </c>
      <c r="AM39" s="255" t="n"/>
      <c r="AN39" s="381" t="n">
        <v>18000000</v>
      </c>
      <c r="AO39" s="382" t="n"/>
      <c r="AP39" s="314" t="n">
        <v>11492712</v>
      </c>
      <c r="AQ39" s="88">
        <f>ROUND((#REF!-AP39)/ABS(AP39),2)</f>
        <v/>
      </c>
      <c r="AR39" s="315">
        <f>SUM(AN39+AP39)/2</f>
        <v/>
      </c>
      <c r="AS39" s="46">
        <f>ROUND((#REF!-AR39)/ABS(AR39),2)</f>
        <v/>
      </c>
    </row>
    <row r="40" ht="21" customHeight="1" s="261" thickBot="1">
      <c r="A40" s="407" t="inlineStr">
        <is>
          <t>A/R+N/R (Excluding Internal AR)</t>
        </is>
      </c>
      <c r="B40" s="408">
        <f>10316096+2717104</f>
        <v/>
      </c>
      <c r="C40" s="408">
        <f>7961239+3542139</f>
        <v/>
      </c>
      <c r="D40" s="408">
        <f>8835612+2848117</f>
        <v/>
      </c>
      <c r="E40" s="408">
        <f>3540174+8052536</f>
        <v/>
      </c>
      <c r="F40" s="408">
        <f>3335494+8129874</f>
        <v/>
      </c>
      <c r="G40" s="408">
        <f>8058952+2465562</f>
        <v/>
      </c>
      <c r="H40" s="408">
        <f>2361791+9301288</f>
        <v/>
      </c>
      <c r="I40" s="408">
        <f>3019896+8354389</f>
        <v/>
      </c>
      <c r="J40" s="408">
        <f>2565875+9441774</f>
        <v/>
      </c>
      <c r="K40" s="408">
        <f>9963418+4131836</f>
        <v/>
      </c>
      <c r="L40" s="408">
        <f>12513802+3499112</f>
        <v/>
      </c>
      <c r="M40" s="408">
        <f>3628093+8918774</f>
        <v/>
      </c>
      <c r="N40" s="409" t="n"/>
      <c r="O40" s="409" t="n"/>
      <c r="P40" s="409" t="n">
        <v>15500000</v>
      </c>
      <c r="Q40" s="410" t="n"/>
      <c r="R40" s="410" t="n"/>
      <c r="S40" s="410" t="n">
        <v>15300000</v>
      </c>
      <c r="T40" s="411" t="n"/>
      <c r="U40" s="411" t="n"/>
      <c r="V40" s="411" t="n">
        <v>19000000</v>
      </c>
      <c r="W40" s="412" t="n"/>
      <c r="X40" s="412" t="n"/>
      <c r="Y40" s="412" t="n">
        <v>17500000</v>
      </c>
      <c r="Z40" s="239">
        <f>+B40/N40</f>
        <v/>
      </c>
      <c r="AA40" s="239">
        <f>+C40/O40</f>
        <v/>
      </c>
      <c r="AB40" s="239">
        <f>+D40/P40</f>
        <v/>
      </c>
      <c r="AC40" s="239">
        <f>+E40/Q40</f>
        <v/>
      </c>
      <c r="AD40" s="239">
        <f>+F40/R40</f>
        <v/>
      </c>
      <c r="AE40" s="239">
        <f>+G40/S40</f>
        <v/>
      </c>
      <c r="AF40" s="239">
        <f>+H40/T40</f>
        <v/>
      </c>
      <c r="AG40" s="239">
        <f>+I40/U40</f>
        <v/>
      </c>
      <c r="AH40" s="239">
        <f>+J40/V40</f>
        <v/>
      </c>
      <c r="AI40" s="239">
        <f>+K40/W40</f>
        <v/>
      </c>
      <c r="AJ40" s="239">
        <f>+L40/X40</f>
        <v/>
      </c>
      <c r="AK40" s="413">
        <f>AP40</f>
        <v/>
      </c>
      <c r="AL40" s="105">
        <f>(#REF!-AK40)/AK40</f>
        <v/>
      </c>
      <c r="AM40" s="255" t="n"/>
      <c r="AN40" s="414" t="n">
        <v>19000000</v>
      </c>
      <c r="AO40" s="382" t="n"/>
      <c r="AP40" s="415" t="n">
        <v>14165594</v>
      </c>
      <c r="AQ40" s="108">
        <f>ROUND((#REF!-AP40)/ABS(AP40),2)</f>
        <v/>
      </c>
      <c r="AR40" s="416">
        <f>SUM(AN40+AP40)/2</f>
        <v/>
      </c>
      <c r="AS40" s="110">
        <f>ROUND((#REF!-AR40)/ABS(AR40),2)</f>
        <v/>
      </c>
    </row>
    <row r="41" ht="21" customHeight="1" s="261" thickBot="1">
      <c r="A41" s="407" t="inlineStr">
        <is>
          <t>Inventory turnover days</t>
        </is>
      </c>
      <c r="B41" s="408">
        <f>ROUND((+B39+AK39)/2/(B10)*30,0)</f>
        <v/>
      </c>
      <c r="C41" s="408">
        <f>ROUND(($AK$39+C39)/2/SUM($B$10:C10)*60,0)</f>
        <v/>
      </c>
      <c r="D41" s="408">
        <f>ROUND(($AK$39+D39)/2/SUM($B$10:D10)*90,0)</f>
        <v/>
      </c>
      <c r="E41" s="408">
        <f>ROUND(($AK$39+E39)/2/SUM($B$10:E10)*120,0)</f>
        <v/>
      </c>
      <c r="F41" s="408">
        <f>ROUND(($AK$39+F39)/2/SUM($B$10:F10)*150,0)</f>
        <v/>
      </c>
      <c r="G41" s="408">
        <f>ROUND(($AK$39+G39)/2/SUM($B$10:G10)*180,0)</f>
        <v/>
      </c>
      <c r="H41" s="408">
        <f>ROUND(($AK$39+H39)/2/SUM($B$10:H10)*210,0)</f>
        <v/>
      </c>
      <c r="I41" s="408">
        <f>ROUND(($AK$39+I39)/2/SUM($B$10:I10)*240,0)</f>
        <v/>
      </c>
      <c r="J41" s="408">
        <f>ROUND(($AK$39+J39)/2/SUM($B$10:J10)*270,0)</f>
        <v/>
      </c>
      <c r="K41" s="408">
        <f>ROUND(($AK$39+K39)/2/SUM($B$10:K10)*300,0)</f>
        <v/>
      </c>
      <c r="L41" s="408">
        <f>ROUND(($AK$39+L39)/2/SUM($B$10:L10)*330,0)</f>
        <v/>
      </c>
      <c r="M41" s="408">
        <f>ROUND(($AK$39+M39)/2/SUM($B$10:M10)*365,0)</f>
        <v/>
      </c>
      <c r="N41" s="417" t="n"/>
      <c r="O41" s="417" t="n"/>
      <c r="P41" s="417">
        <f>ROUND((($AK39+P39)/2)/SUM(N10:P10)*90,2)</f>
        <v/>
      </c>
      <c r="Q41" s="418" t="n"/>
      <c r="R41" s="418" t="n"/>
      <c r="S41" s="418">
        <f>ROUND((($AK39+S39)/2)/SUM(N10:S10)*180,2)</f>
        <v/>
      </c>
      <c r="T41" s="419" t="n"/>
      <c r="U41" s="419" t="n"/>
      <c r="V41" s="419">
        <f>ROUND((($AK39+V39)/2)/SUM(N10:V10)*270,2)</f>
        <v/>
      </c>
      <c r="W41" s="420" t="n"/>
      <c r="X41" s="420" t="n"/>
      <c r="Y41" s="420">
        <f>ROUND((($AK39+Y39)/2)/SUM(N10:Y10)*365,2)</f>
        <v/>
      </c>
      <c r="Z41" s="239">
        <f>+B41/N41</f>
        <v/>
      </c>
      <c r="AA41" s="239">
        <f>+C41/O41</f>
        <v/>
      </c>
      <c r="AB41" s="239">
        <f>+D41/P41</f>
        <v/>
      </c>
      <c r="AC41" s="239">
        <f>+E41/Q41</f>
        <v/>
      </c>
      <c r="AD41" s="239">
        <f>+F41/R41</f>
        <v/>
      </c>
      <c r="AE41" s="239">
        <f>+G41/S41</f>
        <v/>
      </c>
      <c r="AF41" s="239">
        <f>+H41/T41</f>
        <v/>
      </c>
      <c r="AG41" s="239">
        <f>+I41/U41</f>
        <v/>
      </c>
      <c r="AH41" s="239">
        <f>+J41/V41</f>
        <v/>
      </c>
      <c r="AI41" s="239">
        <f>+K41/W41</f>
        <v/>
      </c>
      <c r="AJ41" s="239">
        <f>+L41/X41</f>
        <v/>
      </c>
      <c r="AK41" s="421">
        <f>ROUND(((#REF!+AK39)/2)/AK10*365,0)</f>
        <v/>
      </c>
      <c r="AL41" s="112">
        <f>(#REF!-AK41)/AK41</f>
        <v/>
      </c>
      <c r="AM41" s="255" t="n"/>
      <c r="AN41" s="422" t="n">
        <v>116</v>
      </c>
      <c r="AO41" s="423" t="n"/>
      <c r="AP41" s="314">
        <f>(AP39+#REF!)/2/AP10*365</f>
        <v/>
      </c>
      <c r="AQ41" s="88">
        <f>ROUND((#REF!-AP41)/ABS(AP41),2)</f>
        <v/>
      </c>
      <c r="AR41" s="424">
        <f>SUM(AN41+AP41)/2</f>
        <v/>
      </c>
      <c r="AS41" s="46">
        <f>ROUND((#REF!-AR41)/ABS(AR41),2)</f>
        <v/>
      </c>
      <c r="AT41" s="255" t="n"/>
      <c r="AU41" s="310" t="n"/>
      <c r="AV41" s="310" t="n"/>
      <c r="AW41" s="310" t="n"/>
      <c r="AX41" s="310" t="n"/>
    </row>
    <row r="42" ht="21" customHeight="1" s="261" thickBot="1">
      <c r="A42" s="407" t="inlineStr">
        <is>
          <t>A/R Collection Days</t>
        </is>
      </c>
      <c r="B42" s="408">
        <f>ROUND((+B40+AK40)/2/B4*30,0)</f>
        <v/>
      </c>
      <c r="C42" s="408">
        <f>ROUND((+C40+$AK$40)/2/SUM($B$4:C4)*60,0)</f>
        <v/>
      </c>
      <c r="D42" s="408">
        <f>ROUND((+D40+$AK$40)/2/SUM($B$4:D4)*90,0)</f>
        <v/>
      </c>
      <c r="E42" s="408">
        <f>ROUND((+E40+$AK$40)/2/SUM($B$4:E4)*120,0)</f>
        <v/>
      </c>
      <c r="F42" s="408">
        <f>ROUND((+F40+$AK$40)/2/SUM($B$4:F4)*150,0)</f>
        <v/>
      </c>
      <c r="G42" s="408">
        <f>ROUND((+G40+$AK$40)/2/SUM($B$4:G4)*180,0)</f>
        <v/>
      </c>
      <c r="H42" s="408">
        <f>ROUND((+H40+$AK$40)/2/SUM($B$4:H4)*210,0)</f>
        <v/>
      </c>
      <c r="I42" s="408">
        <f>ROUND((+I40+$AK$40)/2/SUM($B$4:I4)*240,0)</f>
        <v/>
      </c>
      <c r="J42" s="408">
        <f>ROUND((+J40+$AK$40)/2/SUM($B$4:J4)*270,0)</f>
        <v/>
      </c>
      <c r="K42" s="408">
        <f>ROUND((+K40+$AK$40)/2/SUM($B$4:K4)*300,0)</f>
        <v/>
      </c>
      <c r="L42" s="408">
        <f>ROUND((+L40+$AK$40)/2/SUM($B$4:L4)*330,0)</f>
        <v/>
      </c>
      <c r="M42" s="408">
        <f>ROUND((+M40+$AK$40)/2/SUM($B$4:M4)*365,0)</f>
        <v/>
      </c>
      <c r="N42" s="425" t="n"/>
      <c r="O42" s="425" t="n"/>
      <c r="P42" s="425">
        <f>ROUND((($AK40+P40)/2)/SUM(N4:P4)*90,2)</f>
        <v/>
      </c>
      <c r="Q42" s="426" t="n"/>
      <c r="R42" s="426" t="n"/>
      <c r="S42" s="426">
        <f>ROUND((($AK40+S40)/2)/SUM(N4:S4)*180,2)</f>
        <v/>
      </c>
      <c r="T42" s="427" t="n"/>
      <c r="U42" s="419" t="n"/>
      <c r="V42" s="419">
        <f>ROUND((($AK40+V40)/2)/SUM(N4:V4)*270,2)</f>
        <v/>
      </c>
      <c r="W42" s="420" t="n"/>
      <c r="X42" s="420" t="n"/>
      <c r="Y42" s="420">
        <f>ROUND((($AK40+Y40)/2)/SUM(N4:Y4)*365,2)</f>
        <v/>
      </c>
      <c r="Z42" s="239">
        <f>+B42/N42</f>
        <v/>
      </c>
      <c r="AA42" s="239">
        <f>+C42/O42</f>
        <v/>
      </c>
      <c r="AB42" s="239">
        <f>+D42/P42</f>
        <v/>
      </c>
      <c r="AC42" s="239">
        <f>+E42/Q42</f>
        <v/>
      </c>
      <c r="AD42" s="239">
        <f>+F42/R42</f>
        <v/>
      </c>
      <c r="AE42" s="239">
        <f>+G42/S42</f>
        <v/>
      </c>
      <c r="AF42" s="239">
        <f>+H42/T42</f>
        <v/>
      </c>
      <c r="AG42" s="239">
        <f>+I42/U42</f>
        <v/>
      </c>
      <c r="AH42" s="239">
        <f>+J42/V42</f>
        <v/>
      </c>
      <c r="AI42" s="239">
        <f>+K42/W42</f>
        <v/>
      </c>
      <c r="AJ42" s="239">
        <f>+L42/X42</f>
        <v/>
      </c>
      <c r="AK42" s="428">
        <f>ROUND(((AP46+AK40)/2)/AK4*365,0)</f>
        <v/>
      </c>
      <c r="AL42" s="114">
        <f>(#REF!-AK42)/AK42</f>
        <v/>
      </c>
      <c r="AM42" s="255" t="n"/>
      <c r="AN42" s="429" t="n">
        <v>75</v>
      </c>
      <c r="AO42" s="423" t="n"/>
      <c r="AP42" s="430">
        <f>(AP40+AP46)/2/AP4*365</f>
        <v/>
      </c>
      <c r="AQ42" s="117">
        <f>ROUND((#REF!-AP42)/ABS(AP42),2)</f>
        <v/>
      </c>
      <c r="AR42" s="431">
        <f>SUM(AN42+AP42)/2</f>
        <v/>
      </c>
      <c r="AS42" s="82">
        <f>ROUND((#REF!-AR42)/ABS(AR42),2)</f>
        <v/>
      </c>
      <c r="AT42" s="255" t="n"/>
      <c r="AU42" s="310" t="n"/>
      <c r="AV42" s="310" t="n"/>
      <c r="AW42" s="310" t="n"/>
      <c r="AX42" s="310" t="n"/>
    </row>
    <row r="43" ht="21" customHeight="1" s="261" thickBot="1">
      <c r="A43" s="432" t="inlineStr">
        <is>
          <t>A/P+N/P</t>
        </is>
      </c>
      <c r="B43" s="433" t="n">
        <v>10908903</v>
      </c>
      <c r="C43" s="408">
        <f>2514331+8050967</f>
        <v/>
      </c>
      <c r="D43" s="408">
        <f>2598407+8197420</f>
        <v/>
      </c>
      <c r="E43" s="408">
        <f>2494327+8413919</f>
        <v/>
      </c>
      <c r="F43" s="408">
        <f>2218642+8616944</f>
        <v/>
      </c>
      <c r="G43" s="408">
        <f>969018+9091331</f>
        <v/>
      </c>
      <c r="H43" s="408">
        <f>910755+8319369</f>
        <v/>
      </c>
      <c r="I43" s="408">
        <f>989927+8647779</f>
        <v/>
      </c>
      <c r="J43" s="408">
        <f>1467488+8268081</f>
        <v/>
      </c>
      <c r="K43" s="408">
        <f>8499937+1968718</f>
        <v/>
      </c>
      <c r="L43" s="408">
        <f>2080987+8590822</f>
        <v/>
      </c>
      <c r="M43" s="408">
        <f>8361869+1288869</f>
        <v/>
      </c>
      <c r="N43" s="409" t="n"/>
      <c r="O43" s="409" t="n"/>
      <c r="P43" s="409" t="n">
        <v>10500000</v>
      </c>
      <c r="Q43" s="410" t="n"/>
      <c r="R43" s="410" t="n"/>
      <c r="S43" s="410" t="n">
        <v>11500000</v>
      </c>
      <c r="T43" s="411" t="n"/>
      <c r="U43" s="411" t="n"/>
      <c r="V43" s="411" t="n">
        <v>14000000</v>
      </c>
      <c r="W43" s="434" t="n"/>
      <c r="X43" s="434" t="n"/>
      <c r="Y43" s="434" t="n">
        <v>12000000</v>
      </c>
      <c r="Z43" s="239">
        <f>+B43/N43</f>
        <v/>
      </c>
      <c r="AA43" s="239">
        <f>+C43/O43</f>
        <v/>
      </c>
      <c r="AB43" s="239">
        <f>+D43/P43</f>
        <v/>
      </c>
      <c r="AC43" s="239">
        <f>+E43/Q43</f>
        <v/>
      </c>
      <c r="AD43" s="239">
        <f>+F43/R43</f>
        <v/>
      </c>
      <c r="AE43" s="239">
        <f>+G43/S43</f>
        <v/>
      </c>
      <c r="AF43" s="239">
        <f>+H43/T43</f>
        <v/>
      </c>
      <c r="AG43" s="239">
        <f>+I43/U43</f>
        <v/>
      </c>
      <c r="AH43" s="239">
        <f>+J43/V43</f>
        <v/>
      </c>
      <c r="AI43" s="239">
        <f>+K43/W43</f>
        <v/>
      </c>
      <c r="AJ43" s="239">
        <f>+L43/X43</f>
        <v/>
      </c>
      <c r="AK43" s="435">
        <f>AP43</f>
        <v/>
      </c>
      <c r="AL43" s="121">
        <f>(#REF!-AK43)/AK43</f>
        <v/>
      </c>
      <c r="AM43" s="255" t="n"/>
      <c r="AN43" s="422" t="n">
        <v>22871600</v>
      </c>
      <c r="AO43" s="423" t="n"/>
      <c r="AP43" s="314" t="n">
        <v>11591373</v>
      </c>
      <c r="AQ43" s="25">
        <f>ROUND((#REF!-AP43)/ABS(AP43),2)</f>
        <v/>
      </c>
      <c r="AR43" s="424">
        <f>SUM(AN43+AP43)/2</f>
        <v/>
      </c>
      <c r="AS43" s="46">
        <f>ROUND((#REF!-AR43)/ABS(AR43),2)</f>
        <v/>
      </c>
    </row>
    <row r="44" ht="21" customHeight="1" s="261" thickBot="1">
      <c r="A44" s="432" t="inlineStr">
        <is>
          <t>Virtual Equity</t>
        </is>
      </c>
      <c r="B44" s="408">
        <f>(B39+B40-B43)*1.2</f>
        <v/>
      </c>
      <c r="C44" s="408">
        <f>(C39+C40-C43)*1.2</f>
        <v/>
      </c>
      <c r="D44" s="408">
        <f>(D39+D40-D43)*1.2</f>
        <v/>
      </c>
      <c r="E44" s="408">
        <f>(E39+E40-E43)*1.2</f>
        <v/>
      </c>
      <c r="F44" s="408">
        <f>(F39+F40-F43)*1.2</f>
        <v/>
      </c>
      <c r="G44" s="408">
        <f>(G39+G40-G43)*1.2</f>
        <v/>
      </c>
      <c r="H44" s="408">
        <f>(H39+H40-H43)*1.2</f>
        <v/>
      </c>
      <c r="I44" s="408">
        <f>(I39+I40-I43)*1.2</f>
        <v/>
      </c>
      <c r="J44" s="408">
        <f>(J39+J40-J43)*1.2</f>
        <v/>
      </c>
      <c r="K44" s="408">
        <f>(K39+K40-K43)*1.2</f>
        <v/>
      </c>
      <c r="L44" s="408">
        <f>(L39+L40-L43)*1.2</f>
        <v/>
      </c>
      <c r="M44" s="408">
        <f>(M39+M40-M43)*1.2</f>
        <v/>
      </c>
      <c r="N44" s="425">
        <f>(N39+N40-N43)*1.2</f>
        <v/>
      </c>
      <c r="O44" s="425">
        <f>(O39+O40-O43)*1.2</f>
        <v/>
      </c>
      <c r="P44" s="425">
        <f>(P39+P40-P43)*1.2</f>
        <v/>
      </c>
      <c r="Q44" s="426">
        <f>(Q39+Q40-Q43)*1.2</f>
        <v/>
      </c>
      <c r="R44" s="426">
        <f>(R39+R40-R43)*1.2</f>
        <v/>
      </c>
      <c r="S44" s="426">
        <f>(S39+S40-S43)*1.2</f>
        <v/>
      </c>
      <c r="T44" s="427">
        <f>(T39+T40-T43)*1.2</f>
        <v/>
      </c>
      <c r="U44" s="427">
        <f>(U39+U40-U43)*1.2</f>
        <v/>
      </c>
      <c r="V44" s="427">
        <f>(V39+V40-V43)*1.2</f>
        <v/>
      </c>
      <c r="W44" s="436">
        <f>(W39+W40-W43)*1.2</f>
        <v/>
      </c>
      <c r="X44" s="436">
        <f>(X39+X40-X43)*1.2</f>
        <v/>
      </c>
      <c r="Y44" s="436">
        <f>(Y39+Y40-Y43)*1.2</f>
        <v/>
      </c>
      <c r="Z44" s="239">
        <f>+B44/N44</f>
        <v/>
      </c>
      <c r="AA44" s="239">
        <f>+C44/O44</f>
        <v/>
      </c>
      <c r="AB44" s="239">
        <f>+D44/P44</f>
        <v/>
      </c>
      <c r="AC44" s="239">
        <f>+E44/Q44</f>
        <v/>
      </c>
      <c r="AD44" s="239">
        <f>+F44/R44</f>
        <v/>
      </c>
      <c r="AE44" s="239">
        <f>+G44/S44</f>
        <v/>
      </c>
      <c r="AF44" s="239">
        <f>+H44/T44</f>
        <v/>
      </c>
      <c r="AG44" s="239">
        <f>+I44/U44</f>
        <v/>
      </c>
      <c r="AH44" s="239">
        <f>+J44/V44</f>
        <v/>
      </c>
      <c r="AI44" s="239">
        <f>+K44/W44</f>
        <v/>
      </c>
      <c r="AJ44" s="239">
        <f>+L44/X44</f>
        <v/>
      </c>
      <c r="AK44" s="435">
        <f>(AK39+AK40-AK43)*1.2</f>
        <v/>
      </c>
      <c r="AL44" s="121">
        <f>(#REF!-AK44)/AK44</f>
        <v/>
      </c>
      <c r="AM44" s="255" t="n"/>
      <c r="AN44" s="422">
        <f>(AN39+AN40-AN43)*1.2</f>
        <v/>
      </c>
      <c r="AO44" s="423" t="n"/>
      <c r="AP44" s="314">
        <f>(AP39+AP40-AP43)*1.2</f>
        <v/>
      </c>
      <c r="AQ44" s="25">
        <f>ROUND((#REF!-AP44)/ABS(AP44),2)</f>
        <v/>
      </c>
      <c r="AR44" s="424">
        <f>(AR39+AR40-AR43)*1.2</f>
        <v/>
      </c>
      <c r="AS44" s="27">
        <f>ROUND((#REF!-AR44)/ABS(AR44),2)</f>
        <v/>
      </c>
    </row>
    <row r="45">
      <c r="AM45" s="255" t="n"/>
      <c r="AN45" s="259" t="n"/>
      <c r="AO45" s="259" t="n"/>
      <c r="AP45" s="437" t="n"/>
      <c r="AR45" s="259" t="n"/>
    </row>
    <row r="46" ht="17.5" customHeight="1" s="261" thickBot="1">
      <c r="A46" s="438" t="n"/>
      <c r="AM46" s="255" t="n"/>
      <c r="AN46" s="439" t="inlineStr">
        <is>
          <t>AR+NR amount</t>
        </is>
      </c>
      <c r="AO46" s="440" t="n"/>
      <c r="AP46" s="441" t="n">
        <v>12664870</v>
      </c>
      <c r="AR46" s="259" t="n"/>
    </row>
    <row r="49">
      <c r="AN49" s="126" t="n"/>
      <c r="AO49" s="126" t="n"/>
      <c r="AP49" s="127" t="n"/>
      <c r="AQ49" s="128" t="n"/>
      <c r="AR49" s="126" t="n"/>
    </row>
  </sheetData>
  <pageMargins left="0.75" right="0.75" top="1" bottom="1" header="0.5" footer="0.5"/>
  <pageSetup orientation="landscape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appleweng</dc:creator>
  <dcterms:created xsi:type="dcterms:W3CDTF">2009-12-07T01:30:04Z</dcterms:created>
  <dcterms:modified xsi:type="dcterms:W3CDTF">2022-06-12T12:56:45Z</dcterms:modified>
  <cp:lastModifiedBy>cshung</cp:lastModifiedBy>
  <cp:lastPrinted>2010-06-22T02:20:15Z</cp:lastPrinted>
</cp:coreProperties>
</file>