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成大在職專班\決策方法\"/>
    </mc:Choice>
  </mc:AlternateContent>
  <xr:revisionPtr revIDLastSave="0" documentId="13_ncr:1_{8778B75D-3D6A-47D5-9E5F-A9E463EBF50B}" xr6:coauthVersionLast="46" xr6:coauthVersionMax="46" xr10:uidLastSave="{00000000-0000-0000-0000-000000000000}"/>
  <bookViews>
    <workbookView xWindow="-120" yWindow="-120" windowWidth="29040" windowHeight="15840" activeTab="3" xr2:uid="{127FEE0A-5A11-4ACE-AD27-EECE9DCBD279}"/>
  </bookViews>
  <sheets>
    <sheet name="4-13 14" sheetId="1" r:id="rId1"/>
    <sheet name="4-21" sheetId="2" r:id="rId2"/>
    <sheet name="4-22" sheetId="4" r:id="rId3"/>
    <sheet name="4-24" sheetId="5" r:id="rId4"/>
    <sheet name="4-31" sheetId="6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3" i="5" l="1"/>
  <c r="B23" i="5"/>
  <c r="L71" i="6"/>
  <c r="L50" i="6"/>
  <c r="R23" i="4"/>
  <c r="F25" i="2" l="1"/>
  <c r="C32" i="1" l="1"/>
  <c r="C31" i="1"/>
  <c r="C30" i="1"/>
  <c r="B11" i="1"/>
  <c r="C11" i="1"/>
  <c r="E3" i="1" s="1"/>
  <c r="D10" i="1" l="1"/>
  <c r="G10" i="1" s="1"/>
  <c r="D2" i="1"/>
  <c r="G2" i="1" s="1"/>
  <c r="D9" i="1"/>
  <c r="G9" i="1" s="1"/>
  <c r="D8" i="1"/>
  <c r="G8" i="1" s="1"/>
  <c r="D7" i="1"/>
  <c r="G7" i="1" s="1"/>
  <c r="D6" i="1"/>
  <c r="G6" i="1" s="1"/>
  <c r="D4" i="1"/>
  <c r="G4" i="1" s="1"/>
  <c r="D3" i="1"/>
  <c r="G3" i="1" s="1"/>
  <c r="D5" i="1"/>
  <c r="G5" i="1" s="1"/>
  <c r="E5" i="1"/>
  <c r="E2" i="1"/>
  <c r="E9" i="1"/>
  <c r="E7" i="1"/>
  <c r="E4" i="1"/>
  <c r="E10" i="1"/>
  <c r="E8" i="1"/>
  <c r="E6" i="1"/>
  <c r="G12" i="1" l="1"/>
  <c r="F3" i="1"/>
  <c r="F6" i="1"/>
  <c r="F2" i="1"/>
  <c r="F7" i="1"/>
  <c r="F9" i="1"/>
  <c r="F5" i="1"/>
  <c r="F8" i="1"/>
  <c r="F4" i="1"/>
  <c r="F10" i="1"/>
  <c r="F12" i="1" l="1"/>
  <c r="B15" i="1" s="1"/>
  <c r="B16" i="1" s="1"/>
  <c r="H6" i="1" l="1"/>
  <c r="H3" i="1"/>
  <c r="H8" i="1"/>
  <c r="H4" i="1"/>
  <c r="H7" i="1"/>
  <c r="B18" i="1"/>
  <c r="H9" i="1"/>
  <c r="H5" i="1"/>
  <c r="H2" i="1"/>
  <c r="H10" i="1"/>
  <c r="J2" i="1" l="1"/>
  <c r="I2" i="1"/>
  <c r="I9" i="1"/>
  <c r="J9" i="1"/>
  <c r="I3" i="1"/>
  <c r="J3" i="1"/>
  <c r="I10" i="1"/>
  <c r="J10" i="1"/>
  <c r="J5" i="1"/>
  <c r="I5" i="1"/>
  <c r="I7" i="1"/>
  <c r="J7" i="1"/>
  <c r="I4" i="1"/>
  <c r="J4" i="1"/>
  <c r="J8" i="1"/>
  <c r="I8" i="1"/>
  <c r="I6" i="1"/>
  <c r="J6" i="1"/>
  <c r="B21" i="1" l="1"/>
  <c r="I12" i="1"/>
  <c r="B22" i="1"/>
  <c r="J12" i="1"/>
  <c r="B23" i="1" l="1"/>
  <c r="B24" i="1" s="1"/>
  <c r="B25" i="1" s="1"/>
</calcChain>
</file>

<file path=xl/sharedStrings.xml><?xml version="1.0" encoding="utf-8"?>
<sst xmlns="http://schemas.openxmlformats.org/spreadsheetml/2006/main" count="359" uniqueCount="91">
  <si>
    <t>x</t>
    <phoneticPr fontId="1" type="noConversion"/>
  </si>
  <si>
    <t>y</t>
    <phoneticPr fontId="1" type="noConversion"/>
  </si>
  <si>
    <t>Student</t>
    <phoneticPr fontId="1" type="noConversion"/>
  </si>
  <si>
    <t>average</t>
    <phoneticPr fontId="1" type="noConversion"/>
  </si>
  <si>
    <t>x-x bar</t>
    <phoneticPr fontId="1" type="noConversion"/>
  </si>
  <si>
    <t>(x-x bar)平方</t>
    <phoneticPr fontId="1" type="noConversion"/>
  </si>
  <si>
    <t>(y-y bar)</t>
    <phoneticPr fontId="1" type="noConversion"/>
  </si>
  <si>
    <t>sum</t>
    <phoneticPr fontId="1" type="noConversion"/>
  </si>
  <si>
    <t>(x- x bar)*(y- y bar)</t>
    <phoneticPr fontId="1" type="noConversion"/>
  </si>
  <si>
    <t>b1=</t>
    <phoneticPr fontId="1" type="noConversion"/>
  </si>
  <si>
    <t>b0=</t>
    <phoneticPr fontId="1" type="noConversion"/>
  </si>
  <si>
    <t>x=83</t>
    <phoneticPr fontId="1" type="noConversion"/>
  </si>
  <si>
    <t>預估 y</t>
    <phoneticPr fontId="1" type="noConversion"/>
  </si>
  <si>
    <t>(y-預估y)平方</t>
    <phoneticPr fontId="1" type="noConversion"/>
  </si>
  <si>
    <t>(預估y-y bar)平方</t>
    <phoneticPr fontId="1" type="noConversion"/>
  </si>
  <si>
    <t>SSE=</t>
    <phoneticPr fontId="1" type="noConversion"/>
  </si>
  <si>
    <t>SSR=</t>
    <phoneticPr fontId="1" type="noConversion"/>
  </si>
  <si>
    <t>SST=</t>
    <phoneticPr fontId="1" type="noConversion"/>
  </si>
  <si>
    <t>r seq=</t>
    <phoneticPr fontId="1" type="noConversion"/>
  </si>
  <si>
    <t>r=</t>
    <phoneticPr fontId="1" type="noConversion"/>
  </si>
  <si>
    <t>MSR=SSR / K</t>
    <phoneticPr fontId="1" type="noConversion"/>
  </si>
  <si>
    <t>MSE=SSE / (n-k-1)</t>
    <phoneticPr fontId="1" type="noConversion"/>
  </si>
  <si>
    <t>k=</t>
    <phoneticPr fontId="1" type="noConversion"/>
  </si>
  <si>
    <t>n=</t>
    <phoneticPr fontId="1" type="noConversion"/>
  </si>
  <si>
    <t>F=MSR/MSR</t>
    <phoneticPr fontId="1" type="noConversion"/>
  </si>
  <si>
    <t>GPA</t>
    <phoneticPr fontId="1" type="noConversion"/>
  </si>
  <si>
    <t>Major</t>
    <phoneticPr fontId="1" type="noConversion"/>
  </si>
  <si>
    <t>Salary</t>
    <phoneticPr fontId="1" type="noConversion"/>
  </si>
  <si>
    <t>Other</t>
  </si>
  <si>
    <t>Business</t>
  </si>
  <si>
    <t>Major</t>
  </si>
  <si>
    <t>摘要輸出</t>
  </si>
  <si>
    <t>迴歸統計</t>
  </si>
  <si>
    <t>R 的倍數</t>
  </si>
  <si>
    <t>R 平方</t>
  </si>
  <si>
    <t>調整的 R 平方</t>
  </si>
  <si>
    <t>標準誤</t>
  </si>
  <si>
    <t>觀察值個數</t>
  </si>
  <si>
    <t>ANOVA</t>
  </si>
  <si>
    <t>迴歸</t>
  </si>
  <si>
    <t>殘差</t>
  </si>
  <si>
    <t>總和</t>
  </si>
  <si>
    <t>截距</t>
  </si>
  <si>
    <t>自由度</t>
  </si>
  <si>
    <t>SS</t>
  </si>
  <si>
    <t>MS</t>
  </si>
  <si>
    <t>F</t>
  </si>
  <si>
    <t>顯著值</t>
  </si>
  <si>
    <t>係數</t>
  </si>
  <si>
    <t>t 統計</t>
  </si>
  <si>
    <t>P-值</t>
  </si>
  <si>
    <t>下限 95%</t>
  </si>
  <si>
    <t>上限 95%</t>
  </si>
  <si>
    <t>下限 95.0%</t>
  </si>
  <si>
    <t>上限 95.0%</t>
  </si>
  <si>
    <t>GPA</t>
  </si>
  <si>
    <t xml:space="preserve">selling price </t>
  </si>
  <si>
    <t>Square footage</t>
  </si>
  <si>
    <t>Bedrooms</t>
  </si>
  <si>
    <t>Age(years)</t>
  </si>
  <si>
    <t>4-22</t>
    <phoneticPr fontId="1" type="noConversion"/>
  </si>
  <si>
    <t>4-23</t>
    <phoneticPr fontId="1" type="noConversion"/>
  </si>
  <si>
    <t>4-24</t>
    <phoneticPr fontId="1" type="noConversion"/>
  </si>
  <si>
    <t>TEAM</t>
    <phoneticPr fontId="1" type="noConversion"/>
  </si>
  <si>
    <t>Baltimore Orioles</t>
  </si>
  <si>
    <t>Boston Red Sox</t>
  </si>
  <si>
    <t>W</t>
    <phoneticPr fontId="1" type="noConversion"/>
  </si>
  <si>
    <t>ERA</t>
  </si>
  <si>
    <t>ERA</t>
    <phoneticPr fontId="1" type="noConversion"/>
  </si>
  <si>
    <t>R</t>
  </si>
  <si>
    <t>R</t>
    <phoneticPr fontId="1" type="noConversion"/>
  </si>
  <si>
    <t>AVG</t>
  </si>
  <si>
    <t>AVG</t>
    <phoneticPr fontId="1" type="noConversion"/>
  </si>
  <si>
    <t>OBP</t>
  </si>
  <si>
    <t>OBP</t>
    <phoneticPr fontId="1" type="noConversion"/>
  </si>
  <si>
    <t>Chicago White Sox</t>
  </si>
  <si>
    <t>Cleveland Indians</t>
  </si>
  <si>
    <t>Detroit Tigers</t>
    <phoneticPr fontId="1" type="noConversion"/>
  </si>
  <si>
    <t>Kansas City Royals</t>
  </si>
  <si>
    <t>Los Angeles Angels</t>
  </si>
  <si>
    <t>Minnesota Twins</t>
  </si>
  <si>
    <t>New York Yankees</t>
  </si>
  <si>
    <t>Oakland Athletics</t>
  </si>
  <si>
    <t>Seattle Mariners</t>
  </si>
  <si>
    <t>Tampa Bay Rays</t>
  </si>
  <si>
    <t>Texas Rangers</t>
  </si>
  <si>
    <t>Toronto Blue Jays</t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</si>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</sst>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Continuous" vertical="center"/>
    </xf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Continuous"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8D170-D8D8-4221-9765-BF68B87F7F98}">
  <dimension ref="A1:J32"/>
  <sheetViews>
    <sheetView workbookViewId="0">
      <selection activeCell="C33" sqref="C33"/>
    </sheetView>
  </sheetViews>
  <sheetFormatPr defaultRowHeight="16.5" x14ac:dyDescent="0.25"/>
  <cols>
    <col min="4" max="5" width="14.375" customWidth="1"/>
    <col min="6" max="6" width="18" bestFit="1" customWidth="1"/>
    <col min="7" max="7" width="12.625" bestFit="1" customWidth="1"/>
    <col min="9" max="9" width="13.75" bestFit="1" customWidth="1"/>
    <col min="10" max="10" width="17.125" bestFit="1" customWidth="1"/>
    <col min="11" max="11" width="9.5" bestFit="1" customWidth="1"/>
  </cols>
  <sheetData>
    <row r="1" spans="1:10" x14ac:dyDescent="0.25">
      <c r="A1" t="s">
        <v>2</v>
      </c>
      <c r="B1" t="s">
        <v>0</v>
      </c>
      <c r="C1" t="s">
        <v>1</v>
      </c>
      <c r="D1" t="s">
        <v>4</v>
      </c>
      <c r="E1" t="s">
        <v>6</v>
      </c>
      <c r="F1" t="s">
        <v>8</v>
      </c>
      <c r="G1" t="s">
        <v>5</v>
      </c>
      <c r="H1" t="s">
        <v>12</v>
      </c>
      <c r="I1" t="s">
        <v>13</v>
      </c>
      <c r="J1" t="s">
        <v>14</v>
      </c>
    </row>
    <row r="2" spans="1:10" x14ac:dyDescent="0.25">
      <c r="A2">
        <v>1</v>
      </c>
      <c r="B2">
        <v>98</v>
      </c>
      <c r="C2">
        <v>93</v>
      </c>
      <c r="D2">
        <f t="shared" ref="D2:D10" si="0">B2-$B$11</f>
        <v>16.89</v>
      </c>
      <c r="E2">
        <f>$C2-$C$11</f>
        <v>14</v>
      </c>
      <c r="F2" s="1">
        <f t="shared" ref="F2:F10" si="1">D2*E2</f>
        <v>236.46</v>
      </c>
      <c r="G2">
        <f>ROUND(POWER(D2,2),2)</f>
        <v>285.27</v>
      </c>
      <c r="H2">
        <f>$B$16+$B$15*$B2</f>
        <v>91.498999999999995</v>
      </c>
      <c r="I2">
        <f>ROUND(POWER(C2-H2,2),3)</f>
        <v>2.2530000000000001</v>
      </c>
      <c r="J2">
        <f>ROUND(POWER($H2-$C$11,2),3)</f>
        <v>156.22499999999999</v>
      </c>
    </row>
    <row r="3" spans="1:10" x14ac:dyDescent="0.25">
      <c r="A3">
        <v>2</v>
      </c>
      <c r="B3">
        <v>77</v>
      </c>
      <c r="C3">
        <v>78</v>
      </c>
      <c r="D3">
        <f t="shared" si="0"/>
        <v>-4.1099999999999994</v>
      </c>
      <c r="E3">
        <f t="shared" ref="E3:E10" si="2">$C3-$C$11</f>
        <v>-1</v>
      </c>
      <c r="F3" s="1">
        <f t="shared" si="1"/>
        <v>4.1099999999999994</v>
      </c>
      <c r="G3">
        <f t="shared" ref="G3:G10" si="3">ROUND(POWER(D3,2),2)</f>
        <v>16.89</v>
      </c>
      <c r="H3">
        <f t="shared" ref="H3:H10" si="4">$B$16+$B$15*$B3</f>
        <v>75.959000000000003</v>
      </c>
      <c r="I3">
        <f t="shared" ref="I3:I10" si="5">ROUND(POWER(C3-H3,2),3)</f>
        <v>4.1660000000000004</v>
      </c>
      <c r="J3">
        <f t="shared" ref="J3:J10" si="6">ROUND(POWER($H3-$C$11,2),3)</f>
        <v>9.2479999999999993</v>
      </c>
    </row>
    <row r="4" spans="1:10" x14ac:dyDescent="0.25">
      <c r="A4">
        <v>3</v>
      </c>
      <c r="B4">
        <v>88</v>
      </c>
      <c r="C4">
        <v>84</v>
      </c>
      <c r="D4">
        <f t="shared" si="0"/>
        <v>6.8900000000000006</v>
      </c>
      <c r="E4">
        <f t="shared" si="2"/>
        <v>5</v>
      </c>
      <c r="F4" s="1">
        <f t="shared" si="1"/>
        <v>34.450000000000003</v>
      </c>
      <c r="G4">
        <f t="shared" si="3"/>
        <v>47.47</v>
      </c>
      <c r="H4">
        <f t="shared" si="4"/>
        <v>84.099000000000004</v>
      </c>
      <c r="I4">
        <f t="shared" si="5"/>
        <v>0.01</v>
      </c>
      <c r="J4">
        <f t="shared" si="6"/>
        <v>26</v>
      </c>
    </row>
    <row r="5" spans="1:10" x14ac:dyDescent="0.25">
      <c r="A5">
        <v>4</v>
      </c>
      <c r="B5">
        <v>80</v>
      </c>
      <c r="C5">
        <v>73</v>
      </c>
      <c r="D5">
        <f t="shared" si="0"/>
        <v>-1.1099999999999994</v>
      </c>
      <c r="E5">
        <f t="shared" si="2"/>
        <v>-6</v>
      </c>
      <c r="F5" s="1">
        <f t="shared" si="1"/>
        <v>6.6599999999999966</v>
      </c>
      <c r="G5">
        <f t="shared" si="3"/>
        <v>1.23</v>
      </c>
      <c r="H5">
        <f t="shared" si="4"/>
        <v>78.179000000000002</v>
      </c>
      <c r="I5">
        <f t="shared" si="5"/>
        <v>26.821999999999999</v>
      </c>
      <c r="J5">
        <f t="shared" si="6"/>
        <v>0.67400000000000004</v>
      </c>
    </row>
    <row r="6" spans="1:10" x14ac:dyDescent="0.25">
      <c r="A6">
        <v>5</v>
      </c>
      <c r="B6">
        <v>96</v>
      </c>
      <c r="C6">
        <v>84</v>
      </c>
      <c r="D6">
        <f t="shared" si="0"/>
        <v>14.89</v>
      </c>
      <c r="E6">
        <f t="shared" si="2"/>
        <v>5</v>
      </c>
      <c r="F6" s="1">
        <f t="shared" si="1"/>
        <v>74.45</v>
      </c>
      <c r="G6">
        <f t="shared" si="3"/>
        <v>221.71</v>
      </c>
      <c r="H6">
        <f t="shared" si="4"/>
        <v>90.018999999999991</v>
      </c>
      <c r="I6">
        <f t="shared" si="5"/>
        <v>36.228000000000002</v>
      </c>
      <c r="J6">
        <f t="shared" si="6"/>
        <v>121.41800000000001</v>
      </c>
    </row>
    <row r="7" spans="1:10" x14ac:dyDescent="0.25">
      <c r="A7">
        <v>6</v>
      </c>
      <c r="B7">
        <v>61</v>
      </c>
      <c r="C7">
        <v>64</v>
      </c>
      <c r="D7">
        <f t="shared" si="0"/>
        <v>-20.11</v>
      </c>
      <c r="E7">
        <f t="shared" si="2"/>
        <v>-15</v>
      </c>
      <c r="F7" s="1">
        <f t="shared" si="1"/>
        <v>301.64999999999998</v>
      </c>
      <c r="G7">
        <f t="shared" si="3"/>
        <v>404.41</v>
      </c>
      <c r="H7">
        <f t="shared" si="4"/>
        <v>64.119</v>
      </c>
      <c r="I7">
        <f t="shared" si="5"/>
        <v>1.4E-2</v>
      </c>
      <c r="J7">
        <f t="shared" si="6"/>
        <v>221.44399999999999</v>
      </c>
    </row>
    <row r="8" spans="1:10" x14ac:dyDescent="0.25">
      <c r="A8">
        <v>7</v>
      </c>
      <c r="B8">
        <v>66</v>
      </c>
      <c r="C8">
        <v>64</v>
      </c>
      <c r="D8">
        <f t="shared" si="0"/>
        <v>-15.11</v>
      </c>
      <c r="E8">
        <f t="shared" si="2"/>
        <v>-15</v>
      </c>
      <c r="F8" s="1">
        <f t="shared" si="1"/>
        <v>226.64999999999998</v>
      </c>
      <c r="G8">
        <f t="shared" si="3"/>
        <v>228.31</v>
      </c>
      <c r="H8">
        <f t="shared" si="4"/>
        <v>67.818999999999988</v>
      </c>
      <c r="I8">
        <f t="shared" si="5"/>
        <v>14.585000000000001</v>
      </c>
      <c r="J8">
        <f t="shared" si="6"/>
        <v>125.015</v>
      </c>
    </row>
    <row r="9" spans="1:10" x14ac:dyDescent="0.25">
      <c r="A9">
        <v>8</v>
      </c>
      <c r="B9">
        <v>95</v>
      </c>
      <c r="C9">
        <v>95</v>
      </c>
      <c r="D9">
        <f t="shared" si="0"/>
        <v>13.89</v>
      </c>
      <c r="E9">
        <f t="shared" si="2"/>
        <v>16</v>
      </c>
      <c r="F9" s="1">
        <f t="shared" si="1"/>
        <v>222.24</v>
      </c>
      <c r="G9">
        <f t="shared" si="3"/>
        <v>192.93</v>
      </c>
      <c r="H9">
        <f t="shared" si="4"/>
        <v>89.278999999999996</v>
      </c>
      <c r="I9">
        <f t="shared" si="5"/>
        <v>32.729999999999997</v>
      </c>
      <c r="J9">
        <f t="shared" si="6"/>
        <v>105.658</v>
      </c>
    </row>
    <row r="10" spans="1:10" x14ac:dyDescent="0.25">
      <c r="A10">
        <v>9</v>
      </c>
      <c r="B10">
        <v>69</v>
      </c>
      <c r="C10">
        <v>76</v>
      </c>
      <c r="D10">
        <f t="shared" si="0"/>
        <v>-12.11</v>
      </c>
      <c r="E10">
        <f t="shared" si="2"/>
        <v>-3</v>
      </c>
      <c r="F10" s="1">
        <f t="shared" si="1"/>
        <v>36.33</v>
      </c>
      <c r="G10">
        <f t="shared" si="3"/>
        <v>146.65</v>
      </c>
      <c r="H10">
        <f t="shared" si="4"/>
        <v>70.039000000000001</v>
      </c>
      <c r="I10">
        <f t="shared" si="5"/>
        <v>35.533999999999999</v>
      </c>
      <c r="J10">
        <f t="shared" si="6"/>
        <v>80.3</v>
      </c>
    </row>
    <row r="11" spans="1:10" x14ac:dyDescent="0.25">
      <c r="A11" t="s">
        <v>3</v>
      </c>
      <c r="B11">
        <f>ROUND(AVERAGE(B2:B10),2)</f>
        <v>81.11</v>
      </c>
      <c r="C11">
        <f>AVERAGE(C2:C10)</f>
        <v>79</v>
      </c>
      <c r="F11" s="1"/>
    </row>
    <row r="12" spans="1:10" x14ac:dyDescent="0.25">
      <c r="A12" t="s">
        <v>7</v>
      </c>
      <c r="F12" s="1">
        <f>SUM(F2:F10)</f>
        <v>1143</v>
      </c>
      <c r="G12">
        <f>ROUND(SUM(G2:G10),2)</f>
        <v>1544.87</v>
      </c>
      <c r="I12">
        <f>SUM(I2:I10)</f>
        <v>152.34199999999998</v>
      </c>
      <c r="J12">
        <f>SUM(J2:J10)</f>
        <v>845.98199999999997</v>
      </c>
    </row>
    <row r="15" spans="1:10" x14ac:dyDescent="0.25">
      <c r="A15" t="s">
        <v>9</v>
      </c>
      <c r="B15">
        <f>ROUND(F12/G12,3)</f>
        <v>0.74</v>
      </c>
    </row>
    <row r="16" spans="1:10" x14ac:dyDescent="0.25">
      <c r="A16" t="s">
        <v>10</v>
      </c>
      <c r="B16">
        <f>ROUND($C11-($B$15*$B$11),3)</f>
        <v>18.978999999999999</v>
      </c>
    </row>
    <row r="18" spans="1:3" x14ac:dyDescent="0.25">
      <c r="A18" t="s">
        <v>11</v>
      </c>
      <c r="B18">
        <f>B16+B15*83</f>
        <v>80.399000000000001</v>
      </c>
    </row>
    <row r="21" spans="1:3" x14ac:dyDescent="0.25">
      <c r="A21" t="s">
        <v>15</v>
      </c>
      <c r="B21">
        <f>SUM(I2:I10)</f>
        <v>152.34199999999998</v>
      </c>
    </row>
    <row r="22" spans="1:3" x14ac:dyDescent="0.25">
      <c r="A22" t="s">
        <v>16</v>
      </c>
      <c r="B22">
        <f>SUM(J2:J10)</f>
        <v>845.98199999999997</v>
      </c>
    </row>
    <row r="23" spans="1:3" x14ac:dyDescent="0.25">
      <c r="A23" t="s">
        <v>17</v>
      </c>
      <c r="B23">
        <f>B21+B22</f>
        <v>998.32399999999996</v>
      </c>
    </row>
    <row r="24" spans="1:3" x14ac:dyDescent="0.25">
      <c r="A24" t="s">
        <v>18</v>
      </c>
      <c r="B24">
        <f>B22/B23</f>
        <v>0.84740224616457183</v>
      </c>
    </row>
    <row r="25" spans="1:3" x14ac:dyDescent="0.25">
      <c r="A25" t="s">
        <v>19</v>
      </c>
      <c r="B25">
        <f>SQRT(B24)</f>
        <v>0.92054453784951207</v>
      </c>
    </row>
    <row r="28" spans="1:3" x14ac:dyDescent="0.25">
      <c r="A28" t="s">
        <v>22</v>
      </c>
      <c r="B28">
        <v>1</v>
      </c>
    </row>
    <row r="29" spans="1:3" x14ac:dyDescent="0.25">
      <c r="A29" t="s">
        <v>23</v>
      </c>
      <c r="B29">
        <v>9</v>
      </c>
    </row>
    <row r="30" spans="1:3" x14ac:dyDescent="0.25">
      <c r="A30" t="s">
        <v>20</v>
      </c>
      <c r="C30">
        <f>B22/B28</f>
        <v>845.98199999999997</v>
      </c>
    </row>
    <row r="31" spans="1:3" x14ac:dyDescent="0.25">
      <c r="A31" t="s">
        <v>21</v>
      </c>
      <c r="C31">
        <f>I12/(B29-B28-1)</f>
        <v>21.763142857142856</v>
      </c>
    </row>
    <row r="32" spans="1:3" x14ac:dyDescent="0.25">
      <c r="A32" t="s">
        <v>24</v>
      </c>
      <c r="C32">
        <f>C30/C31</f>
        <v>38.872234840030984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83D6F-D3C5-4329-81CB-EC8CD94BB0F8}">
  <dimension ref="A2:N25"/>
  <sheetViews>
    <sheetView workbookViewId="0">
      <selection activeCell="A2" sqref="A2:D9"/>
    </sheetView>
  </sheetViews>
  <sheetFormatPr defaultRowHeight="16.5" x14ac:dyDescent="0.25"/>
  <cols>
    <col min="6" max="6" width="14.125" bestFit="1" customWidth="1"/>
    <col min="7" max="10" width="12.75" bestFit="1" customWidth="1"/>
    <col min="11" max="11" width="13.5" bestFit="1" customWidth="1"/>
    <col min="12" max="12" width="12.75" bestFit="1" customWidth="1"/>
    <col min="13" max="13" width="13.5" bestFit="1" customWidth="1"/>
    <col min="14" max="14" width="12.75" bestFit="1" customWidth="1"/>
  </cols>
  <sheetData>
    <row r="2" spans="1:11" x14ac:dyDescent="0.25">
      <c r="A2" t="s">
        <v>27</v>
      </c>
      <c r="B2" t="s">
        <v>25</v>
      </c>
      <c r="C2" t="s">
        <v>26</v>
      </c>
      <c r="D2" t="s">
        <v>26</v>
      </c>
    </row>
    <row r="3" spans="1:11" x14ac:dyDescent="0.25">
      <c r="A3">
        <v>29500</v>
      </c>
      <c r="B3">
        <v>3.1</v>
      </c>
      <c r="C3">
        <v>0</v>
      </c>
      <c r="D3" t="s">
        <v>28</v>
      </c>
      <c r="F3" t="s">
        <v>31</v>
      </c>
    </row>
    <row r="4" spans="1:11" ht="17.25" thickBot="1" x14ac:dyDescent="0.3">
      <c r="A4">
        <v>46000</v>
      </c>
      <c r="B4">
        <v>3.5</v>
      </c>
      <c r="C4">
        <v>1</v>
      </c>
      <c r="D4" t="s">
        <v>29</v>
      </c>
    </row>
    <row r="5" spans="1:11" x14ac:dyDescent="0.25">
      <c r="A5">
        <v>39800</v>
      </c>
      <c r="B5">
        <v>3.8</v>
      </c>
      <c r="C5">
        <v>1</v>
      </c>
      <c r="D5" t="s">
        <v>29</v>
      </c>
      <c r="F5" s="5" t="s">
        <v>32</v>
      </c>
      <c r="G5" s="5"/>
    </row>
    <row r="6" spans="1:11" x14ac:dyDescent="0.25">
      <c r="A6">
        <v>36500</v>
      </c>
      <c r="B6">
        <v>2.9</v>
      </c>
      <c r="C6">
        <v>0</v>
      </c>
      <c r="D6" t="s">
        <v>28</v>
      </c>
      <c r="F6" s="2" t="s">
        <v>33</v>
      </c>
      <c r="G6" s="2">
        <v>0.82875403046344387</v>
      </c>
    </row>
    <row r="7" spans="1:11" x14ac:dyDescent="0.25">
      <c r="A7">
        <v>42000</v>
      </c>
      <c r="B7">
        <v>3.4</v>
      </c>
      <c r="C7">
        <v>1</v>
      </c>
      <c r="D7" t="s">
        <v>29</v>
      </c>
      <c r="F7" s="2" t="s">
        <v>34</v>
      </c>
      <c r="G7" s="2">
        <v>0.68683324300940285</v>
      </c>
    </row>
    <row r="8" spans="1:11" x14ac:dyDescent="0.25">
      <c r="A8">
        <v>31500</v>
      </c>
      <c r="B8">
        <v>2.1</v>
      </c>
      <c r="C8">
        <v>0</v>
      </c>
      <c r="D8" t="s">
        <v>28</v>
      </c>
      <c r="F8" s="2" t="s">
        <v>35</v>
      </c>
      <c r="G8" s="2">
        <v>0.53024986451410427</v>
      </c>
    </row>
    <row r="9" spans="1:11" x14ac:dyDescent="0.25">
      <c r="A9">
        <v>36200</v>
      </c>
      <c r="B9">
        <v>2.5</v>
      </c>
      <c r="C9">
        <v>1</v>
      </c>
      <c r="D9" t="s">
        <v>29</v>
      </c>
      <c r="F9" s="2" t="s">
        <v>36</v>
      </c>
      <c r="G9" s="2">
        <v>3960.3956031352914</v>
      </c>
    </row>
    <row r="10" spans="1:11" ht="17.25" thickBot="1" x14ac:dyDescent="0.3">
      <c r="F10" s="3" t="s">
        <v>37</v>
      </c>
      <c r="G10" s="3">
        <v>7</v>
      </c>
    </row>
    <row r="12" spans="1:11" ht="17.25" thickBot="1" x14ac:dyDescent="0.3">
      <c r="F12" t="s">
        <v>38</v>
      </c>
    </row>
    <row r="13" spans="1:11" x14ac:dyDescent="0.25">
      <c r="F13" s="4"/>
      <c r="G13" s="4" t="s">
        <v>43</v>
      </c>
      <c r="H13" s="4" t="s">
        <v>44</v>
      </c>
      <c r="I13" s="4" t="s">
        <v>45</v>
      </c>
      <c r="J13" s="4" t="s">
        <v>46</v>
      </c>
      <c r="K13" s="4" t="s">
        <v>47</v>
      </c>
    </row>
    <row r="14" spans="1:11" x14ac:dyDescent="0.25">
      <c r="F14" s="2" t="s">
        <v>39</v>
      </c>
      <c r="G14" s="2">
        <v>2</v>
      </c>
      <c r="H14" s="2">
        <v>137598209.52380946</v>
      </c>
      <c r="I14" s="2">
        <v>68799104.761904731</v>
      </c>
      <c r="J14" s="2">
        <v>4.3863738898060953</v>
      </c>
      <c r="K14" s="2">
        <v>9.8073417684007722E-2</v>
      </c>
    </row>
    <row r="15" spans="1:11" x14ac:dyDescent="0.25">
      <c r="F15" s="2" t="s">
        <v>40</v>
      </c>
      <c r="G15" s="2">
        <v>4</v>
      </c>
      <c r="H15" s="2">
        <v>62738933.333333395</v>
      </c>
      <c r="I15" s="2">
        <v>15684733.333333349</v>
      </c>
      <c r="J15" s="2"/>
      <c r="K15" s="2"/>
    </row>
    <row r="16" spans="1:11" ht="17.25" thickBot="1" x14ac:dyDescent="0.3">
      <c r="F16" s="3" t="s">
        <v>41</v>
      </c>
      <c r="G16" s="3">
        <v>6</v>
      </c>
      <c r="H16" s="3">
        <v>200337142.85714287</v>
      </c>
      <c r="I16" s="3"/>
      <c r="J16" s="3"/>
      <c r="K16" s="3"/>
    </row>
    <row r="17" spans="6:14" ht="17.25" thickBot="1" x14ac:dyDescent="0.3"/>
    <row r="18" spans="6:14" x14ac:dyDescent="0.25">
      <c r="F18" s="4"/>
      <c r="G18" s="4" t="s">
        <v>48</v>
      </c>
      <c r="H18" s="4" t="s">
        <v>36</v>
      </c>
      <c r="I18" s="4" t="s">
        <v>49</v>
      </c>
      <c r="J18" s="4" t="s">
        <v>50</v>
      </c>
      <c r="K18" s="4" t="s">
        <v>51</v>
      </c>
      <c r="L18" s="4" t="s">
        <v>52</v>
      </c>
      <c r="M18" s="4" t="s">
        <v>53</v>
      </c>
      <c r="N18" s="4" t="s">
        <v>54</v>
      </c>
    </row>
    <row r="19" spans="6:14" x14ac:dyDescent="0.25">
      <c r="F19" s="2" t="s">
        <v>42</v>
      </c>
      <c r="G19" s="2">
        <v>24327.999999999985</v>
      </c>
      <c r="H19" s="2">
        <v>9025.3004628347153</v>
      </c>
      <c r="I19" s="2">
        <v>2.6955335282387836</v>
      </c>
      <c r="J19" s="2">
        <v>5.4345280664103643E-2</v>
      </c>
      <c r="K19" s="2">
        <v>-730.25129297683816</v>
      </c>
      <c r="L19" s="2">
        <v>49386.251292976813</v>
      </c>
      <c r="M19" s="2">
        <v>-730.25129297683816</v>
      </c>
      <c r="N19" s="2">
        <v>49386.251292976813</v>
      </c>
    </row>
    <row r="20" spans="6:14" x14ac:dyDescent="0.25">
      <c r="F20" s="2" t="s">
        <v>55</v>
      </c>
      <c r="G20" s="2">
        <v>3026.6666666666697</v>
      </c>
      <c r="H20" s="2">
        <v>3233.6494690811646</v>
      </c>
      <c r="I20" s="2">
        <v>0.93599095870050852</v>
      </c>
      <c r="J20" s="2">
        <v>0.40226813832227626</v>
      </c>
      <c r="K20" s="2">
        <v>-5951.3835736891724</v>
      </c>
      <c r="L20" s="2">
        <v>12004.716907022512</v>
      </c>
      <c r="M20" s="2">
        <v>-5951.3835736891724</v>
      </c>
      <c r="N20" s="2">
        <v>12004.716907022512</v>
      </c>
    </row>
    <row r="21" spans="6:14" ht="17.25" thickBot="1" x14ac:dyDescent="0.3">
      <c r="F21" s="3" t="s">
        <v>30</v>
      </c>
      <c r="G21" s="3">
        <v>6684.0000000000009</v>
      </c>
      <c r="H21" s="3">
        <v>3593.5725647018439</v>
      </c>
      <c r="I21" s="3">
        <v>1.8599874858947136</v>
      </c>
      <c r="J21" s="3">
        <v>0.13640242807549352</v>
      </c>
      <c r="K21" s="3">
        <v>-3293.3569574395142</v>
      </c>
      <c r="L21" s="3">
        <v>16661.356957439515</v>
      </c>
      <c r="M21" s="3">
        <v>-3293.3569574395142</v>
      </c>
      <c r="N21" s="3">
        <v>16661.356957439515</v>
      </c>
    </row>
    <row r="25" spans="6:14" x14ac:dyDescent="0.25">
      <c r="F25">
        <f>G19+(G20*3)+(G21*1)</f>
        <v>40091.999999999993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77A77-D44C-4D9B-BF3F-212C75CBC5FC}">
  <dimension ref="A1:Y60"/>
  <sheetViews>
    <sheetView topLeftCell="E1" workbookViewId="0">
      <selection activeCell="R24" sqref="R24"/>
    </sheetView>
  </sheetViews>
  <sheetFormatPr defaultRowHeight="16.5" x14ac:dyDescent="0.25"/>
  <cols>
    <col min="1" max="1" width="13.875" bestFit="1" customWidth="1"/>
    <col min="2" max="2" width="15.75" bestFit="1" customWidth="1"/>
    <col min="3" max="3" width="10.75" bestFit="1" customWidth="1"/>
    <col min="4" max="4" width="11.75" bestFit="1" customWidth="1"/>
    <col min="6" max="6" width="14.125" bestFit="1" customWidth="1"/>
    <col min="7" max="7" width="12.75" bestFit="1" customWidth="1"/>
    <col min="8" max="8" width="14.625" customWidth="1"/>
    <col min="9" max="9" width="14.75" customWidth="1"/>
    <col min="10" max="10" width="20.25" customWidth="1"/>
    <col min="17" max="17" width="14.125" bestFit="1" customWidth="1"/>
    <col min="19" max="20" width="12.75" bestFit="1" customWidth="1"/>
  </cols>
  <sheetData>
    <row r="1" spans="1:22" x14ac:dyDescent="0.25">
      <c r="A1" s="11" t="s">
        <v>56</v>
      </c>
      <c r="B1" s="11" t="s">
        <v>57</v>
      </c>
      <c r="C1" s="11" t="s">
        <v>58</v>
      </c>
      <c r="D1" s="11" t="s">
        <v>59</v>
      </c>
      <c r="F1" s="12" t="s">
        <v>60</v>
      </c>
      <c r="Q1" s="12" t="s">
        <v>61</v>
      </c>
    </row>
    <row r="2" spans="1:22" x14ac:dyDescent="0.25">
      <c r="A2" s="6">
        <v>84000</v>
      </c>
      <c r="B2" s="6">
        <v>1670</v>
      </c>
      <c r="C2" s="6">
        <v>2</v>
      </c>
      <c r="D2" s="6">
        <v>30</v>
      </c>
      <c r="F2" t="s">
        <v>31</v>
      </c>
    </row>
    <row r="3" spans="1:22" ht="17.25" thickBot="1" x14ac:dyDescent="0.3">
      <c r="A3" s="6">
        <v>79000</v>
      </c>
      <c r="B3" s="6">
        <v>1339</v>
      </c>
      <c r="C3" s="6">
        <v>2</v>
      </c>
      <c r="D3" s="6">
        <v>25</v>
      </c>
      <c r="Q3" t="s">
        <v>31</v>
      </c>
    </row>
    <row r="4" spans="1:22" ht="17.25" thickBot="1" x14ac:dyDescent="0.3">
      <c r="A4" s="6">
        <v>91500</v>
      </c>
      <c r="B4" s="6">
        <v>1712</v>
      </c>
      <c r="C4" s="6">
        <v>3</v>
      </c>
      <c r="D4" s="6">
        <v>30</v>
      </c>
      <c r="F4" s="10" t="s">
        <v>32</v>
      </c>
      <c r="G4" s="10"/>
    </row>
    <row r="5" spans="1:22" x14ac:dyDescent="0.25">
      <c r="A5" s="6">
        <v>120000</v>
      </c>
      <c r="B5" s="6">
        <v>1840</v>
      </c>
      <c r="C5" s="6">
        <v>3</v>
      </c>
      <c r="D5" s="6">
        <v>40</v>
      </c>
      <c r="F5" s="7" t="s">
        <v>33</v>
      </c>
      <c r="G5" s="7">
        <v>0.83664027951326758</v>
      </c>
      <c r="Q5" s="10" t="s">
        <v>32</v>
      </c>
      <c r="R5" s="10"/>
    </row>
    <row r="6" spans="1:22" x14ac:dyDescent="0.25">
      <c r="A6" s="6">
        <v>127500</v>
      </c>
      <c r="B6" s="6">
        <v>2300</v>
      </c>
      <c r="C6" s="6">
        <v>3</v>
      </c>
      <c r="D6" s="6">
        <v>18</v>
      </c>
      <c r="F6" s="7" t="s">
        <v>34</v>
      </c>
      <c r="G6" s="7">
        <v>0.69996695730403857</v>
      </c>
      <c r="Q6" s="7" t="s">
        <v>33</v>
      </c>
      <c r="R6" s="7">
        <v>0.83683170457215683</v>
      </c>
    </row>
    <row r="7" spans="1:22" x14ac:dyDescent="0.25">
      <c r="A7" s="6">
        <v>132500</v>
      </c>
      <c r="B7" s="6">
        <v>2234</v>
      </c>
      <c r="C7" s="6">
        <v>3</v>
      </c>
      <c r="D7" s="6">
        <v>30</v>
      </c>
      <c r="F7" s="7" t="s">
        <v>35</v>
      </c>
      <c r="G7" s="7">
        <v>0.67996475445764115</v>
      </c>
      <c r="Q7" s="7" t="s">
        <v>34</v>
      </c>
      <c r="R7" s="7">
        <v>0.70028730177714149</v>
      </c>
    </row>
    <row r="8" spans="1:22" x14ac:dyDescent="0.25">
      <c r="A8" s="6">
        <v>145000</v>
      </c>
      <c r="B8" s="6">
        <v>2311</v>
      </c>
      <c r="C8" s="6">
        <v>3</v>
      </c>
      <c r="D8" s="6">
        <v>19</v>
      </c>
      <c r="F8" s="7" t="s">
        <v>36</v>
      </c>
      <c r="G8" s="7">
        <v>21360.304333695334</v>
      </c>
      <c r="Q8" s="7" t="s">
        <v>35</v>
      </c>
      <c r="R8" s="7">
        <v>0.65747120203101883</v>
      </c>
    </row>
    <row r="9" spans="1:22" ht="17.25" thickBot="1" x14ac:dyDescent="0.3">
      <c r="A9" s="6">
        <v>164000</v>
      </c>
      <c r="B9" s="6">
        <v>2377</v>
      </c>
      <c r="C9" s="6">
        <v>3</v>
      </c>
      <c r="D9" s="6">
        <v>7</v>
      </c>
      <c r="F9" s="8" t="s">
        <v>37</v>
      </c>
      <c r="G9" s="8">
        <v>17</v>
      </c>
      <c r="Q9" s="7" t="s">
        <v>36</v>
      </c>
      <c r="R9" s="7">
        <v>22098.208982258449</v>
      </c>
    </row>
    <row r="10" spans="1:22" ht="17.25" thickBot="1" x14ac:dyDescent="0.3">
      <c r="A10" s="6">
        <v>155000</v>
      </c>
      <c r="B10" s="6">
        <v>2736</v>
      </c>
      <c r="C10" s="6">
        <v>4</v>
      </c>
      <c r="D10" s="6">
        <v>10</v>
      </c>
      <c r="Q10" s="8" t="s">
        <v>37</v>
      </c>
      <c r="R10" s="8">
        <v>17</v>
      </c>
    </row>
    <row r="11" spans="1:22" ht="17.25" thickBot="1" x14ac:dyDescent="0.3">
      <c r="A11" s="6">
        <v>168000</v>
      </c>
      <c r="B11" s="6">
        <v>2500</v>
      </c>
      <c r="C11" s="6">
        <v>3</v>
      </c>
      <c r="D11" s="6">
        <v>1</v>
      </c>
      <c r="F11" t="s">
        <v>38</v>
      </c>
    </row>
    <row r="12" spans="1:22" ht="17.25" thickBot="1" x14ac:dyDescent="0.3">
      <c r="A12" s="6">
        <v>172500</v>
      </c>
      <c r="B12" s="6">
        <v>2500</v>
      </c>
      <c r="C12" s="6">
        <v>4</v>
      </c>
      <c r="D12" s="6">
        <v>3</v>
      </c>
      <c r="F12" s="9"/>
      <c r="G12" s="9" t="s">
        <v>43</v>
      </c>
      <c r="H12" s="9" t="s">
        <v>44</v>
      </c>
      <c r="I12" s="9" t="s">
        <v>45</v>
      </c>
      <c r="J12" s="9" t="s">
        <v>46</v>
      </c>
      <c r="K12" s="9" t="s">
        <v>47</v>
      </c>
      <c r="Q12" t="s">
        <v>38</v>
      </c>
    </row>
    <row r="13" spans="1:22" x14ac:dyDescent="0.25">
      <c r="A13" s="6">
        <v>174000</v>
      </c>
      <c r="B13" s="6">
        <v>2479</v>
      </c>
      <c r="C13" s="6">
        <v>3</v>
      </c>
      <c r="D13" s="6">
        <v>3</v>
      </c>
      <c r="F13" s="7" t="s">
        <v>39</v>
      </c>
      <c r="G13" s="7">
        <v>1</v>
      </c>
      <c r="H13" s="7">
        <v>15966678628.637573</v>
      </c>
      <c r="I13" s="7">
        <v>15966678628.637573</v>
      </c>
      <c r="J13" s="7">
        <v>34.994493490506144</v>
      </c>
      <c r="K13" s="7">
        <v>2.834595512320515E-5</v>
      </c>
      <c r="Q13" s="9"/>
      <c r="R13" s="9" t="s">
        <v>43</v>
      </c>
      <c r="S13" s="9" t="s">
        <v>44</v>
      </c>
      <c r="T13" s="9" t="s">
        <v>45</v>
      </c>
      <c r="U13" s="9" t="s">
        <v>46</v>
      </c>
      <c r="V13" s="9" t="s">
        <v>47</v>
      </c>
    </row>
    <row r="14" spans="1:22" x14ac:dyDescent="0.25">
      <c r="A14" s="6">
        <v>175000</v>
      </c>
      <c r="B14" s="6">
        <v>2400</v>
      </c>
      <c r="C14" s="6">
        <v>3</v>
      </c>
      <c r="D14" s="6">
        <v>1</v>
      </c>
      <c r="F14" s="7" t="s">
        <v>40</v>
      </c>
      <c r="G14" s="7">
        <v>15</v>
      </c>
      <c r="H14" s="7">
        <v>6843939018.4212542</v>
      </c>
      <c r="I14" s="7">
        <v>456262601.22808361</v>
      </c>
      <c r="J14" s="7"/>
      <c r="K14" s="7"/>
      <c r="Q14" s="7" t="s">
        <v>39</v>
      </c>
      <c r="R14" s="7">
        <v>2</v>
      </c>
      <c r="S14" s="7">
        <v>15973985883.928873</v>
      </c>
      <c r="T14" s="7">
        <v>7986992941.9644365</v>
      </c>
      <c r="U14" s="7">
        <v>16.355700447483152</v>
      </c>
      <c r="V14" s="7">
        <v>2.1723810444874438E-4</v>
      </c>
    </row>
    <row r="15" spans="1:22" ht="17.25" thickBot="1" x14ac:dyDescent="0.3">
      <c r="A15" s="6">
        <v>177500</v>
      </c>
      <c r="B15" s="6">
        <v>3124</v>
      </c>
      <c r="C15" s="6">
        <v>4</v>
      </c>
      <c r="D15" s="6">
        <v>0</v>
      </c>
      <c r="F15" s="8" t="s">
        <v>41</v>
      </c>
      <c r="G15" s="8">
        <v>16</v>
      </c>
      <c r="H15" s="8">
        <v>22810617647.058826</v>
      </c>
      <c r="I15" s="8"/>
      <c r="J15" s="8"/>
      <c r="K15" s="8"/>
      <c r="Q15" s="7" t="s">
        <v>40</v>
      </c>
      <c r="R15" s="7">
        <v>14</v>
      </c>
      <c r="S15" s="7">
        <v>6836631763.1299534</v>
      </c>
      <c r="T15" s="7">
        <v>488330840.22356808</v>
      </c>
      <c r="U15" s="7"/>
      <c r="V15" s="7"/>
    </row>
    <row r="16" spans="1:22" ht="17.25" thickBot="1" x14ac:dyDescent="0.3">
      <c r="A16" s="6">
        <v>184000</v>
      </c>
      <c r="B16" s="6">
        <v>2500</v>
      </c>
      <c r="C16" s="6">
        <v>3</v>
      </c>
      <c r="D16" s="6">
        <v>2</v>
      </c>
      <c r="Q16" s="8" t="s">
        <v>41</v>
      </c>
      <c r="R16" s="8">
        <v>16</v>
      </c>
      <c r="S16" s="8">
        <v>22810617647.058826</v>
      </c>
      <c r="T16" s="8"/>
      <c r="U16" s="8"/>
      <c r="V16" s="8"/>
    </row>
    <row r="17" spans="1:25" ht="17.25" thickBot="1" x14ac:dyDescent="0.3">
      <c r="A17" s="6">
        <v>195500</v>
      </c>
      <c r="B17" s="6">
        <v>4062</v>
      </c>
      <c r="C17" s="6">
        <v>4</v>
      </c>
      <c r="D17" s="6">
        <v>10</v>
      </c>
      <c r="F17" s="9"/>
      <c r="G17" s="9" t="s">
        <v>48</v>
      </c>
      <c r="H17" s="9" t="s">
        <v>36</v>
      </c>
      <c r="I17" s="9" t="s">
        <v>49</v>
      </c>
      <c r="J17" s="9" t="s">
        <v>50</v>
      </c>
      <c r="K17" s="9" t="s">
        <v>51</v>
      </c>
      <c r="L17" s="9" t="s">
        <v>52</v>
      </c>
      <c r="M17" s="9" t="s">
        <v>53</v>
      </c>
      <c r="N17" s="9" t="s">
        <v>54</v>
      </c>
    </row>
    <row r="18" spans="1:25" x14ac:dyDescent="0.25">
      <c r="A18" s="6">
        <v>195000</v>
      </c>
      <c r="B18" s="6">
        <v>2854</v>
      </c>
      <c r="C18" s="6">
        <v>3</v>
      </c>
      <c r="D18" s="6">
        <v>3</v>
      </c>
      <c r="F18" s="7" t="s">
        <v>42</v>
      </c>
      <c r="G18" s="7">
        <v>26532.236139971254</v>
      </c>
      <c r="H18" s="7">
        <v>21408.355285551948</v>
      </c>
      <c r="I18" s="7">
        <v>1.2393402382422767</v>
      </c>
      <c r="J18" s="7">
        <v>0.23426097997950829</v>
      </c>
      <c r="K18" s="7">
        <v>-19098.59300460064</v>
      </c>
      <c r="L18" s="7">
        <v>72163.065284543147</v>
      </c>
      <c r="M18" s="7">
        <v>-19098.59300460064</v>
      </c>
      <c r="N18" s="7">
        <v>72163.065284543147</v>
      </c>
      <c r="Q18" s="9"/>
      <c r="R18" s="9" t="s">
        <v>48</v>
      </c>
      <c r="S18" s="9" t="s">
        <v>36</v>
      </c>
      <c r="T18" s="9" t="s">
        <v>49</v>
      </c>
      <c r="U18" s="9" t="s">
        <v>50</v>
      </c>
      <c r="V18" s="9" t="s">
        <v>51</v>
      </c>
      <c r="W18" s="9" t="s">
        <v>52</v>
      </c>
      <c r="X18" s="9" t="s">
        <v>53</v>
      </c>
      <c r="Y18" s="9" t="s">
        <v>54</v>
      </c>
    </row>
    <row r="19" spans="1:25" ht="17.25" thickBot="1" x14ac:dyDescent="0.3">
      <c r="F19" s="8" t="s">
        <v>57</v>
      </c>
      <c r="G19" s="8">
        <v>51.027211530130657</v>
      </c>
      <c r="H19" s="8">
        <v>8.6258515606368569</v>
      </c>
      <c r="I19" s="8">
        <v>5.915614379800811</v>
      </c>
      <c r="J19" s="8">
        <v>2.834595512320515E-5</v>
      </c>
      <c r="K19" s="8">
        <v>32.641644141145164</v>
      </c>
      <c r="L19" s="8">
        <v>69.41277891911615</v>
      </c>
      <c r="M19" s="8">
        <v>32.641644141145164</v>
      </c>
      <c r="N19" s="8">
        <v>69.41277891911615</v>
      </c>
      <c r="Q19" s="7" t="s">
        <v>42</v>
      </c>
      <c r="R19" s="7">
        <v>24202.382506874281</v>
      </c>
      <c r="S19" s="7">
        <v>29211.102013223346</v>
      </c>
      <c r="T19" s="7">
        <v>0.82853370256001613</v>
      </c>
      <c r="U19" s="7">
        <v>0.42126937845360246</v>
      </c>
      <c r="V19" s="7">
        <v>-38449.200230496128</v>
      </c>
      <c r="W19" s="7">
        <v>86853.965244244697</v>
      </c>
      <c r="X19" s="7">
        <v>-38449.200230496128</v>
      </c>
      <c r="Y19" s="7">
        <v>86853.965244244697</v>
      </c>
    </row>
    <row r="20" spans="1:25" x14ac:dyDescent="0.25">
      <c r="Q20" s="7" t="s">
        <v>57</v>
      </c>
      <c r="R20" s="7">
        <v>49.696513254772405</v>
      </c>
      <c r="S20" s="7">
        <v>14.070232990416542</v>
      </c>
      <c r="T20" s="7">
        <v>3.5320320060528836</v>
      </c>
      <c r="U20" s="7">
        <v>3.3172233049611386E-3</v>
      </c>
      <c r="V20" s="7">
        <v>19.518864841025085</v>
      </c>
      <c r="W20" s="7">
        <v>79.874161668519719</v>
      </c>
      <c r="X20" s="7">
        <v>19.518864841025085</v>
      </c>
      <c r="Y20" s="7">
        <v>79.874161668519719</v>
      </c>
    </row>
    <row r="21" spans="1:25" ht="17.25" thickBot="1" x14ac:dyDescent="0.3">
      <c r="Q21" s="8" t="s">
        <v>58</v>
      </c>
      <c r="R21" s="8">
        <v>1775.162976589899</v>
      </c>
      <c r="S21" s="8">
        <v>14511.695857728153</v>
      </c>
      <c r="T21" s="8">
        <v>0.1223263630931558</v>
      </c>
      <c r="U21" s="8">
        <v>0.90437915980429562</v>
      </c>
      <c r="V21" s="8">
        <v>-29349.329118177389</v>
      </c>
      <c r="W21" s="8">
        <v>32899.655071357185</v>
      </c>
      <c r="X21" s="8">
        <v>-29349.329118177389</v>
      </c>
      <c r="Y21" s="8">
        <v>32899.655071357185</v>
      </c>
    </row>
    <row r="23" spans="1:25" x14ac:dyDescent="0.25">
      <c r="F23" t="s">
        <v>31</v>
      </c>
      <c r="R23">
        <f>R19+(49.697*2000)+(1775.163*3)</f>
        <v>128921.87150687427</v>
      </c>
    </row>
    <row r="24" spans="1:25" ht="17.25" thickBot="1" x14ac:dyDescent="0.3">
      <c r="Q24" s="12"/>
    </row>
    <row r="25" spans="1:25" x14ac:dyDescent="0.25">
      <c r="F25" s="10" t="s">
        <v>32</v>
      </c>
      <c r="G25" s="10"/>
      <c r="Q25" s="12" t="s">
        <v>62</v>
      </c>
    </row>
    <row r="26" spans="1:25" x14ac:dyDescent="0.25">
      <c r="F26" s="7" t="s">
        <v>33</v>
      </c>
      <c r="G26" s="7">
        <v>0.65819186080759184</v>
      </c>
      <c r="Q26" t="s">
        <v>31</v>
      </c>
    </row>
    <row r="27" spans="1:25" ht="17.25" thickBot="1" x14ac:dyDescent="0.3">
      <c r="F27" s="7" t="s">
        <v>34</v>
      </c>
      <c r="G27" s="7">
        <v>0.43321652563336038</v>
      </c>
    </row>
    <row r="28" spans="1:25" x14ac:dyDescent="0.25">
      <c r="F28" s="7" t="s">
        <v>35</v>
      </c>
      <c r="G28" s="7">
        <v>0.39543096067558442</v>
      </c>
      <c r="Q28" s="10" t="s">
        <v>32</v>
      </c>
      <c r="R28" s="10"/>
    </row>
    <row r="29" spans="1:25" x14ac:dyDescent="0.25">
      <c r="F29" s="7" t="s">
        <v>36</v>
      </c>
      <c r="G29" s="7">
        <v>29358.339102032533</v>
      </c>
      <c r="Q29" s="7" t="s">
        <v>33</v>
      </c>
      <c r="R29" s="7">
        <v>0.93154423488285021</v>
      </c>
    </row>
    <row r="30" spans="1:25" ht="17.25" thickBot="1" x14ac:dyDescent="0.3">
      <c r="F30" s="8" t="s">
        <v>37</v>
      </c>
      <c r="G30" s="8">
        <v>17</v>
      </c>
      <c r="Q30" s="7" t="s">
        <v>34</v>
      </c>
      <c r="R30" s="7">
        <v>0.86777466154347482</v>
      </c>
    </row>
    <row r="31" spans="1:25" x14ac:dyDescent="0.25">
      <c r="Q31" s="7" t="s">
        <v>35</v>
      </c>
      <c r="R31" s="7">
        <v>0.83726112189966129</v>
      </c>
    </row>
    <row r="32" spans="1:25" ht="17.25" thickBot="1" x14ac:dyDescent="0.3">
      <c r="F32" t="s">
        <v>38</v>
      </c>
      <c r="Q32" s="7" t="s">
        <v>36</v>
      </c>
      <c r="R32" s="7">
        <v>15231.903862982255</v>
      </c>
    </row>
    <row r="33" spans="6:25" ht="17.25" thickBot="1" x14ac:dyDescent="0.3">
      <c r="F33" s="9"/>
      <c r="G33" s="9" t="s">
        <v>43</v>
      </c>
      <c r="H33" s="9" t="s">
        <v>44</v>
      </c>
      <c r="I33" s="9" t="s">
        <v>45</v>
      </c>
      <c r="J33" s="9" t="s">
        <v>46</v>
      </c>
      <c r="K33" s="9" t="s">
        <v>47</v>
      </c>
      <c r="Q33" s="8" t="s">
        <v>37</v>
      </c>
      <c r="R33" s="8">
        <v>17</v>
      </c>
    </row>
    <row r="34" spans="6:25" x14ac:dyDescent="0.25">
      <c r="F34" s="7" t="s">
        <v>39</v>
      </c>
      <c r="G34" s="7">
        <v>1</v>
      </c>
      <c r="H34" s="7">
        <v>9881936524.6098423</v>
      </c>
      <c r="I34" s="7">
        <v>9881936524.6098423</v>
      </c>
      <c r="J34" s="7">
        <v>11.465132944749255</v>
      </c>
      <c r="K34" s="7">
        <v>4.0729544126876923E-3</v>
      </c>
    </row>
    <row r="35" spans="6:25" ht="17.25" thickBot="1" x14ac:dyDescent="0.3">
      <c r="F35" s="7" t="s">
        <v>40</v>
      </c>
      <c r="G35" s="7">
        <v>15</v>
      </c>
      <c r="H35" s="7">
        <v>12928681122.448984</v>
      </c>
      <c r="I35" s="7">
        <v>861912074.82993233</v>
      </c>
      <c r="J35" s="7"/>
      <c r="K35" s="7"/>
      <c r="Q35" t="s">
        <v>38</v>
      </c>
    </row>
    <row r="36" spans="6:25" ht="17.25" thickBot="1" x14ac:dyDescent="0.3">
      <c r="F36" s="8" t="s">
        <v>41</v>
      </c>
      <c r="G36" s="8">
        <v>16</v>
      </c>
      <c r="H36" s="8">
        <v>22810617647.058826</v>
      </c>
      <c r="I36" s="8"/>
      <c r="J36" s="8"/>
      <c r="K36" s="8"/>
      <c r="Q36" s="9"/>
      <c r="R36" s="9" t="s">
        <v>43</v>
      </c>
      <c r="S36" s="9" t="s">
        <v>44</v>
      </c>
      <c r="T36" s="9" t="s">
        <v>45</v>
      </c>
      <c r="U36" s="9" t="s">
        <v>46</v>
      </c>
      <c r="V36" s="9" t="s">
        <v>47</v>
      </c>
    </row>
    <row r="37" spans="6:25" ht="17.25" thickBot="1" x14ac:dyDescent="0.3">
      <c r="Q37" s="7" t="s">
        <v>39</v>
      </c>
      <c r="R37" s="7">
        <v>3</v>
      </c>
      <c r="S37" s="7">
        <v>19794476008.274086</v>
      </c>
      <c r="T37" s="7">
        <v>6598158669.424695</v>
      </c>
      <c r="U37" s="7">
        <v>28.43900352673154</v>
      </c>
      <c r="V37" s="7">
        <v>5.5571598192774498E-6</v>
      </c>
    </row>
    <row r="38" spans="6:25" x14ac:dyDescent="0.25">
      <c r="F38" s="9"/>
      <c r="G38" s="9" t="s">
        <v>48</v>
      </c>
      <c r="H38" s="9" t="s">
        <v>36</v>
      </c>
      <c r="I38" s="9" t="s">
        <v>49</v>
      </c>
      <c r="J38" s="9" t="s">
        <v>50</v>
      </c>
      <c r="K38" s="9" t="s">
        <v>51</v>
      </c>
      <c r="L38" s="9" t="s">
        <v>52</v>
      </c>
      <c r="M38" s="9" t="s">
        <v>53</v>
      </c>
      <c r="N38" s="9" t="s">
        <v>54</v>
      </c>
      <c r="Q38" s="7" t="s">
        <v>40</v>
      </c>
      <c r="R38" s="7">
        <v>13</v>
      </c>
      <c r="S38" s="7">
        <v>3016141638.784739</v>
      </c>
      <c r="T38" s="7">
        <v>232010895.29113376</v>
      </c>
      <c r="U38" s="7"/>
      <c r="V38" s="7"/>
    </row>
    <row r="39" spans="6:25" ht="17.25" thickBot="1" x14ac:dyDescent="0.3">
      <c r="F39" s="7" t="s">
        <v>42</v>
      </c>
      <c r="G39" s="7">
        <v>20331.632653061155</v>
      </c>
      <c r="H39" s="7">
        <v>38780.776428103076</v>
      </c>
      <c r="I39" s="7">
        <v>0.52427090238264362</v>
      </c>
      <c r="J39" s="7">
        <v>0.60775106976815074</v>
      </c>
      <c r="K39" s="7">
        <v>-62327.635641074346</v>
      </c>
      <c r="L39" s="7">
        <v>102990.90094719666</v>
      </c>
      <c r="M39" s="7">
        <v>-62327.635641074346</v>
      </c>
      <c r="N39" s="7">
        <v>102990.90094719666</v>
      </c>
      <c r="Q39" s="8" t="s">
        <v>41</v>
      </c>
      <c r="R39" s="8">
        <v>16</v>
      </c>
      <c r="S39" s="8">
        <v>22810617647.058826</v>
      </c>
      <c r="T39" s="8"/>
      <c r="U39" s="8"/>
      <c r="V39" s="8"/>
    </row>
    <row r="40" spans="6:25" ht="17.25" thickBot="1" x14ac:dyDescent="0.3">
      <c r="F40" s="8" t="s">
        <v>58</v>
      </c>
      <c r="G40" s="8">
        <v>41403.061224489815</v>
      </c>
      <c r="H40" s="8">
        <v>12227.647358321965</v>
      </c>
      <c r="I40" s="8">
        <v>3.3860202221412177</v>
      </c>
      <c r="J40" s="8">
        <v>4.0729544126876923E-3</v>
      </c>
      <c r="K40" s="8">
        <v>15340.447819329289</v>
      </c>
      <c r="L40" s="8">
        <v>67465.674629650341</v>
      </c>
      <c r="M40" s="8">
        <v>15340.447819329289</v>
      </c>
      <c r="N40" s="8">
        <v>67465.674629650341</v>
      </c>
    </row>
    <row r="41" spans="6:25" x14ac:dyDescent="0.25">
      <c r="Q41" s="9"/>
      <c r="R41" s="9" t="s">
        <v>48</v>
      </c>
      <c r="S41" s="9" t="s">
        <v>36</v>
      </c>
      <c r="T41" s="9" t="s">
        <v>49</v>
      </c>
      <c r="U41" s="9" t="s">
        <v>50</v>
      </c>
      <c r="V41" s="9" t="s">
        <v>51</v>
      </c>
      <c r="W41" s="9" t="s">
        <v>52</v>
      </c>
      <c r="X41" s="9" t="s">
        <v>53</v>
      </c>
      <c r="Y41" s="9" t="s">
        <v>54</v>
      </c>
    </row>
    <row r="42" spans="6:25" x14ac:dyDescent="0.25">
      <c r="Q42" s="7" t="s">
        <v>42</v>
      </c>
      <c r="R42" s="7">
        <v>91446.492992260493</v>
      </c>
      <c r="S42" s="7">
        <v>26076.890480683418</v>
      </c>
      <c r="T42" s="7">
        <v>3.5068020498839738</v>
      </c>
      <c r="U42" s="7">
        <v>3.8633298627710764E-3</v>
      </c>
      <c r="V42" s="7">
        <v>35110.796139779071</v>
      </c>
      <c r="W42" s="7">
        <v>147782.18984474192</v>
      </c>
      <c r="X42" s="7">
        <v>35110.796139779071</v>
      </c>
      <c r="Y42" s="7">
        <v>147782.18984474192</v>
      </c>
    </row>
    <row r="43" spans="6:25" x14ac:dyDescent="0.25">
      <c r="F43" t="s">
        <v>31</v>
      </c>
      <c r="Q43" s="7" t="s">
        <v>57</v>
      </c>
      <c r="R43" s="7">
        <v>29.857881760847057</v>
      </c>
      <c r="S43" s="7">
        <v>10.860895277432677</v>
      </c>
      <c r="T43" s="7">
        <v>2.7491179132246391</v>
      </c>
      <c r="U43" s="7">
        <v>1.6565742497454346E-2</v>
      </c>
      <c r="V43" s="7">
        <v>6.3943440223567336</v>
      </c>
      <c r="W43" s="7">
        <v>53.321419499337381</v>
      </c>
      <c r="X43" s="7">
        <v>6.3943440223567336</v>
      </c>
      <c r="Y43" s="7">
        <v>53.321419499337381</v>
      </c>
    </row>
    <row r="44" spans="6:25" ht="17.25" thickBot="1" x14ac:dyDescent="0.3">
      <c r="Q44" s="7" t="s">
        <v>58</v>
      </c>
      <c r="R44" s="7">
        <v>2116.8554275753622</v>
      </c>
      <c r="S44" s="7">
        <v>10003.009213000789</v>
      </c>
      <c r="T44" s="7">
        <v>0.21162186123192919</v>
      </c>
      <c r="U44" s="7">
        <v>0.83568363538432944</v>
      </c>
      <c r="V44" s="7">
        <v>-19493.332146500088</v>
      </c>
      <c r="W44" s="7">
        <v>23727.043001650814</v>
      </c>
      <c r="X44" s="7">
        <v>-19493.332146500088</v>
      </c>
      <c r="Y44" s="7">
        <v>23727.043001650814</v>
      </c>
    </row>
    <row r="45" spans="6:25" ht="17.25" thickBot="1" x14ac:dyDescent="0.3">
      <c r="F45" s="10" t="s">
        <v>32</v>
      </c>
      <c r="G45" s="10"/>
      <c r="Q45" s="8" t="s">
        <v>59</v>
      </c>
      <c r="R45" s="8">
        <v>-1504.7658709287907</v>
      </c>
      <c r="S45" s="8">
        <v>370.82036909534207</v>
      </c>
      <c r="T45" s="8">
        <v>-4.0579374714496836</v>
      </c>
      <c r="U45" s="8">
        <v>1.3560099445645822E-3</v>
      </c>
      <c r="V45" s="8">
        <v>-2305.8745735003317</v>
      </c>
      <c r="W45" s="8">
        <v>-703.6571683572497</v>
      </c>
      <c r="X45" s="8">
        <v>-2305.8745735003317</v>
      </c>
      <c r="Y45" s="8">
        <v>-703.6571683572497</v>
      </c>
    </row>
    <row r="46" spans="6:25" x14ac:dyDescent="0.25">
      <c r="F46" s="7" t="s">
        <v>33</v>
      </c>
      <c r="G46" s="7">
        <v>0.83826496514538018</v>
      </c>
    </row>
    <row r="47" spans="6:25" x14ac:dyDescent="0.25">
      <c r="F47" s="7" t="s">
        <v>34</v>
      </c>
      <c r="G47" s="7">
        <v>0.7026881517901854</v>
      </c>
    </row>
    <row r="48" spans="6:25" x14ac:dyDescent="0.25">
      <c r="F48" s="7" t="s">
        <v>35</v>
      </c>
      <c r="G48" s="7">
        <v>0.68286736190953112</v>
      </c>
    </row>
    <row r="49" spans="6:14" x14ac:dyDescent="0.25">
      <c r="F49" s="7" t="s">
        <v>36</v>
      </c>
      <c r="G49" s="7">
        <v>21263.21846358867</v>
      </c>
    </row>
    <row r="50" spans="6:14" ht="17.25" thickBot="1" x14ac:dyDescent="0.3">
      <c r="F50" s="8" t="s">
        <v>37</v>
      </c>
      <c r="G50" s="8">
        <v>17</v>
      </c>
    </row>
    <row r="52" spans="6:14" ht="17.25" thickBot="1" x14ac:dyDescent="0.3">
      <c r="F52" t="s">
        <v>38</v>
      </c>
    </row>
    <row r="53" spans="6:14" x14ac:dyDescent="0.25">
      <c r="F53" s="9"/>
      <c r="G53" s="9" t="s">
        <v>43</v>
      </c>
      <c r="H53" s="9" t="s">
        <v>44</v>
      </c>
      <c r="I53" s="9" t="s">
        <v>45</v>
      </c>
      <c r="J53" s="9" t="s">
        <v>46</v>
      </c>
      <c r="K53" s="9" t="s">
        <v>47</v>
      </c>
    </row>
    <row r="54" spans="6:14" x14ac:dyDescent="0.25">
      <c r="F54" s="7" t="s">
        <v>39</v>
      </c>
      <c r="G54" s="7">
        <v>1</v>
      </c>
      <c r="H54" s="7">
        <v>16028750755.604355</v>
      </c>
      <c r="I54" s="7">
        <v>16028750755.604355</v>
      </c>
      <c r="J54" s="7">
        <v>35.452076129217765</v>
      </c>
      <c r="K54" s="7">
        <v>2.6430162464398552E-5</v>
      </c>
    </row>
    <row r="55" spans="6:14" x14ac:dyDescent="0.25">
      <c r="F55" s="7" t="s">
        <v>40</v>
      </c>
      <c r="G55" s="7">
        <v>15</v>
      </c>
      <c r="H55" s="7">
        <v>6781866891.4544706</v>
      </c>
      <c r="I55" s="7">
        <v>452124459.43029803</v>
      </c>
      <c r="J55" s="7"/>
      <c r="K55" s="7"/>
    </row>
    <row r="56" spans="6:14" ht="17.25" thickBot="1" x14ac:dyDescent="0.3">
      <c r="F56" s="8" t="s">
        <v>41</v>
      </c>
      <c r="G56" s="8">
        <v>16</v>
      </c>
      <c r="H56" s="8">
        <v>22810617647.058826</v>
      </c>
      <c r="I56" s="8"/>
      <c r="J56" s="8"/>
      <c r="K56" s="8"/>
    </row>
    <row r="57" spans="6:14" ht="17.25" thickBot="1" x14ac:dyDescent="0.3"/>
    <row r="58" spans="6:14" x14ac:dyDescent="0.25">
      <c r="F58" s="9"/>
      <c r="G58" s="9" t="s">
        <v>48</v>
      </c>
      <c r="H58" s="9" t="s">
        <v>36</v>
      </c>
      <c r="I58" s="9" t="s">
        <v>49</v>
      </c>
      <c r="J58" s="9" t="s">
        <v>50</v>
      </c>
      <c r="K58" s="9" t="s">
        <v>51</v>
      </c>
      <c r="L58" s="9" t="s">
        <v>52</v>
      </c>
      <c r="M58" s="9" t="s">
        <v>53</v>
      </c>
      <c r="N58" s="9" t="s">
        <v>54</v>
      </c>
    </row>
    <row r="59" spans="6:14" ht="17.25" thickBot="1" x14ac:dyDescent="0.3">
      <c r="F59" s="7" t="s">
        <v>42</v>
      </c>
      <c r="G59" s="7">
        <v>182504.70435908504</v>
      </c>
      <c r="H59" s="7">
        <v>7581.975131305946</v>
      </c>
      <c r="I59" s="7">
        <v>24.070865598796786</v>
      </c>
      <c r="J59" s="8">
        <v>2.121337977181E-13</v>
      </c>
      <c r="K59" s="7">
        <v>166344.10691101747</v>
      </c>
      <c r="L59" s="7">
        <v>198665.3018071526</v>
      </c>
      <c r="M59" s="7">
        <v>166344.10691101747</v>
      </c>
      <c r="N59" s="7">
        <v>198665.3018071526</v>
      </c>
    </row>
    <row r="60" spans="6:14" ht="17.25" thickBot="1" x14ac:dyDescent="0.3">
      <c r="F60" s="8" t="s">
        <v>59</v>
      </c>
      <c r="G60" s="8">
        <v>-2424.9136814846797</v>
      </c>
      <c r="H60" s="8">
        <v>407.26346059270554</v>
      </c>
      <c r="I60" s="8">
        <v>-5.9541646038061291</v>
      </c>
      <c r="J60" s="8">
        <v>2.6430162464398399E-5</v>
      </c>
      <c r="K60" s="8">
        <v>-3292.975199488103</v>
      </c>
      <c r="L60" s="8">
        <v>-1556.8521634812564</v>
      </c>
      <c r="M60" s="8">
        <v>-3292.975199488103</v>
      </c>
      <c r="N60" s="8">
        <v>-1556.8521634812564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F61DF-0D99-477E-83C4-54E00BC39B91}">
  <dimension ref="A1:I23"/>
  <sheetViews>
    <sheetView tabSelected="1" workbookViewId="0">
      <selection activeCell="C24" sqref="C24"/>
    </sheetView>
  </sheetViews>
  <sheetFormatPr defaultRowHeight="16.5" x14ac:dyDescent="0.25"/>
  <sheetData>
    <row r="1" spans="1:9" x14ac:dyDescent="0.25">
      <c r="A1" t="s">
        <v>31</v>
      </c>
    </row>
    <row r="2" spans="1:9" ht="17.25" thickBot="1" x14ac:dyDescent="0.3"/>
    <row r="3" spans="1:9" x14ac:dyDescent="0.25">
      <c r="A3" s="10" t="s">
        <v>32</v>
      </c>
      <c r="B3" s="10"/>
    </row>
    <row r="4" spans="1:9" x14ac:dyDescent="0.25">
      <c r="A4" s="7" t="s">
        <v>33</v>
      </c>
      <c r="B4" s="7">
        <v>0.93154423488285021</v>
      </c>
    </row>
    <row r="5" spans="1:9" x14ac:dyDescent="0.25">
      <c r="A5" s="7" t="s">
        <v>34</v>
      </c>
      <c r="B5" s="7">
        <v>0.86777466154347482</v>
      </c>
    </row>
    <row r="6" spans="1:9" x14ac:dyDescent="0.25">
      <c r="A6" s="7" t="s">
        <v>35</v>
      </c>
      <c r="B6" s="7">
        <v>0.83726112189966129</v>
      </c>
    </row>
    <row r="7" spans="1:9" x14ac:dyDescent="0.25">
      <c r="A7" s="7" t="s">
        <v>36</v>
      </c>
      <c r="B7" s="7">
        <v>15231.903862982255</v>
      </c>
    </row>
    <row r="8" spans="1:9" ht="17.25" thickBot="1" x14ac:dyDescent="0.3">
      <c r="A8" s="8" t="s">
        <v>37</v>
      </c>
      <c r="B8" s="8">
        <v>17</v>
      </c>
    </row>
    <row r="10" spans="1:9" ht="17.25" thickBot="1" x14ac:dyDescent="0.3">
      <c r="A10" t="s">
        <v>38</v>
      </c>
    </row>
    <row r="11" spans="1:9" x14ac:dyDescent="0.25">
      <c r="A11" s="9"/>
      <c r="B11" s="9" t="s">
        <v>43</v>
      </c>
      <c r="C11" s="9" t="s">
        <v>44</v>
      </c>
      <c r="D11" s="9" t="s">
        <v>45</v>
      </c>
      <c r="E11" s="9" t="s">
        <v>46</v>
      </c>
      <c r="F11" s="9" t="s">
        <v>47</v>
      </c>
    </row>
    <row r="12" spans="1:9" x14ac:dyDescent="0.25">
      <c r="A12" s="7" t="s">
        <v>39</v>
      </c>
      <c r="B12" s="7">
        <v>3</v>
      </c>
      <c r="C12" s="7">
        <v>19794476008.274086</v>
      </c>
      <c r="D12" s="7">
        <v>6598158669.424695</v>
      </c>
      <c r="E12" s="7">
        <v>28.43900352673154</v>
      </c>
      <c r="F12" s="7">
        <v>5.5571598192774498E-6</v>
      </c>
    </row>
    <row r="13" spans="1:9" x14ac:dyDescent="0.25">
      <c r="A13" s="7" t="s">
        <v>40</v>
      </c>
      <c r="B13" s="7">
        <v>13</v>
      </c>
      <c r="C13" s="7">
        <v>3016141638.784739</v>
      </c>
      <c r="D13" s="7">
        <v>232010895.29113376</v>
      </c>
      <c r="E13" s="7"/>
      <c r="F13" s="7"/>
    </row>
    <row r="14" spans="1:9" ht="17.25" thickBot="1" x14ac:dyDescent="0.3">
      <c r="A14" s="8" t="s">
        <v>41</v>
      </c>
      <c r="B14" s="8">
        <v>16</v>
      </c>
      <c r="C14" s="8">
        <v>22810617647.058826</v>
      </c>
      <c r="D14" s="8"/>
      <c r="E14" s="8"/>
      <c r="F14" s="8"/>
    </row>
    <row r="15" spans="1:9" ht="17.25" thickBot="1" x14ac:dyDescent="0.3"/>
    <row r="16" spans="1:9" x14ac:dyDescent="0.25">
      <c r="A16" s="9"/>
      <c r="B16" s="9" t="s">
        <v>48</v>
      </c>
      <c r="C16" s="9" t="s">
        <v>36</v>
      </c>
      <c r="D16" s="9" t="s">
        <v>49</v>
      </c>
      <c r="E16" s="9" t="s">
        <v>50</v>
      </c>
      <c r="F16" s="9" t="s">
        <v>51</v>
      </c>
      <c r="G16" s="9" t="s">
        <v>52</v>
      </c>
      <c r="H16" s="9" t="s">
        <v>53</v>
      </c>
      <c r="I16" s="9" t="s">
        <v>54</v>
      </c>
    </row>
    <row r="17" spans="1:9" x14ac:dyDescent="0.25">
      <c r="A17" s="7" t="s">
        <v>42</v>
      </c>
      <c r="B17" s="7">
        <v>91446.492992260493</v>
      </c>
      <c r="C17" s="7">
        <v>26076.890480683418</v>
      </c>
      <c r="D17" s="7">
        <v>3.5068020498839738</v>
      </c>
      <c r="E17" s="7">
        <v>3.8633298627710764E-3</v>
      </c>
      <c r="F17" s="7">
        <v>35110.796139779071</v>
      </c>
      <c r="G17" s="7">
        <v>147782.18984474192</v>
      </c>
      <c r="H17" s="7">
        <v>35110.796139779071</v>
      </c>
      <c r="I17" s="7">
        <v>147782.18984474192</v>
      </c>
    </row>
    <row r="18" spans="1:9" x14ac:dyDescent="0.25">
      <c r="A18" s="7" t="s">
        <v>57</v>
      </c>
      <c r="B18" s="7">
        <v>29.857881760847057</v>
      </c>
      <c r="C18" s="7">
        <v>10.860895277432677</v>
      </c>
      <c r="D18" s="7">
        <v>2.7491179132246391</v>
      </c>
      <c r="E18" s="7">
        <v>1.6565742497454346E-2</v>
      </c>
      <c r="F18" s="7">
        <v>6.3943440223567336</v>
      </c>
      <c r="G18" s="7">
        <v>53.321419499337381</v>
      </c>
      <c r="H18" s="7">
        <v>6.3943440223567336</v>
      </c>
      <c r="I18" s="7">
        <v>53.321419499337381</v>
      </c>
    </row>
    <row r="19" spans="1:9" x14ac:dyDescent="0.25">
      <c r="A19" s="7" t="s">
        <v>58</v>
      </c>
      <c r="B19" s="7">
        <v>2116.8554275753622</v>
      </c>
      <c r="C19" s="7">
        <v>10003.009213000789</v>
      </c>
      <c r="D19" s="7">
        <v>0.21162186123192919</v>
      </c>
      <c r="E19" s="7">
        <v>0.83568363538432944</v>
      </c>
      <c r="F19" s="7">
        <v>-19493.332146500088</v>
      </c>
      <c r="G19" s="7">
        <v>23727.043001650814</v>
      </c>
      <c r="H19" s="7">
        <v>-19493.332146500088</v>
      </c>
      <c r="I19" s="7">
        <v>23727.043001650814</v>
      </c>
    </row>
    <row r="20" spans="1:9" ht="17.25" thickBot="1" x14ac:dyDescent="0.3">
      <c r="A20" s="8" t="s">
        <v>59</v>
      </c>
      <c r="B20" s="8">
        <v>-1504.7658709287907</v>
      </c>
      <c r="C20" s="8">
        <v>370.82036909534207</v>
      </c>
      <c r="D20" s="8">
        <v>-4.0579374714496836</v>
      </c>
      <c r="E20" s="8">
        <v>1.3560099445645822E-3</v>
      </c>
      <c r="F20" s="8">
        <v>-2305.8745735003317</v>
      </c>
      <c r="G20" s="8">
        <v>-703.6571683572497</v>
      </c>
      <c r="H20" s="8">
        <v>-2305.8745735003317</v>
      </c>
      <c r="I20" s="8">
        <v>-703.6571683572497</v>
      </c>
    </row>
    <row r="23" spans="1:9" x14ac:dyDescent="0.25">
      <c r="B23">
        <f>B17+(B18*2000)+(B19*3)+(B20*10)</f>
        <v>142465.1640873928</v>
      </c>
      <c r="C23" s="6">
        <f>91446.49+(29.8579*2000)+(2116.855*3)+(-1504.77*10)</f>
        <v>142465.155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A54AB-EDAD-45FB-A2A3-9E45D31B3A56}">
  <dimension ref="A1:R84"/>
  <sheetViews>
    <sheetView workbookViewId="0">
      <selection activeCell="E72" sqref="E72"/>
    </sheetView>
  </sheetViews>
  <sheetFormatPr defaultRowHeight="16.5" x14ac:dyDescent="0.25"/>
  <cols>
    <col min="1" max="1" width="15.875" bestFit="1" customWidth="1"/>
  </cols>
  <sheetData>
    <row r="1" spans="1:15" x14ac:dyDescent="0.25">
      <c r="A1" t="s">
        <v>63</v>
      </c>
      <c r="B1" t="s">
        <v>66</v>
      </c>
      <c r="C1" t="s">
        <v>68</v>
      </c>
      <c r="D1" t="s">
        <v>70</v>
      </c>
      <c r="E1" t="s">
        <v>72</v>
      </c>
      <c r="F1" t="s">
        <v>74</v>
      </c>
      <c r="J1" t="s">
        <v>87</v>
      </c>
    </row>
    <row r="2" spans="1:15" x14ac:dyDescent="0.25">
      <c r="A2" t="s">
        <v>64</v>
      </c>
      <c r="B2">
        <v>93</v>
      </c>
      <c r="C2">
        <v>3.9</v>
      </c>
      <c r="D2">
        <v>712</v>
      </c>
      <c r="E2">
        <v>0.247</v>
      </c>
      <c r="F2">
        <v>0.311</v>
      </c>
      <c r="J2" t="s">
        <v>31</v>
      </c>
    </row>
    <row r="3" spans="1:15" ht="17.25" thickBot="1" x14ac:dyDescent="0.3">
      <c r="A3" t="s">
        <v>65</v>
      </c>
      <c r="B3">
        <v>69</v>
      </c>
      <c r="C3">
        <v>4.7</v>
      </c>
      <c r="D3">
        <v>734</v>
      </c>
      <c r="E3">
        <v>0.26</v>
      </c>
      <c r="F3">
        <v>0.315</v>
      </c>
    </row>
    <row r="4" spans="1:15" x14ac:dyDescent="0.25">
      <c r="A4" t="s">
        <v>75</v>
      </c>
      <c r="B4">
        <v>85</v>
      </c>
      <c r="C4">
        <v>4.0199999999999996</v>
      </c>
      <c r="D4">
        <v>748</v>
      </c>
      <c r="E4">
        <v>0.255</v>
      </c>
      <c r="F4">
        <v>0.318</v>
      </c>
      <c r="J4" s="10" t="s">
        <v>32</v>
      </c>
      <c r="K4" s="10"/>
    </row>
    <row r="5" spans="1:15" x14ac:dyDescent="0.25">
      <c r="A5" t="s">
        <v>76</v>
      </c>
      <c r="B5">
        <v>68</v>
      </c>
      <c r="C5">
        <v>4.78</v>
      </c>
      <c r="D5">
        <v>667</v>
      </c>
      <c r="E5">
        <v>0.251</v>
      </c>
      <c r="F5">
        <v>0.32400000000000001</v>
      </c>
      <c r="J5" s="7" t="s">
        <v>33</v>
      </c>
      <c r="K5" s="7">
        <v>0.80542747488993505</v>
      </c>
    </row>
    <row r="6" spans="1:15" x14ac:dyDescent="0.25">
      <c r="A6" s="6" t="s">
        <v>77</v>
      </c>
      <c r="B6">
        <v>88</v>
      </c>
      <c r="C6">
        <v>3.75</v>
      </c>
      <c r="D6">
        <v>726</v>
      </c>
      <c r="E6">
        <v>0.26800000000000002</v>
      </c>
      <c r="F6">
        <v>0.33500000000000002</v>
      </c>
      <c r="J6" s="7" t="s">
        <v>34</v>
      </c>
      <c r="K6" s="7">
        <v>0.64871341730757703</v>
      </c>
    </row>
    <row r="7" spans="1:15" x14ac:dyDescent="0.25">
      <c r="A7" t="s">
        <v>78</v>
      </c>
      <c r="B7">
        <v>72</v>
      </c>
      <c r="C7">
        <v>4.3</v>
      </c>
      <c r="D7">
        <v>676</v>
      </c>
      <c r="E7">
        <v>0.26500000000000001</v>
      </c>
      <c r="F7">
        <v>0.317</v>
      </c>
      <c r="J7" s="7" t="s">
        <v>35</v>
      </c>
      <c r="K7" s="7">
        <v>0.61943953541654173</v>
      </c>
    </row>
    <row r="8" spans="1:15" x14ac:dyDescent="0.25">
      <c r="A8" t="s">
        <v>79</v>
      </c>
      <c r="B8">
        <v>89</v>
      </c>
      <c r="C8">
        <v>4.0199999999999996</v>
      </c>
      <c r="D8">
        <v>767</v>
      </c>
      <c r="E8">
        <v>0.27400000000000002</v>
      </c>
      <c r="F8">
        <v>0.33200000000000002</v>
      </c>
      <c r="J8" s="7" t="s">
        <v>36</v>
      </c>
      <c r="K8" s="7">
        <v>6.7657953938413291</v>
      </c>
    </row>
    <row r="9" spans="1:15" ht="17.25" thickBot="1" x14ac:dyDescent="0.3">
      <c r="A9" t="s">
        <v>80</v>
      </c>
      <c r="B9">
        <v>66</v>
      </c>
      <c r="C9">
        <v>4.7699999999999996</v>
      </c>
      <c r="D9">
        <v>701</v>
      </c>
      <c r="E9">
        <v>0.26</v>
      </c>
      <c r="F9">
        <v>0.32500000000000001</v>
      </c>
      <c r="J9" s="8" t="s">
        <v>37</v>
      </c>
      <c r="K9" s="8">
        <v>14</v>
      </c>
    </row>
    <row r="10" spans="1:15" x14ac:dyDescent="0.25">
      <c r="A10" t="s">
        <v>81</v>
      </c>
      <c r="B10">
        <v>95</v>
      </c>
      <c r="C10">
        <v>3.85</v>
      </c>
      <c r="D10">
        <v>804</v>
      </c>
      <c r="E10">
        <v>0.26500000000000001</v>
      </c>
      <c r="F10">
        <v>0.33700000000000002</v>
      </c>
    </row>
    <row r="11" spans="1:15" ht="17.25" thickBot="1" x14ac:dyDescent="0.3">
      <c r="A11" t="s">
        <v>82</v>
      </c>
      <c r="B11">
        <v>94</v>
      </c>
      <c r="C11">
        <v>3.48</v>
      </c>
      <c r="D11">
        <v>713</v>
      </c>
      <c r="E11">
        <v>0.23799999999999999</v>
      </c>
      <c r="F11">
        <v>0.31</v>
      </c>
      <c r="J11" t="s">
        <v>38</v>
      </c>
    </row>
    <row r="12" spans="1:15" x14ac:dyDescent="0.25">
      <c r="A12" t="s">
        <v>83</v>
      </c>
      <c r="B12">
        <v>75</v>
      </c>
      <c r="C12">
        <v>3.76</v>
      </c>
      <c r="D12">
        <v>619</v>
      </c>
      <c r="E12">
        <v>0.23400000000000001</v>
      </c>
      <c r="F12">
        <v>0.29599999999999999</v>
      </c>
      <c r="J12" s="9"/>
      <c r="K12" s="9" t="s">
        <v>43</v>
      </c>
      <c r="L12" s="9" t="s">
        <v>44</v>
      </c>
      <c r="M12" s="9" t="s">
        <v>45</v>
      </c>
      <c r="N12" s="9" t="s">
        <v>46</v>
      </c>
      <c r="O12" s="9" t="s">
        <v>47</v>
      </c>
    </row>
    <row r="13" spans="1:15" x14ac:dyDescent="0.25">
      <c r="A13" t="s">
        <v>84</v>
      </c>
      <c r="B13">
        <v>90</v>
      </c>
      <c r="C13">
        <v>3.19</v>
      </c>
      <c r="D13">
        <v>697</v>
      </c>
      <c r="E13">
        <v>0.24</v>
      </c>
      <c r="F13">
        <v>0.317</v>
      </c>
      <c r="J13" s="7" t="s">
        <v>39</v>
      </c>
      <c r="K13" s="7">
        <v>1</v>
      </c>
      <c r="L13" s="7">
        <v>1014.4024379783912</v>
      </c>
      <c r="M13" s="7">
        <v>1014.4024379783912</v>
      </c>
      <c r="N13" s="7">
        <v>22.160143288213416</v>
      </c>
      <c r="O13" s="7">
        <v>5.0777267223756561E-4</v>
      </c>
    </row>
    <row r="14" spans="1:15" x14ac:dyDescent="0.25">
      <c r="A14" t="s">
        <v>85</v>
      </c>
      <c r="B14">
        <v>93</v>
      </c>
      <c r="C14">
        <v>3.99</v>
      </c>
      <c r="D14">
        <v>808</v>
      </c>
      <c r="E14">
        <v>0.27300000000000002</v>
      </c>
      <c r="F14">
        <v>0.33400000000000002</v>
      </c>
      <c r="J14" s="7" t="s">
        <v>40</v>
      </c>
      <c r="K14" s="7">
        <v>12</v>
      </c>
      <c r="L14" s="7">
        <v>549.31184773589462</v>
      </c>
      <c r="M14" s="7">
        <v>45.775987311324549</v>
      </c>
      <c r="N14" s="7"/>
      <c r="O14" s="7"/>
    </row>
    <row r="15" spans="1:15" ht="17.25" thickBot="1" x14ac:dyDescent="0.3">
      <c r="A15" t="s">
        <v>86</v>
      </c>
      <c r="B15">
        <v>73</v>
      </c>
      <c r="C15">
        <v>4.6399999999999997</v>
      </c>
      <c r="D15">
        <v>716</v>
      </c>
      <c r="E15">
        <v>0.245</v>
      </c>
      <c r="F15">
        <v>0.309</v>
      </c>
      <c r="J15" s="8" t="s">
        <v>41</v>
      </c>
      <c r="K15" s="8">
        <v>13</v>
      </c>
      <c r="L15" s="8">
        <v>1563.7142857142858</v>
      </c>
      <c r="M15" s="8"/>
      <c r="N15" s="8"/>
      <c r="O15" s="8"/>
    </row>
    <row r="16" spans="1:15" ht="17.25" thickBot="1" x14ac:dyDescent="0.3"/>
    <row r="17" spans="10:18" x14ac:dyDescent="0.25">
      <c r="J17" s="9"/>
      <c r="K17" s="9" t="s">
        <v>48</v>
      </c>
      <c r="L17" s="9" t="s">
        <v>36</v>
      </c>
      <c r="M17" s="9" t="s">
        <v>49</v>
      </c>
      <c r="N17" s="9" t="s">
        <v>50</v>
      </c>
      <c r="O17" s="9" t="s">
        <v>51</v>
      </c>
      <c r="P17" s="9" t="s">
        <v>52</v>
      </c>
      <c r="Q17" s="9" t="s">
        <v>53</v>
      </c>
      <c r="R17" s="9" t="s">
        <v>54</v>
      </c>
    </row>
    <row r="18" spans="10:18" x14ac:dyDescent="0.25">
      <c r="J18" s="7" t="s">
        <v>42</v>
      </c>
      <c r="K18" s="7">
        <v>155.09252284118995</v>
      </c>
      <c r="L18" s="7">
        <v>15.601762379618892</v>
      </c>
      <c r="M18" s="7">
        <v>9.9407053554278288</v>
      </c>
      <c r="N18" s="7">
        <v>3.8188618581169253E-7</v>
      </c>
      <c r="O18" s="7">
        <v>121.0992028030568</v>
      </c>
      <c r="P18" s="7">
        <v>189.08584287932308</v>
      </c>
      <c r="Q18" s="7">
        <v>121.0992028030568</v>
      </c>
      <c r="R18" s="7">
        <v>189.08584287932308</v>
      </c>
    </row>
    <row r="19" spans="10:18" ht="17.25" thickBot="1" x14ac:dyDescent="0.3">
      <c r="J19" s="8" t="s">
        <v>67</v>
      </c>
      <c r="K19" s="8">
        <v>-17.870434291805065</v>
      </c>
      <c r="L19" s="8">
        <v>3.7961977274203993</v>
      </c>
      <c r="M19" s="8">
        <v>-4.707456137683435</v>
      </c>
      <c r="N19" s="8">
        <v>5.0777267223756192E-4</v>
      </c>
      <c r="O19" s="8">
        <v>-26.141638604262205</v>
      </c>
      <c r="P19" s="8">
        <v>-9.599229979347923</v>
      </c>
      <c r="Q19" s="8">
        <v>-26.141638604262205</v>
      </c>
      <c r="R19" s="8">
        <v>-9.599229979347923</v>
      </c>
    </row>
    <row r="22" spans="10:18" x14ac:dyDescent="0.25">
      <c r="J22" t="s">
        <v>88</v>
      </c>
    </row>
    <row r="23" spans="10:18" x14ac:dyDescent="0.25">
      <c r="J23" t="s">
        <v>31</v>
      </c>
    </row>
    <row r="24" spans="10:18" ht="17.25" thickBot="1" x14ac:dyDescent="0.3"/>
    <row r="25" spans="10:18" x14ac:dyDescent="0.25">
      <c r="J25" s="10" t="s">
        <v>32</v>
      </c>
      <c r="K25" s="10"/>
    </row>
    <row r="26" spans="10:18" x14ac:dyDescent="0.25">
      <c r="J26" s="7" t="s">
        <v>33</v>
      </c>
      <c r="K26" s="7">
        <v>0.57597816725370399</v>
      </c>
    </row>
    <row r="27" spans="10:18" x14ac:dyDescent="0.25">
      <c r="J27" s="7" t="s">
        <v>34</v>
      </c>
      <c r="K27" s="7">
        <v>0.33175084915293584</v>
      </c>
    </row>
    <row r="28" spans="10:18" x14ac:dyDescent="0.25">
      <c r="J28" s="7" t="s">
        <v>35</v>
      </c>
      <c r="K28" s="7">
        <v>0.27606341991568045</v>
      </c>
    </row>
    <row r="29" spans="10:18" x14ac:dyDescent="0.25">
      <c r="J29" s="7" t="s">
        <v>36</v>
      </c>
      <c r="K29" s="7">
        <v>9.3316251871257432</v>
      </c>
    </row>
    <row r="30" spans="10:18" ht="17.25" thickBot="1" x14ac:dyDescent="0.3">
      <c r="J30" s="8" t="s">
        <v>37</v>
      </c>
      <c r="K30" s="8">
        <v>14</v>
      </c>
    </row>
    <row r="32" spans="10:18" ht="17.25" thickBot="1" x14ac:dyDescent="0.3">
      <c r="J32" t="s">
        <v>38</v>
      </c>
    </row>
    <row r="33" spans="10:18" x14ac:dyDescent="0.25">
      <c r="J33" s="9"/>
      <c r="K33" s="9" t="s">
        <v>43</v>
      </c>
      <c r="L33" s="9" t="s">
        <v>44</v>
      </c>
      <c r="M33" s="9" t="s">
        <v>45</v>
      </c>
      <c r="N33" s="9" t="s">
        <v>46</v>
      </c>
      <c r="O33" s="9" t="s">
        <v>47</v>
      </c>
    </row>
    <row r="34" spans="10:18" x14ac:dyDescent="0.25">
      <c r="J34" s="7" t="s">
        <v>39</v>
      </c>
      <c r="K34" s="7">
        <v>1</v>
      </c>
      <c r="L34" s="7">
        <v>518.76354211829084</v>
      </c>
      <c r="M34" s="7">
        <v>518.76354211829084</v>
      </c>
      <c r="N34" s="7">
        <v>5.9573741093257695</v>
      </c>
      <c r="O34" s="7">
        <v>3.111381218557158E-2</v>
      </c>
    </row>
    <row r="35" spans="10:18" x14ac:dyDescent="0.25">
      <c r="J35" s="7" t="s">
        <v>40</v>
      </c>
      <c r="K35" s="7">
        <v>12</v>
      </c>
      <c r="L35" s="7">
        <v>1044.9507435959949</v>
      </c>
      <c r="M35" s="7">
        <v>87.079228632999573</v>
      </c>
      <c r="N35" s="7"/>
      <c r="O35" s="7"/>
    </row>
    <row r="36" spans="10:18" ht="17.25" thickBot="1" x14ac:dyDescent="0.3">
      <c r="J36" s="8" t="s">
        <v>41</v>
      </c>
      <c r="K36" s="8">
        <v>13</v>
      </c>
      <c r="L36" s="8">
        <v>1563.7142857142858</v>
      </c>
      <c r="M36" s="8"/>
      <c r="N36" s="8"/>
      <c r="O36" s="8"/>
    </row>
    <row r="37" spans="10:18" ht="17.25" thickBot="1" x14ac:dyDescent="0.3"/>
    <row r="38" spans="10:18" x14ac:dyDescent="0.25">
      <c r="J38" s="9"/>
      <c r="K38" s="9" t="s">
        <v>48</v>
      </c>
      <c r="L38" s="9" t="s">
        <v>36</v>
      </c>
      <c r="M38" s="9" t="s">
        <v>49</v>
      </c>
      <c r="N38" s="9" t="s">
        <v>50</v>
      </c>
      <c r="O38" s="9" t="s">
        <v>51</v>
      </c>
      <c r="P38" s="9" t="s">
        <v>52</v>
      </c>
      <c r="Q38" s="9" t="s">
        <v>53</v>
      </c>
      <c r="R38" s="9" t="s">
        <v>54</v>
      </c>
    </row>
    <row r="39" spans="10:18" x14ac:dyDescent="0.25">
      <c r="J39" s="7" t="s">
        <v>42</v>
      </c>
      <c r="K39" s="7">
        <v>-6.8828405451075696</v>
      </c>
      <c r="L39" s="7">
        <v>36.559547716903289</v>
      </c>
      <c r="M39" s="7">
        <v>-0.18826383188338219</v>
      </c>
      <c r="N39" s="7">
        <v>0.85381600425147797</v>
      </c>
      <c r="O39" s="7">
        <v>-86.539252157527685</v>
      </c>
      <c r="P39" s="7">
        <v>72.773571067312545</v>
      </c>
      <c r="Q39" s="7">
        <v>-86.539252157527685</v>
      </c>
      <c r="R39" s="7">
        <v>72.773571067312545</v>
      </c>
    </row>
    <row r="40" spans="10:18" ht="17.25" thickBot="1" x14ac:dyDescent="0.3">
      <c r="J40" s="8" t="s">
        <v>69</v>
      </c>
      <c r="K40" s="8">
        <v>0.12354874778266316</v>
      </c>
      <c r="L40" s="8">
        <v>5.0618691125679273E-2</v>
      </c>
      <c r="M40" s="8">
        <v>2.4407732605315404</v>
      </c>
      <c r="N40" s="8">
        <v>3.1113812185571615E-2</v>
      </c>
      <c r="O40" s="8">
        <v>1.326009413707048E-2</v>
      </c>
      <c r="P40" s="8">
        <v>0.23383740142825582</v>
      </c>
      <c r="Q40" s="8">
        <v>1.326009413707048E-2</v>
      </c>
      <c r="R40" s="8">
        <v>0.23383740142825582</v>
      </c>
    </row>
    <row r="45" spans="10:18" x14ac:dyDescent="0.25">
      <c r="J45" t="s">
        <v>89</v>
      </c>
    </row>
    <row r="46" spans="10:18" x14ac:dyDescent="0.25">
      <c r="J46" t="s">
        <v>31</v>
      </c>
    </row>
    <row r="47" spans="10:18" ht="17.25" thickBot="1" x14ac:dyDescent="0.3"/>
    <row r="48" spans="10:18" x14ac:dyDescent="0.25">
      <c r="J48" s="10" t="s">
        <v>32</v>
      </c>
      <c r="K48" s="10"/>
    </row>
    <row r="49" spans="10:18" x14ac:dyDescent="0.25">
      <c r="J49" s="7" t="s">
        <v>33</v>
      </c>
      <c r="K49" s="7">
        <v>9.3181414083501238E-2</v>
      </c>
    </row>
    <row r="50" spans="10:18" x14ac:dyDescent="0.25">
      <c r="J50" s="7" t="s">
        <v>34</v>
      </c>
      <c r="K50" s="7">
        <v>8.6827759306009229E-3</v>
      </c>
      <c r="L50">
        <f>K50*100</f>
        <v>0.86827759306009233</v>
      </c>
    </row>
    <row r="51" spans="10:18" x14ac:dyDescent="0.25">
      <c r="J51" s="7" t="s">
        <v>35</v>
      </c>
      <c r="K51" s="7">
        <v>-7.3926992741848996E-2</v>
      </c>
    </row>
    <row r="52" spans="10:18" x14ac:dyDescent="0.25">
      <c r="J52" s="7" t="s">
        <v>36</v>
      </c>
      <c r="K52" s="7">
        <v>11.365653320978184</v>
      </c>
    </row>
    <row r="53" spans="10:18" ht="17.25" thickBot="1" x14ac:dyDescent="0.3">
      <c r="J53" s="8" t="s">
        <v>37</v>
      </c>
      <c r="K53" s="8">
        <v>14</v>
      </c>
    </row>
    <row r="55" spans="10:18" ht="17.25" thickBot="1" x14ac:dyDescent="0.3">
      <c r="J55" t="s">
        <v>38</v>
      </c>
    </row>
    <row r="56" spans="10:18" x14ac:dyDescent="0.25">
      <c r="J56" s="9"/>
      <c r="K56" s="9" t="s">
        <v>43</v>
      </c>
      <c r="L56" s="9" t="s">
        <v>44</v>
      </c>
      <c r="M56" s="9" t="s">
        <v>45</v>
      </c>
      <c r="N56" s="9" t="s">
        <v>46</v>
      </c>
      <c r="O56" s="9" t="s">
        <v>47</v>
      </c>
    </row>
    <row r="57" spans="10:18" x14ac:dyDescent="0.25">
      <c r="J57" s="7" t="s">
        <v>39</v>
      </c>
      <c r="K57" s="7">
        <v>1</v>
      </c>
      <c r="L57" s="7">
        <v>13.577380762336816</v>
      </c>
      <c r="M57" s="7">
        <v>13.577380762336816</v>
      </c>
      <c r="N57" s="7">
        <v>0.10510592233986728</v>
      </c>
      <c r="O57" s="7">
        <v>0.75136751279912739</v>
      </c>
    </row>
    <row r="58" spans="10:18" x14ac:dyDescent="0.25">
      <c r="J58" s="7" t="s">
        <v>40</v>
      </c>
      <c r="K58" s="7">
        <v>12</v>
      </c>
      <c r="L58" s="7">
        <v>1550.136904951949</v>
      </c>
      <c r="M58" s="7">
        <v>129.17807541266242</v>
      </c>
      <c r="N58" s="7"/>
      <c r="O58" s="7"/>
    </row>
    <row r="59" spans="10:18" ht="17.25" thickBot="1" x14ac:dyDescent="0.3">
      <c r="J59" s="8" t="s">
        <v>41</v>
      </c>
      <c r="K59" s="8">
        <v>13</v>
      </c>
      <c r="L59" s="8">
        <v>1563.7142857142858</v>
      </c>
      <c r="M59" s="8"/>
      <c r="N59" s="8"/>
      <c r="O59" s="8"/>
    </row>
    <row r="60" spans="10:18" ht="17.25" thickBot="1" x14ac:dyDescent="0.3"/>
    <row r="61" spans="10:18" x14ac:dyDescent="0.25">
      <c r="J61" s="9"/>
      <c r="K61" s="9" t="s">
        <v>48</v>
      </c>
      <c r="L61" s="9" t="s">
        <v>36</v>
      </c>
      <c r="M61" s="9" t="s">
        <v>49</v>
      </c>
      <c r="N61" s="9" t="s">
        <v>50</v>
      </c>
      <c r="O61" s="9" t="s">
        <v>51</v>
      </c>
      <c r="P61" s="9" t="s">
        <v>52</v>
      </c>
      <c r="Q61" s="9" t="s">
        <v>53</v>
      </c>
      <c r="R61" s="9" t="s">
        <v>54</v>
      </c>
    </row>
    <row r="62" spans="10:18" x14ac:dyDescent="0.25">
      <c r="J62" s="7" t="s">
        <v>42</v>
      </c>
      <c r="K62" s="7">
        <v>62.24976852590914</v>
      </c>
      <c r="L62" s="7">
        <v>61.435603250869598</v>
      </c>
      <c r="M62" s="7">
        <v>1.0132523362994408</v>
      </c>
      <c r="N62" s="7">
        <v>0.33093462523737449</v>
      </c>
      <c r="O62" s="7">
        <v>-71.606912035431236</v>
      </c>
      <c r="P62" s="7">
        <v>196.1064490872495</v>
      </c>
      <c r="Q62" s="7">
        <v>-71.606912035431236</v>
      </c>
      <c r="R62" s="7">
        <v>196.1064490872495</v>
      </c>
    </row>
    <row r="63" spans="10:18" ht="17.25" thickBot="1" x14ac:dyDescent="0.3">
      <c r="J63" s="8" t="s">
        <v>71</v>
      </c>
      <c r="K63" s="8">
        <v>77.903004374062078</v>
      </c>
      <c r="L63" s="8">
        <v>240.29271974355188</v>
      </c>
      <c r="M63" s="8">
        <v>0.32420043544058541</v>
      </c>
      <c r="N63" s="8">
        <v>0.75136751279912972</v>
      </c>
      <c r="O63" s="8">
        <v>-445.64985627882049</v>
      </c>
      <c r="P63" s="8">
        <v>601.45586502694471</v>
      </c>
      <c r="Q63" s="8">
        <v>-445.64985627882049</v>
      </c>
      <c r="R63" s="8">
        <v>601.45586502694471</v>
      </c>
    </row>
    <row r="66" spans="10:15" x14ac:dyDescent="0.25">
      <c r="J66" t="s">
        <v>90</v>
      </c>
    </row>
    <row r="67" spans="10:15" x14ac:dyDescent="0.25">
      <c r="J67" t="s">
        <v>31</v>
      </c>
    </row>
    <row r="68" spans="10:15" ht="17.25" thickBot="1" x14ac:dyDescent="0.3"/>
    <row r="69" spans="10:15" x14ac:dyDescent="0.25">
      <c r="J69" s="10" t="s">
        <v>32</v>
      </c>
      <c r="K69" s="10"/>
    </row>
    <row r="70" spans="10:15" x14ac:dyDescent="0.25">
      <c r="J70" s="7" t="s">
        <v>33</v>
      </c>
      <c r="K70" s="7">
        <v>0.31179658073778144</v>
      </c>
    </row>
    <row r="71" spans="10:15" x14ac:dyDescent="0.25">
      <c r="J71" s="7" t="s">
        <v>34</v>
      </c>
      <c r="K71" s="7">
        <v>9.7217107759771854E-2</v>
      </c>
      <c r="L71">
        <f>K71*100</f>
        <v>9.7217107759771846</v>
      </c>
    </row>
    <row r="72" spans="10:15" x14ac:dyDescent="0.25">
      <c r="J72" s="7" t="s">
        <v>35</v>
      </c>
      <c r="K72" s="7">
        <v>2.1985200073086169E-2</v>
      </c>
    </row>
    <row r="73" spans="10:15" x14ac:dyDescent="0.25">
      <c r="J73" s="7" t="s">
        <v>36</v>
      </c>
      <c r="K73" s="7">
        <v>10.846253214415048</v>
      </c>
    </row>
    <row r="74" spans="10:15" ht="17.25" thickBot="1" x14ac:dyDescent="0.3">
      <c r="J74" s="8" t="s">
        <v>37</v>
      </c>
      <c r="K74" s="8">
        <v>14</v>
      </c>
    </row>
    <row r="76" spans="10:15" ht="17.25" thickBot="1" x14ac:dyDescent="0.3">
      <c r="J76" t="s">
        <v>38</v>
      </c>
    </row>
    <row r="77" spans="10:15" x14ac:dyDescent="0.25">
      <c r="J77" s="9"/>
      <c r="K77" s="9" t="s">
        <v>43</v>
      </c>
      <c r="L77" s="9" t="s">
        <v>44</v>
      </c>
      <c r="M77" s="9" t="s">
        <v>45</v>
      </c>
      <c r="N77" s="9" t="s">
        <v>46</v>
      </c>
      <c r="O77" s="9" t="s">
        <v>47</v>
      </c>
    </row>
    <row r="78" spans="10:15" x14ac:dyDescent="0.25">
      <c r="J78" s="7" t="s">
        <v>39</v>
      </c>
      <c r="K78" s="7">
        <v>1</v>
      </c>
      <c r="L78" s="7">
        <v>152.01978021978039</v>
      </c>
      <c r="M78" s="7">
        <v>152.01978021978039</v>
      </c>
      <c r="N78" s="7">
        <v>1.2922323884786593</v>
      </c>
      <c r="O78" s="7">
        <v>0.27782824177837279</v>
      </c>
    </row>
    <row r="79" spans="10:15" x14ac:dyDescent="0.25">
      <c r="J79" s="7" t="s">
        <v>40</v>
      </c>
      <c r="K79" s="7">
        <v>12</v>
      </c>
      <c r="L79" s="7">
        <v>1411.6945054945054</v>
      </c>
      <c r="M79" s="7">
        <v>117.64120879120878</v>
      </c>
      <c r="N79" s="7"/>
      <c r="O79" s="7"/>
    </row>
    <row r="80" spans="10:15" ht="17.25" thickBot="1" x14ac:dyDescent="0.3">
      <c r="J80" s="8" t="s">
        <v>41</v>
      </c>
      <c r="K80" s="8">
        <v>13</v>
      </c>
      <c r="L80" s="8">
        <v>1563.7142857142858</v>
      </c>
      <c r="M80" s="8"/>
      <c r="N80" s="8"/>
      <c r="O80" s="8"/>
    </row>
    <row r="81" spans="10:18" ht="17.25" thickBot="1" x14ac:dyDescent="0.3"/>
    <row r="82" spans="10:18" x14ac:dyDescent="0.25">
      <c r="J82" s="9"/>
      <c r="K82" s="9" t="s">
        <v>48</v>
      </c>
      <c r="L82" s="9" t="s">
        <v>36</v>
      </c>
      <c r="M82" s="9" t="s">
        <v>49</v>
      </c>
      <c r="N82" s="9" t="s">
        <v>50</v>
      </c>
      <c r="O82" s="9" t="s">
        <v>51</v>
      </c>
      <c r="P82" s="9" t="s">
        <v>52</v>
      </c>
      <c r="Q82" s="9" t="s">
        <v>53</v>
      </c>
      <c r="R82" s="9" t="s">
        <v>54</v>
      </c>
    </row>
    <row r="83" spans="10:18" x14ac:dyDescent="0.25">
      <c r="J83" s="7" t="s">
        <v>42</v>
      </c>
      <c r="K83" s="7">
        <v>-10.3406593406593</v>
      </c>
      <c r="L83" s="7">
        <v>81.408457107727912</v>
      </c>
      <c r="M83" s="7">
        <v>-0.12702193000630749</v>
      </c>
      <c r="N83" s="7">
        <v>0.90102667638372114</v>
      </c>
      <c r="O83" s="7">
        <v>-187.71445013039116</v>
      </c>
      <c r="P83" s="7">
        <v>167.03313144907256</v>
      </c>
      <c r="Q83" s="7">
        <v>-187.71445013039116</v>
      </c>
      <c r="R83" s="7">
        <v>167.03313144907256</v>
      </c>
    </row>
    <row r="84" spans="10:18" ht="17.25" thickBot="1" x14ac:dyDescent="0.3">
      <c r="J84" s="8" t="s">
        <v>73</v>
      </c>
      <c r="K84" s="8">
        <v>289.01098901098885</v>
      </c>
      <c r="L84" s="8">
        <v>254.24009677538345</v>
      </c>
      <c r="M84" s="8">
        <v>1.1367639985848685</v>
      </c>
      <c r="N84" s="8">
        <v>0.27782824177837279</v>
      </c>
      <c r="O84" s="8">
        <v>-264.93059565905435</v>
      </c>
      <c r="P84" s="8">
        <v>842.95257368103205</v>
      </c>
      <c r="Q84" s="8">
        <v>-264.93059565905435</v>
      </c>
      <c r="R84" s="8">
        <v>842.95257368103205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4-13 14</vt:lpstr>
      <vt:lpstr>4-21</vt:lpstr>
      <vt:lpstr>4-22</vt:lpstr>
      <vt:lpstr>4-24</vt:lpstr>
      <vt:lpstr>4-31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Daisy</dc:creator>
  <cp:lastModifiedBy>Daisy</cp:lastModifiedBy>
  <dcterms:created xsi:type="dcterms:W3CDTF">2021-04-03T05:41:43Z</dcterms:created>
  <dcterms:modified xsi:type="dcterms:W3CDTF">2021-04-07T14:54:06Z</dcterms:modified>
</cp:coreProperties>
</file>