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81D2414-48A3-4D5F-B1DD-E787366561F7}" xr6:coauthVersionLast="47" xr6:coauthVersionMax="47" xr10:uidLastSave="{00000000-0000-0000-0000-000000000000}"/>
  <bookViews>
    <workbookView xWindow="-120" yWindow="-120" windowWidth="29040" windowHeight="15840" activeTab="1" xr2:uid="{A85C59F4-D13C-4D70-9E2C-64BDB679AF13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" l="1"/>
  <c r="B73" i="2"/>
  <c r="I72" i="2"/>
  <c r="F72" i="2"/>
  <c r="C72" i="2"/>
  <c r="I71" i="2"/>
  <c r="F71" i="2"/>
  <c r="C71" i="2"/>
  <c r="H70" i="2"/>
  <c r="I70" i="2" s="1"/>
  <c r="F70" i="2"/>
  <c r="C70" i="2"/>
  <c r="I69" i="2"/>
  <c r="F69" i="2"/>
  <c r="C69" i="2"/>
  <c r="I68" i="2"/>
  <c r="F68" i="2"/>
  <c r="F73" i="2" s="1"/>
  <c r="C68" i="2"/>
  <c r="C73" i="2" s="1"/>
  <c r="H62" i="2"/>
  <c r="B62" i="2"/>
  <c r="I61" i="2"/>
  <c r="F61" i="2"/>
  <c r="C61" i="2"/>
  <c r="I60" i="2"/>
  <c r="F60" i="2"/>
  <c r="C60" i="2"/>
  <c r="H59" i="2"/>
  <c r="I59" i="2" s="1"/>
  <c r="I62" i="2" s="1"/>
  <c r="E59" i="2"/>
  <c r="F59" i="2" s="1"/>
  <c r="C59" i="2"/>
  <c r="I58" i="2"/>
  <c r="F58" i="2"/>
  <c r="C58" i="2"/>
  <c r="I57" i="2"/>
  <c r="F57" i="2"/>
  <c r="F62" i="2" s="1"/>
  <c r="C57" i="2"/>
  <c r="C62" i="2" s="1"/>
  <c r="E51" i="2"/>
  <c r="C51" i="2"/>
  <c r="F50" i="2"/>
  <c r="C50" i="2"/>
  <c r="F49" i="2"/>
  <c r="C49" i="2"/>
  <c r="F48" i="2"/>
  <c r="C48" i="2"/>
  <c r="B48" i="2"/>
  <c r="B51" i="2" s="1"/>
  <c r="F47" i="2"/>
  <c r="C47" i="2"/>
  <c r="F46" i="2"/>
  <c r="F51" i="2" s="1"/>
  <c r="C46" i="2"/>
  <c r="M40" i="2"/>
  <c r="G40" i="2"/>
  <c r="M39" i="2"/>
  <c r="G39" i="2"/>
  <c r="M38" i="2"/>
  <c r="L38" i="2"/>
  <c r="L41" i="2" s="1"/>
  <c r="F38" i="2"/>
  <c r="F41" i="2" s="1"/>
  <c r="M37" i="2"/>
  <c r="G37" i="2"/>
  <c r="M36" i="2"/>
  <c r="M41" i="2" s="1"/>
  <c r="G36" i="2"/>
  <c r="Q30" i="2"/>
  <c r="P30" i="2"/>
  <c r="N30" i="2"/>
  <c r="H30" i="2"/>
  <c r="D30" i="2"/>
  <c r="B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T27" i="2"/>
  <c r="T30" i="2" s="1"/>
  <c r="R27" i="2"/>
  <c r="R30" i="2" s="1"/>
  <c r="Q27" i="2"/>
  <c r="P27" i="2"/>
  <c r="N27" i="2"/>
  <c r="O27" i="2" s="1"/>
  <c r="L27" i="2"/>
  <c r="L30" i="2" s="1"/>
  <c r="K27" i="2"/>
  <c r="J27" i="2"/>
  <c r="J30" i="2" s="1"/>
  <c r="I27" i="2"/>
  <c r="F27" i="2"/>
  <c r="F30" i="2" s="1"/>
  <c r="E27" i="2"/>
  <c r="D27" i="2"/>
  <c r="C27" i="2"/>
  <c r="B27" i="2"/>
  <c r="U26" i="2"/>
  <c r="S26" i="2"/>
  <c r="Q26" i="2"/>
  <c r="O26" i="2"/>
  <c r="O30" i="2" s="1"/>
  <c r="M26" i="2"/>
  <c r="K26" i="2"/>
  <c r="I26" i="2"/>
  <c r="G26" i="2"/>
  <c r="E26" i="2"/>
  <c r="E30" i="2" s="1"/>
  <c r="C26" i="2"/>
  <c r="U25" i="2"/>
  <c r="U30" i="2" s="1"/>
  <c r="S25" i="2"/>
  <c r="Q25" i="2"/>
  <c r="O25" i="2"/>
  <c r="M25" i="2"/>
  <c r="K25" i="2"/>
  <c r="K30" i="2" s="1"/>
  <c r="I25" i="2"/>
  <c r="I30" i="2" s="1"/>
  <c r="G25" i="2"/>
  <c r="E25" i="2"/>
  <c r="C25" i="2"/>
  <c r="C30" i="2" s="1"/>
  <c r="R20" i="2"/>
  <c r="N20" i="2"/>
  <c r="J20" i="2"/>
  <c r="I20" i="2"/>
  <c r="H20" i="2"/>
  <c r="B20" i="2"/>
  <c r="T19" i="2"/>
  <c r="T20" i="2" s="1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P17" i="2"/>
  <c r="P20" i="2" s="1"/>
  <c r="O17" i="2"/>
  <c r="N17" i="2"/>
  <c r="L17" i="2"/>
  <c r="L20" i="2" s="1"/>
  <c r="K17" i="2"/>
  <c r="I17" i="2"/>
  <c r="F17" i="2"/>
  <c r="F20" i="2" s="1"/>
  <c r="D17" i="2"/>
  <c r="D20" i="2" s="1"/>
  <c r="C17" i="2"/>
  <c r="B17" i="2"/>
  <c r="U16" i="2"/>
  <c r="S16" i="2"/>
  <c r="Q16" i="2"/>
  <c r="O16" i="2"/>
  <c r="M16" i="2"/>
  <c r="K16" i="2"/>
  <c r="I16" i="2"/>
  <c r="G16" i="2"/>
  <c r="E16" i="2"/>
  <c r="C16" i="2"/>
  <c r="U15" i="2"/>
  <c r="S15" i="2"/>
  <c r="S20" i="2" s="1"/>
  <c r="Q15" i="2"/>
  <c r="Q20" i="2" s="1"/>
  <c r="O15" i="2"/>
  <c r="O20" i="2" s="1"/>
  <c r="M15" i="2"/>
  <c r="K15" i="2"/>
  <c r="K20" i="2" s="1"/>
  <c r="I15" i="2"/>
  <c r="G15" i="2"/>
  <c r="E15" i="2"/>
  <c r="C15" i="2"/>
  <c r="C20" i="2" s="1"/>
  <c r="T10" i="2"/>
  <c r="P10" i="2"/>
  <c r="O10" i="2"/>
  <c r="N10" i="2"/>
  <c r="L10" i="2"/>
  <c r="B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R7" i="2"/>
  <c r="R10" i="2" s="1"/>
  <c r="Q7" i="2"/>
  <c r="O7" i="2"/>
  <c r="M7" i="2"/>
  <c r="J7" i="2"/>
  <c r="K7" i="2" s="1"/>
  <c r="H7" i="2"/>
  <c r="I7" i="2" s="1"/>
  <c r="G7" i="2"/>
  <c r="F7" i="2"/>
  <c r="F10" i="2" s="1"/>
  <c r="E7" i="2"/>
  <c r="E10" i="2" s="1"/>
  <c r="D7" i="2"/>
  <c r="D10" i="2" s="1"/>
  <c r="C7" i="2"/>
  <c r="U6" i="2"/>
  <c r="S6" i="2"/>
  <c r="Q6" i="2"/>
  <c r="O6" i="2"/>
  <c r="M6" i="2"/>
  <c r="K6" i="2"/>
  <c r="I6" i="2"/>
  <c r="G6" i="2"/>
  <c r="G10" i="2" s="1"/>
  <c r="E6" i="2"/>
  <c r="C6" i="2"/>
  <c r="U5" i="2"/>
  <c r="U10" i="2" s="1"/>
  <c r="S5" i="2"/>
  <c r="Q5" i="2"/>
  <c r="Q10" i="2" s="1"/>
  <c r="O5" i="2"/>
  <c r="M5" i="2"/>
  <c r="M10" i="2" s="1"/>
  <c r="K5" i="2"/>
  <c r="K10" i="2" s="1"/>
  <c r="I5" i="2"/>
  <c r="G5" i="2"/>
  <c r="E5" i="2"/>
  <c r="C5" i="2"/>
  <c r="C10" i="2" s="1"/>
  <c r="B5" i="2"/>
  <c r="AA67" i="1"/>
  <c r="T67" i="1"/>
  <c r="O67" i="1"/>
  <c r="L67" i="1"/>
  <c r="B67" i="1"/>
  <c r="AD66" i="1"/>
  <c r="AE66" i="1" s="1"/>
  <c r="AB66" i="1"/>
  <c r="AA66" i="1"/>
  <c r="Y66" i="1"/>
  <c r="X66" i="1"/>
  <c r="V66" i="1"/>
  <c r="U66" i="1"/>
  <c r="S66" i="1"/>
  <c r="R66" i="1"/>
  <c r="O66" i="1"/>
  <c r="P66" i="1" s="1"/>
  <c r="L66" i="1"/>
  <c r="M66" i="1" s="1"/>
  <c r="J66" i="1"/>
  <c r="I66" i="1"/>
  <c r="G66" i="1"/>
  <c r="F66" i="1"/>
  <c r="D66" i="1"/>
  <c r="C66" i="1"/>
  <c r="AE65" i="1"/>
  <c r="AD65" i="1"/>
  <c r="AA65" i="1"/>
  <c r="AB65" i="1" s="1"/>
  <c r="X65" i="1"/>
  <c r="Y65" i="1" s="1"/>
  <c r="V65" i="1"/>
  <c r="U65" i="1"/>
  <c r="S65" i="1"/>
  <c r="R65" i="1"/>
  <c r="P65" i="1"/>
  <c r="O65" i="1"/>
  <c r="M65" i="1"/>
  <c r="L65" i="1"/>
  <c r="I65" i="1"/>
  <c r="J65" i="1" s="1"/>
  <c r="F65" i="1"/>
  <c r="G65" i="1" s="1"/>
  <c r="D65" i="1"/>
  <c r="C65" i="1"/>
  <c r="AC64" i="1"/>
  <c r="AC67" i="1" s="1"/>
  <c r="AA64" i="1"/>
  <c r="AB64" i="1" s="1"/>
  <c r="Z64" i="1"/>
  <c r="Z67" i="1" s="1"/>
  <c r="X64" i="1"/>
  <c r="Y64" i="1" s="1"/>
  <c r="W64" i="1"/>
  <c r="W67" i="1" s="1"/>
  <c r="U64" i="1"/>
  <c r="V64" i="1" s="1"/>
  <c r="T64" i="1"/>
  <c r="Q64" i="1"/>
  <c r="Q67" i="1" s="1"/>
  <c r="O64" i="1"/>
  <c r="P64" i="1" s="1"/>
  <c r="N64" i="1"/>
  <c r="N67" i="1" s="1"/>
  <c r="L64" i="1"/>
  <c r="M64" i="1" s="1"/>
  <c r="K64" i="1"/>
  <c r="K67" i="1" s="1"/>
  <c r="I64" i="1"/>
  <c r="I67" i="1" s="1"/>
  <c r="H64" i="1"/>
  <c r="H67" i="1" s="1"/>
  <c r="E64" i="1"/>
  <c r="E67" i="1" s="1"/>
  <c r="C64" i="1"/>
  <c r="D64" i="1" s="1"/>
  <c r="B64" i="1"/>
  <c r="AD63" i="1"/>
  <c r="AE63" i="1" s="1"/>
  <c r="AA63" i="1"/>
  <c r="AB63" i="1" s="1"/>
  <c r="Y63" i="1"/>
  <c r="X63" i="1"/>
  <c r="V63" i="1"/>
  <c r="U63" i="1"/>
  <c r="S63" i="1"/>
  <c r="R63" i="1"/>
  <c r="P63" i="1"/>
  <c r="O63" i="1"/>
  <c r="L63" i="1"/>
  <c r="M63" i="1" s="1"/>
  <c r="I63" i="1"/>
  <c r="J63" i="1" s="1"/>
  <c r="G63" i="1"/>
  <c r="F63" i="1"/>
  <c r="D63" i="1"/>
  <c r="C63" i="1"/>
  <c r="AE62" i="1"/>
  <c r="AD62" i="1"/>
  <c r="AB62" i="1"/>
  <c r="AA62" i="1"/>
  <c r="X62" i="1"/>
  <c r="X67" i="1" s="1"/>
  <c r="U62" i="1"/>
  <c r="U67" i="1" s="1"/>
  <c r="S62" i="1"/>
  <c r="R62" i="1"/>
  <c r="P62" i="1"/>
  <c r="O62" i="1"/>
  <c r="M62" i="1"/>
  <c r="L62" i="1"/>
  <c r="J62" i="1"/>
  <c r="I62" i="1"/>
  <c r="F62" i="1"/>
  <c r="C62" i="1"/>
  <c r="C67" i="1" s="1"/>
  <c r="N56" i="1"/>
  <c r="K56" i="1"/>
  <c r="AE55" i="1"/>
  <c r="AD55" i="1"/>
  <c r="AA55" i="1"/>
  <c r="AB55" i="1" s="1"/>
  <c r="X55" i="1"/>
  <c r="Y55" i="1" s="1"/>
  <c r="V55" i="1"/>
  <c r="U55" i="1"/>
  <c r="S55" i="1"/>
  <c r="R55" i="1"/>
  <c r="P55" i="1"/>
  <c r="O55" i="1"/>
  <c r="M55" i="1"/>
  <c r="L55" i="1"/>
  <c r="I55" i="1"/>
  <c r="J55" i="1" s="1"/>
  <c r="F55" i="1"/>
  <c r="G55" i="1" s="1"/>
  <c r="D55" i="1"/>
  <c r="C55" i="1"/>
  <c r="AE54" i="1"/>
  <c r="AD54" i="1"/>
  <c r="AB54" i="1"/>
  <c r="AA54" i="1"/>
  <c r="Y54" i="1"/>
  <c r="X54" i="1"/>
  <c r="U54" i="1"/>
  <c r="V54" i="1" s="1"/>
  <c r="R54" i="1"/>
  <c r="S54" i="1" s="1"/>
  <c r="P54" i="1"/>
  <c r="O54" i="1"/>
  <c r="M54" i="1"/>
  <c r="L54" i="1"/>
  <c r="J54" i="1"/>
  <c r="I54" i="1"/>
  <c r="G54" i="1"/>
  <c r="F54" i="1"/>
  <c r="C54" i="1"/>
  <c r="D54" i="1" s="1"/>
  <c r="AC53" i="1"/>
  <c r="AC56" i="1" s="1"/>
  <c r="AA53" i="1"/>
  <c r="AB53" i="1" s="1"/>
  <c r="Z53" i="1"/>
  <c r="Z56" i="1" s="1"/>
  <c r="W53" i="1"/>
  <c r="X53" i="1" s="1"/>
  <c r="Y53" i="1" s="1"/>
  <c r="T53" i="1"/>
  <c r="T56" i="1" s="1"/>
  <c r="Q53" i="1"/>
  <c r="Q56" i="1" s="1"/>
  <c r="O53" i="1"/>
  <c r="P53" i="1" s="1"/>
  <c r="N53" i="1"/>
  <c r="M53" i="1"/>
  <c r="L53" i="1"/>
  <c r="H53" i="1"/>
  <c r="I53" i="1" s="1"/>
  <c r="J53" i="1" s="1"/>
  <c r="E53" i="1"/>
  <c r="F53" i="1" s="1"/>
  <c r="G53" i="1" s="1"/>
  <c r="B53" i="1"/>
  <c r="B56" i="1" s="1"/>
  <c r="AD52" i="1"/>
  <c r="AE52" i="1" s="1"/>
  <c r="AA52" i="1"/>
  <c r="AB52" i="1" s="1"/>
  <c r="X52" i="1"/>
  <c r="Y52" i="1" s="1"/>
  <c r="V52" i="1"/>
  <c r="U52" i="1"/>
  <c r="R52" i="1"/>
  <c r="O52" i="1"/>
  <c r="P52" i="1" s="1"/>
  <c r="L52" i="1"/>
  <c r="M52" i="1" s="1"/>
  <c r="I52" i="1"/>
  <c r="J52" i="1" s="1"/>
  <c r="F52" i="1"/>
  <c r="G52" i="1" s="1"/>
  <c r="D52" i="1"/>
  <c r="C52" i="1"/>
  <c r="AD51" i="1"/>
  <c r="AA51" i="1"/>
  <c r="AA56" i="1" s="1"/>
  <c r="X51" i="1"/>
  <c r="X56" i="1" s="1"/>
  <c r="U51" i="1"/>
  <c r="V51" i="1" s="1"/>
  <c r="R51" i="1"/>
  <c r="S51" i="1" s="1"/>
  <c r="P51" i="1"/>
  <c r="O51" i="1"/>
  <c r="O56" i="1" s="1"/>
  <c r="N57" i="1" s="1"/>
  <c r="L51" i="1"/>
  <c r="L56" i="1" s="1"/>
  <c r="I51" i="1"/>
  <c r="F51" i="1"/>
  <c r="F56" i="1" s="1"/>
  <c r="C51" i="1"/>
  <c r="D51" i="1" s="1"/>
  <c r="Z44" i="1"/>
  <c r="W44" i="1"/>
  <c r="Q44" i="1"/>
  <c r="N44" i="1"/>
  <c r="K44" i="1"/>
  <c r="E44" i="1"/>
  <c r="B44" i="1"/>
  <c r="AC43" i="1"/>
  <c r="AC44" i="1" s="1"/>
  <c r="AA43" i="1"/>
  <c r="AB43" i="1" s="1"/>
  <c r="Z43" i="1"/>
  <c r="Y43" i="1"/>
  <c r="X43" i="1"/>
  <c r="V43" i="1"/>
  <c r="U43" i="1"/>
  <c r="R43" i="1"/>
  <c r="S43" i="1" s="1"/>
  <c r="O43" i="1"/>
  <c r="P43" i="1" s="1"/>
  <c r="M43" i="1"/>
  <c r="L43" i="1"/>
  <c r="J43" i="1"/>
  <c r="I43" i="1"/>
  <c r="G43" i="1"/>
  <c r="F43" i="1"/>
  <c r="D43" i="1"/>
  <c r="C43" i="1"/>
  <c r="AD42" i="1"/>
  <c r="AE42" i="1" s="1"/>
  <c r="AA42" i="1"/>
  <c r="AB42" i="1" s="1"/>
  <c r="Y42" i="1"/>
  <c r="X42" i="1"/>
  <c r="V42" i="1"/>
  <c r="U42" i="1"/>
  <c r="S42" i="1"/>
  <c r="R42" i="1"/>
  <c r="P42" i="1"/>
  <c r="O42" i="1"/>
  <c r="L42" i="1"/>
  <c r="M42" i="1" s="1"/>
  <c r="I42" i="1"/>
  <c r="J42" i="1" s="1"/>
  <c r="G42" i="1"/>
  <c r="F42" i="1"/>
  <c r="D42" i="1"/>
  <c r="C42" i="1"/>
  <c r="AE41" i="1"/>
  <c r="AD41" i="1"/>
  <c r="AB41" i="1"/>
  <c r="AA41" i="1"/>
  <c r="X41" i="1"/>
  <c r="Y41" i="1" s="1"/>
  <c r="T41" i="1"/>
  <c r="U41" i="1" s="1"/>
  <c r="V41" i="1" s="1"/>
  <c r="R41" i="1"/>
  <c r="S41" i="1" s="1"/>
  <c r="Q41" i="1"/>
  <c r="N41" i="1"/>
  <c r="O41" i="1" s="1"/>
  <c r="P41" i="1" s="1"/>
  <c r="K41" i="1"/>
  <c r="L41" i="1" s="1"/>
  <c r="M41" i="1" s="1"/>
  <c r="H41" i="1"/>
  <c r="I41" i="1" s="1"/>
  <c r="F41" i="1"/>
  <c r="G41" i="1" s="1"/>
  <c r="E41" i="1"/>
  <c r="B41" i="1"/>
  <c r="C41" i="1" s="1"/>
  <c r="D41" i="1" s="1"/>
  <c r="AD40" i="1"/>
  <c r="AE40" i="1" s="1"/>
  <c r="AB40" i="1"/>
  <c r="AA40" i="1"/>
  <c r="X40" i="1"/>
  <c r="X44" i="1" s="1"/>
  <c r="U40" i="1"/>
  <c r="V40" i="1" s="1"/>
  <c r="R40" i="1"/>
  <c r="S40" i="1" s="1"/>
  <c r="O40" i="1"/>
  <c r="P40" i="1" s="1"/>
  <c r="L40" i="1"/>
  <c r="M40" i="1" s="1"/>
  <c r="J40" i="1"/>
  <c r="I40" i="1"/>
  <c r="F40" i="1"/>
  <c r="G40" i="1" s="1"/>
  <c r="C40" i="1"/>
  <c r="D40" i="1" s="1"/>
  <c r="AD39" i="1"/>
  <c r="AA39" i="1"/>
  <c r="AB39" i="1" s="1"/>
  <c r="AB44" i="1" s="1"/>
  <c r="X39" i="1"/>
  <c r="Y39" i="1" s="1"/>
  <c r="V39" i="1"/>
  <c r="U39" i="1"/>
  <c r="R39" i="1"/>
  <c r="R44" i="1" s="1"/>
  <c r="O39" i="1"/>
  <c r="O44" i="1" s="1"/>
  <c r="L39" i="1"/>
  <c r="L44" i="1" s="1"/>
  <c r="I39" i="1"/>
  <c r="J39" i="1" s="1"/>
  <c r="F39" i="1"/>
  <c r="F44" i="1" s="1"/>
  <c r="D39" i="1"/>
  <c r="C39" i="1"/>
  <c r="C44" i="1" s="1"/>
  <c r="B45" i="1" s="1"/>
  <c r="AC33" i="1"/>
  <c r="Z33" i="1"/>
  <c r="Q33" i="1"/>
  <c r="N33" i="1"/>
  <c r="L33" i="1"/>
  <c r="K33" i="1"/>
  <c r="B33" i="1"/>
  <c r="AD32" i="1"/>
  <c r="AE32" i="1" s="1"/>
  <c r="AC32" i="1"/>
  <c r="AB32" i="1"/>
  <c r="AA32" i="1"/>
  <c r="X32" i="1"/>
  <c r="Y32" i="1" s="1"/>
  <c r="U32" i="1"/>
  <c r="V32" i="1" s="1"/>
  <c r="S32" i="1"/>
  <c r="R32" i="1"/>
  <c r="P32" i="1"/>
  <c r="O32" i="1"/>
  <c r="M32" i="1"/>
  <c r="L32" i="1"/>
  <c r="J32" i="1"/>
  <c r="I32" i="1"/>
  <c r="F32" i="1"/>
  <c r="G32" i="1" s="1"/>
  <c r="C32" i="1"/>
  <c r="D32" i="1" s="1"/>
  <c r="AE31" i="1"/>
  <c r="AD31" i="1"/>
  <c r="AB31" i="1"/>
  <c r="AA31" i="1"/>
  <c r="Y31" i="1"/>
  <c r="X31" i="1"/>
  <c r="V31" i="1"/>
  <c r="U31" i="1"/>
  <c r="R31" i="1"/>
  <c r="S31" i="1" s="1"/>
  <c r="O31" i="1"/>
  <c r="P31" i="1" s="1"/>
  <c r="M31" i="1"/>
  <c r="L31" i="1"/>
  <c r="J31" i="1"/>
  <c r="I31" i="1"/>
  <c r="G31" i="1"/>
  <c r="F31" i="1"/>
  <c r="D31" i="1"/>
  <c r="C31" i="1"/>
  <c r="AD30" i="1"/>
  <c r="AE30" i="1" s="1"/>
  <c r="AA30" i="1"/>
  <c r="AB30" i="1" s="1"/>
  <c r="W30" i="1"/>
  <c r="W33" i="1" s="1"/>
  <c r="U30" i="1"/>
  <c r="V30" i="1" s="1"/>
  <c r="T30" i="1"/>
  <c r="T33" i="1" s="1"/>
  <c r="Q30" i="1"/>
  <c r="R30" i="1" s="1"/>
  <c r="S30" i="1" s="1"/>
  <c r="P30" i="1"/>
  <c r="O30" i="1"/>
  <c r="L30" i="1"/>
  <c r="M30" i="1" s="1"/>
  <c r="I30" i="1"/>
  <c r="J30" i="1" s="1"/>
  <c r="H30" i="1"/>
  <c r="H33" i="1" s="1"/>
  <c r="E30" i="1"/>
  <c r="F30" i="1" s="1"/>
  <c r="G30" i="1" s="1"/>
  <c r="B30" i="1"/>
  <c r="C30" i="1" s="1"/>
  <c r="D30" i="1" s="1"/>
  <c r="AD29" i="1"/>
  <c r="AE29" i="1" s="1"/>
  <c r="AB29" i="1"/>
  <c r="AA29" i="1"/>
  <c r="Y29" i="1"/>
  <c r="X29" i="1"/>
  <c r="V29" i="1"/>
  <c r="U29" i="1"/>
  <c r="S29" i="1"/>
  <c r="R29" i="1"/>
  <c r="O29" i="1"/>
  <c r="P29" i="1" s="1"/>
  <c r="L29" i="1"/>
  <c r="M29" i="1" s="1"/>
  <c r="J29" i="1"/>
  <c r="I29" i="1"/>
  <c r="G29" i="1"/>
  <c r="F29" i="1"/>
  <c r="D29" i="1"/>
  <c r="C29" i="1"/>
  <c r="AE28" i="1"/>
  <c r="AD28" i="1"/>
  <c r="AD33" i="1" s="1"/>
  <c r="AA28" i="1"/>
  <c r="AB28" i="1" s="1"/>
  <c r="AB33" i="1" s="1"/>
  <c r="X28" i="1"/>
  <c r="Y28" i="1" s="1"/>
  <c r="V28" i="1"/>
  <c r="U28" i="1"/>
  <c r="U33" i="1" s="1"/>
  <c r="T34" i="1" s="1"/>
  <c r="S28" i="1"/>
  <c r="S33" i="1" s="1"/>
  <c r="R28" i="1"/>
  <c r="R33" i="1" s="1"/>
  <c r="Q34" i="1" s="1"/>
  <c r="P28" i="1"/>
  <c r="P33" i="1" s="1"/>
  <c r="O28" i="1"/>
  <c r="O33" i="1" s="1"/>
  <c r="N34" i="1" s="1"/>
  <c r="M28" i="1"/>
  <c r="M33" i="1" s="1"/>
  <c r="L28" i="1"/>
  <c r="I28" i="1"/>
  <c r="I33" i="1" s="1"/>
  <c r="F28" i="1"/>
  <c r="D28" i="1"/>
  <c r="C28" i="1"/>
  <c r="AC22" i="1"/>
  <c r="W22" i="1"/>
  <c r="T22" i="1"/>
  <c r="Q22" i="1"/>
  <c r="E22" i="1"/>
  <c r="AE21" i="1"/>
  <c r="AD21" i="1"/>
  <c r="AA21" i="1"/>
  <c r="AB21" i="1" s="1"/>
  <c r="X21" i="1"/>
  <c r="Y21" i="1" s="1"/>
  <c r="V21" i="1"/>
  <c r="U21" i="1"/>
  <c r="S21" i="1"/>
  <c r="R21" i="1"/>
  <c r="P21" i="1"/>
  <c r="O21" i="1"/>
  <c r="M21" i="1"/>
  <c r="L21" i="1"/>
  <c r="I21" i="1"/>
  <c r="J21" i="1" s="1"/>
  <c r="F21" i="1"/>
  <c r="G21" i="1" s="1"/>
  <c r="D21" i="1"/>
  <c r="C21" i="1"/>
  <c r="AE20" i="1"/>
  <c r="AD20" i="1"/>
  <c r="AB20" i="1"/>
  <c r="AA20" i="1"/>
  <c r="Y20" i="1"/>
  <c r="X20" i="1"/>
  <c r="U20" i="1"/>
  <c r="V20" i="1" s="1"/>
  <c r="R20" i="1"/>
  <c r="S20" i="1" s="1"/>
  <c r="P20" i="1"/>
  <c r="O20" i="1"/>
  <c r="M20" i="1"/>
  <c r="L20" i="1"/>
  <c r="J20" i="1"/>
  <c r="I20" i="1"/>
  <c r="G20" i="1"/>
  <c r="F20" i="1"/>
  <c r="C20" i="1"/>
  <c r="D20" i="1" s="1"/>
  <c r="AD19" i="1"/>
  <c r="AE19" i="1" s="1"/>
  <c r="Z19" i="1"/>
  <c r="Z22" i="1" s="1"/>
  <c r="X19" i="1"/>
  <c r="Y19" i="1" s="1"/>
  <c r="U19" i="1"/>
  <c r="V19" i="1" s="1"/>
  <c r="R19" i="1"/>
  <c r="S19" i="1" s="1"/>
  <c r="N19" i="1"/>
  <c r="O19" i="1" s="1"/>
  <c r="K19" i="1"/>
  <c r="K22" i="1" s="1"/>
  <c r="I19" i="1"/>
  <c r="J19" i="1" s="1"/>
  <c r="H19" i="1"/>
  <c r="E19" i="1"/>
  <c r="F19" i="1" s="1"/>
  <c r="G19" i="1" s="1"/>
  <c r="B19" i="1"/>
  <c r="C19" i="1" s="1"/>
  <c r="AE18" i="1"/>
  <c r="AD18" i="1"/>
  <c r="AB18" i="1"/>
  <c r="AA18" i="1"/>
  <c r="Y18" i="1"/>
  <c r="X18" i="1"/>
  <c r="V18" i="1"/>
  <c r="U18" i="1"/>
  <c r="R18" i="1"/>
  <c r="S18" i="1" s="1"/>
  <c r="O18" i="1"/>
  <c r="P18" i="1" s="1"/>
  <c r="M18" i="1"/>
  <c r="L18" i="1"/>
  <c r="H18" i="1"/>
  <c r="H22" i="1" s="1"/>
  <c r="F18" i="1"/>
  <c r="G18" i="1" s="1"/>
  <c r="C18" i="1"/>
  <c r="D18" i="1" s="1"/>
  <c r="AE17" i="1"/>
  <c r="AD17" i="1"/>
  <c r="AD22" i="1" s="1"/>
  <c r="AA17" i="1"/>
  <c r="AB17" i="1" s="1"/>
  <c r="X17" i="1"/>
  <c r="X22" i="1" s="1"/>
  <c r="U17" i="1"/>
  <c r="U22" i="1" s="1"/>
  <c r="R17" i="1"/>
  <c r="S17" i="1" s="1"/>
  <c r="Q17" i="1"/>
  <c r="O17" i="1"/>
  <c r="P17" i="1" s="1"/>
  <c r="N17" i="1"/>
  <c r="N22" i="1" s="1"/>
  <c r="L17" i="1"/>
  <c r="I17" i="1"/>
  <c r="F17" i="1"/>
  <c r="F22" i="1" s="1"/>
  <c r="C17" i="1"/>
  <c r="D17" i="1" s="1"/>
  <c r="B17" i="1"/>
  <c r="B22" i="1" s="1"/>
  <c r="AF10" i="1"/>
  <c r="AC10" i="1"/>
  <c r="Z10" i="1"/>
  <c r="W10" i="1"/>
  <c r="T10" i="1"/>
  <c r="Q10" i="1"/>
  <c r="N10" i="1"/>
  <c r="E10" i="1"/>
  <c r="B10" i="1"/>
  <c r="AD9" i="1"/>
  <c r="AE9" i="1" s="1"/>
  <c r="AA9" i="1"/>
  <c r="AB9" i="1" s="1"/>
  <c r="X9" i="1"/>
  <c r="Y9" i="1" s="1"/>
  <c r="U9" i="1"/>
  <c r="V9" i="1" s="1"/>
  <c r="S9" i="1"/>
  <c r="R9" i="1"/>
  <c r="O9" i="1"/>
  <c r="P9" i="1" s="1"/>
  <c r="L9" i="1"/>
  <c r="M9" i="1" s="1"/>
  <c r="I9" i="1"/>
  <c r="J9" i="1" s="1"/>
  <c r="F9" i="1"/>
  <c r="G9" i="1" s="1"/>
  <c r="C9" i="1"/>
  <c r="D9" i="1" s="1"/>
  <c r="AE8" i="1"/>
  <c r="AD8" i="1"/>
  <c r="AA8" i="1"/>
  <c r="AB8" i="1" s="1"/>
  <c r="X8" i="1"/>
  <c r="Y8" i="1" s="1"/>
  <c r="U8" i="1"/>
  <c r="V8" i="1" s="1"/>
  <c r="R8" i="1"/>
  <c r="S8" i="1" s="1"/>
  <c r="O8" i="1"/>
  <c r="P8" i="1" s="1"/>
  <c r="M8" i="1"/>
  <c r="L8" i="1"/>
  <c r="I8" i="1"/>
  <c r="J8" i="1" s="1"/>
  <c r="F8" i="1"/>
  <c r="G8" i="1" s="1"/>
  <c r="C8" i="1"/>
  <c r="D8" i="1" s="1"/>
  <c r="AD7" i="1"/>
  <c r="AE7" i="1" s="1"/>
  <c r="Z7" i="1"/>
  <c r="AA7" i="1" s="1"/>
  <c r="AB7" i="1" s="1"/>
  <c r="X7" i="1"/>
  <c r="Y7" i="1" s="1"/>
  <c r="V7" i="1"/>
  <c r="U7" i="1"/>
  <c r="S7" i="1"/>
  <c r="R7" i="1"/>
  <c r="N7" i="1"/>
  <c r="O7" i="1" s="1"/>
  <c r="K7" i="1"/>
  <c r="L7" i="1" s="1"/>
  <c r="H7" i="1"/>
  <c r="H10" i="1" s="1"/>
  <c r="F7" i="1"/>
  <c r="G7" i="1" s="1"/>
  <c r="E7" i="1"/>
  <c r="D7" i="1"/>
  <c r="C7" i="1"/>
  <c r="AE6" i="1"/>
  <c r="AD6" i="1"/>
  <c r="AA6" i="1"/>
  <c r="AB6" i="1" s="1"/>
  <c r="X6" i="1"/>
  <c r="Y6" i="1" s="1"/>
  <c r="V6" i="1"/>
  <c r="U6" i="1"/>
  <c r="S6" i="1"/>
  <c r="R6" i="1"/>
  <c r="P6" i="1"/>
  <c r="O6" i="1"/>
  <c r="M6" i="1"/>
  <c r="L6" i="1"/>
  <c r="I6" i="1"/>
  <c r="J6" i="1" s="1"/>
  <c r="F6" i="1"/>
  <c r="G6" i="1" s="1"/>
  <c r="D6" i="1"/>
  <c r="C6" i="1"/>
  <c r="AE5" i="1"/>
  <c r="AD5" i="1"/>
  <c r="AD10" i="1" s="1"/>
  <c r="AB5" i="1"/>
  <c r="AA5" i="1"/>
  <c r="Y5" i="1"/>
  <c r="X5" i="1"/>
  <c r="U5" i="1"/>
  <c r="U10" i="1" s="1"/>
  <c r="R5" i="1"/>
  <c r="R10" i="1" s="1"/>
  <c r="P5" i="1"/>
  <c r="O5" i="1"/>
  <c r="M5" i="1"/>
  <c r="L5" i="1"/>
  <c r="J5" i="1"/>
  <c r="I5" i="1"/>
  <c r="G5" i="1"/>
  <c r="F5" i="1"/>
  <c r="F10" i="1" s="1"/>
  <c r="C5" i="1"/>
  <c r="D5" i="1" s="1"/>
  <c r="B5" i="1"/>
  <c r="G41" i="2" l="1"/>
  <c r="E20" i="2"/>
  <c r="I10" i="2"/>
  <c r="I73" i="2"/>
  <c r="M17" i="2"/>
  <c r="M20" i="2" s="1"/>
  <c r="S27" i="2"/>
  <c r="S30" i="2" s="1"/>
  <c r="S7" i="2"/>
  <c r="S10" i="2" s="1"/>
  <c r="G27" i="2"/>
  <c r="G30" i="2" s="1"/>
  <c r="G38" i="2"/>
  <c r="U19" i="2"/>
  <c r="U20" i="2" s="1"/>
  <c r="H10" i="2"/>
  <c r="E17" i="2"/>
  <c r="M27" i="2"/>
  <c r="M30" i="2" s="1"/>
  <c r="J10" i="2"/>
  <c r="G17" i="2"/>
  <c r="G20" i="2" s="1"/>
  <c r="E62" i="2"/>
  <c r="H73" i="2"/>
  <c r="AE22" i="1"/>
  <c r="D10" i="1"/>
  <c r="Y10" i="1"/>
  <c r="C22" i="1"/>
  <c r="D19" i="1"/>
  <c r="D22" i="1" s="1"/>
  <c r="V33" i="1"/>
  <c r="V44" i="1"/>
  <c r="I56" i="1"/>
  <c r="E11" i="1"/>
  <c r="P22" i="1"/>
  <c r="C33" i="1"/>
  <c r="B34" i="1" s="1"/>
  <c r="G10" i="1"/>
  <c r="AB10" i="1"/>
  <c r="M7" i="1"/>
  <c r="L10" i="1"/>
  <c r="K11" i="1" s="1"/>
  <c r="D33" i="1"/>
  <c r="I10" i="1"/>
  <c r="H11" i="1" s="1"/>
  <c r="AC11" i="1"/>
  <c r="P7" i="1"/>
  <c r="P10" i="1" s="1"/>
  <c r="O10" i="1"/>
  <c r="S22" i="1"/>
  <c r="F33" i="1"/>
  <c r="AC34" i="1"/>
  <c r="J10" i="1"/>
  <c r="AE10" i="1"/>
  <c r="H34" i="1"/>
  <c r="W23" i="1"/>
  <c r="P19" i="1"/>
  <c r="O22" i="1"/>
  <c r="N23" i="1" s="1"/>
  <c r="D44" i="1"/>
  <c r="M10" i="1"/>
  <c r="W57" i="1"/>
  <c r="AC23" i="1"/>
  <c r="J41" i="1"/>
  <c r="J44" i="1" s="1"/>
  <c r="I44" i="1"/>
  <c r="H45" i="1" s="1"/>
  <c r="K45" i="1"/>
  <c r="AD56" i="1"/>
  <c r="K68" i="1"/>
  <c r="AE33" i="1"/>
  <c r="N45" i="1"/>
  <c r="B68" i="1"/>
  <c r="N68" i="1"/>
  <c r="I22" i="1"/>
  <c r="H23" i="1" s="1"/>
  <c r="F67" i="1"/>
  <c r="E68" i="1" s="1"/>
  <c r="K34" i="1"/>
  <c r="Z68" i="1"/>
  <c r="K10" i="1"/>
  <c r="G17" i="1"/>
  <c r="G22" i="1" s="1"/>
  <c r="V17" i="1"/>
  <c r="V22" i="1" s="1"/>
  <c r="I18" i="1"/>
  <c r="J18" i="1" s="1"/>
  <c r="M39" i="1"/>
  <c r="M44" i="1" s="1"/>
  <c r="AE39" i="1"/>
  <c r="H44" i="1"/>
  <c r="T44" i="1"/>
  <c r="G51" i="1"/>
  <c r="E57" i="1" s="1"/>
  <c r="Y51" i="1"/>
  <c r="E56" i="1"/>
  <c r="W56" i="1"/>
  <c r="F64" i="1"/>
  <c r="G64" i="1" s="1"/>
  <c r="R64" i="1"/>
  <c r="S64" i="1" s="1"/>
  <c r="AD64" i="1"/>
  <c r="X10" i="1"/>
  <c r="W11" i="1" s="1"/>
  <c r="U44" i="1"/>
  <c r="T45" i="1" s="1"/>
  <c r="J17" i="1"/>
  <c r="J22" i="1" s="1"/>
  <c r="Y17" i="1"/>
  <c r="Y22" i="1" s="1"/>
  <c r="L19" i="1"/>
  <c r="M19" i="1" s="1"/>
  <c r="AA19" i="1"/>
  <c r="R22" i="1"/>
  <c r="Q23" i="1" s="1"/>
  <c r="X30" i="1"/>
  <c r="AA33" i="1"/>
  <c r="Z34" i="1" s="1"/>
  <c r="P39" i="1"/>
  <c r="P44" i="1" s="1"/>
  <c r="J51" i="1"/>
  <c r="AB51" i="1"/>
  <c r="Z57" i="1" s="1"/>
  <c r="C53" i="1"/>
  <c r="H56" i="1"/>
  <c r="I7" i="1"/>
  <c r="J7" i="1" s="1"/>
  <c r="C10" i="1"/>
  <c r="B11" i="1" s="1"/>
  <c r="AA10" i="1"/>
  <c r="Z11" i="1" s="1"/>
  <c r="M17" i="1"/>
  <c r="M22" i="1" s="1"/>
  <c r="E33" i="1"/>
  <c r="S39" i="1"/>
  <c r="S44" i="1" s="1"/>
  <c r="Y40" i="1"/>
  <c r="Y44" i="1" s="1"/>
  <c r="AD43" i="1"/>
  <c r="AE43" i="1" s="1"/>
  <c r="M51" i="1"/>
  <c r="K57" i="1" s="1"/>
  <c r="AE51" i="1"/>
  <c r="S52" i="1"/>
  <c r="R53" i="1"/>
  <c r="S53" i="1" s="1"/>
  <c r="AD53" i="1"/>
  <c r="AE53" i="1" s="1"/>
  <c r="J64" i="1"/>
  <c r="H68" i="1" s="1"/>
  <c r="S5" i="1"/>
  <c r="S10" i="1" s="1"/>
  <c r="G28" i="1"/>
  <c r="G33" i="1" s="1"/>
  <c r="D62" i="1"/>
  <c r="V62" i="1"/>
  <c r="T68" i="1" s="1"/>
  <c r="V5" i="1"/>
  <c r="V10" i="1" s="1"/>
  <c r="J28" i="1"/>
  <c r="J33" i="1" s="1"/>
  <c r="AA44" i="1"/>
  <c r="Z45" i="1" s="1"/>
  <c r="U53" i="1"/>
  <c r="G62" i="1"/>
  <c r="Y62" i="1"/>
  <c r="W68" i="1" s="1"/>
  <c r="G39" i="1"/>
  <c r="G44" i="1" s="1"/>
  <c r="T23" i="1" l="1"/>
  <c r="H57" i="1"/>
  <c r="U56" i="1"/>
  <c r="V53" i="1"/>
  <c r="Y30" i="1"/>
  <c r="Y33" i="1" s="1"/>
  <c r="X33" i="1"/>
  <c r="W34" i="1" s="1"/>
  <c r="W45" i="1"/>
  <c r="AC57" i="1"/>
  <c r="E45" i="1"/>
  <c r="Q11" i="1"/>
  <c r="AA22" i="1"/>
  <c r="Z23" i="1" s="1"/>
  <c r="AB19" i="1"/>
  <c r="AB22" i="1" s="1"/>
  <c r="R56" i="1"/>
  <c r="Q57" i="1" s="1"/>
  <c r="Q45" i="1"/>
  <c r="AD44" i="1"/>
  <c r="AC45" i="1" s="1"/>
  <c r="B23" i="1"/>
  <c r="R67" i="1"/>
  <c r="Q68" i="1" s="1"/>
  <c r="T11" i="1"/>
  <c r="E23" i="1"/>
  <c r="E34" i="1"/>
  <c r="AD67" i="1"/>
  <c r="AE64" i="1"/>
  <c r="D53" i="1"/>
  <c r="C56" i="1"/>
  <c r="B57" i="1" s="1"/>
  <c r="N11" i="1"/>
  <c r="L22" i="1"/>
  <c r="K23" i="1" s="1"/>
  <c r="AC68" i="1" l="1"/>
  <c r="T57" i="1"/>
</calcChain>
</file>

<file path=xl/sharedStrings.xml><?xml version="1.0" encoding="utf-8"?>
<sst xmlns="http://schemas.openxmlformats.org/spreadsheetml/2006/main" count="535" uniqueCount="37">
  <si>
    <t>保守型</t>
    <phoneticPr fontId="1" type="noConversion"/>
  </si>
  <si>
    <t>一年條件</t>
  </si>
  <si>
    <t>兩年條件</t>
  </si>
  <si>
    <t>三年條件</t>
  </si>
  <si>
    <t>四年條件</t>
  </si>
  <si>
    <t>五年條件</t>
  </si>
  <si>
    <t>六年條件</t>
  </si>
  <si>
    <t>七年條件</t>
  </si>
  <si>
    <t>八年條件</t>
  </si>
  <si>
    <t>九年條件</t>
  </si>
  <si>
    <t>十年條件</t>
  </si>
  <si>
    <r>
      <rPr>
        <sz val="12"/>
        <color theme="1"/>
        <rFont val="新細明體"/>
        <family val="2"/>
        <charset val="136"/>
      </rPr>
      <t>年</t>
    </r>
    <phoneticPr fontId="1" type="noConversion"/>
  </si>
  <si>
    <t>訓練 1年投資組合</t>
    <phoneticPr fontId="1" type="noConversion"/>
  </si>
  <si>
    <t>訓練 2 年投資組合</t>
    <phoneticPr fontId="1" type="noConversion"/>
  </si>
  <si>
    <t>訓練 3 年投資組合</t>
    <phoneticPr fontId="1" type="noConversion"/>
  </si>
  <si>
    <t>訓練 4 年投資組合</t>
    <phoneticPr fontId="1" type="noConversion"/>
  </si>
  <si>
    <t>訓練 5 年投資組合</t>
    <phoneticPr fontId="1" type="noConversion"/>
  </si>
  <si>
    <t>訓練 6 年投資組合</t>
    <phoneticPr fontId="1" type="noConversion"/>
  </si>
  <si>
    <t>訓練 7 年投資組合</t>
    <phoneticPr fontId="1" type="noConversion"/>
  </si>
  <si>
    <t>訓練 8 年投資組合</t>
    <phoneticPr fontId="1" type="noConversion"/>
  </si>
  <si>
    <t>訓練 9 年投資組合</t>
    <phoneticPr fontId="1" type="noConversion"/>
  </si>
  <si>
    <t>訓練 10 年投資組合</t>
    <phoneticPr fontId="1" type="noConversion"/>
  </si>
  <si>
    <t>銀行定存</t>
    <phoneticPr fontId="1" type="noConversion"/>
  </si>
  <si>
    <t>年報酬</t>
    <phoneticPr fontId="1" type="noConversion"/>
  </si>
  <si>
    <t>報酬率</t>
    <phoneticPr fontId="1" type="noConversion"/>
  </si>
  <si>
    <t>超額回報率</t>
    <phoneticPr fontId="1" type="noConversion"/>
  </si>
  <si>
    <t>平均</t>
    <phoneticPr fontId="1" type="noConversion"/>
  </si>
  <si>
    <t>夏普</t>
    <phoneticPr fontId="1" type="noConversion"/>
  </si>
  <si>
    <t>權重平均</t>
    <phoneticPr fontId="1" type="noConversion"/>
  </si>
  <si>
    <t>穩健型</t>
    <phoneticPr fontId="1" type="noConversion"/>
  </si>
  <si>
    <t>積極型</t>
    <phoneticPr fontId="1" type="noConversion"/>
  </si>
  <si>
    <t>v</t>
    <phoneticPr fontId="1" type="noConversion"/>
  </si>
  <si>
    <t>沒三年條件</t>
  </si>
  <si>
    <t>沒六年條件</t>
  </si>
  <si>
    <t>訓練 3 年投資組合-8資產</t>
    <phoneticPr fontId="1" type="noConversion"/>
  </si>
  <si>
    <t>訓練 3 年投資組合-3資產</t>
    <phoneticPr fontId="1" type="noConversion"/>
  </si>
  <si>
    <t>訓練 3 年投資組合-6資產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</si>
</sst>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5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  <font>
      <b/>
      <sz val="12"/>
      <color rgb="FFFF0000"/>
      <name val="Times New Roman"/>
      <family val="1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>
      <alignment vertical="center"/>
    </xf>
    <xf numFmtId="10" fontId="5" fillId="2" borderId="1" xfId="0" applyNumberFormat="1" applyFont="1" applyFill="1" applyBorder="1">
      <alignment vertical="center"/>
    </xf>
    <xf numFmtId="10" fontId="3" fillId="3" borderId="1" xfId="0" applyNumberFormat="1" applyFont="1" applyFill="1" applyBorder="1">
      <alignment vertical="center"/>
    </xf>
    <xf numFmtId="10" fontId="0" fillId="0" borderId="1" xfId="0" applyNumberFormat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3" fillId="2" borderId="4" xfId="0" applyNumberFormat="1" applyFont="1" applyFill="1" applyBorder="1">
      <alignment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3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10" fontId="3" fillId="2" borderId="0" xfId="0" applyNumberFormat="1" applyFont="1" applyFill="1">
      <alignment vertical="center"/>
    </xf>
    <xf numFmtId="10" fontId="3" fillId="3" borderId="0" xfId="0" applyNumberFormat="1" applyFon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>
      <alignment vertical="center"/>
    </xf>
    <xf numFmtId="10" fontId="3" fillId="4" borderId="1" xfId="0" applyNumberFormat="1" applyFont="1" applyFill="1" applyBorder="1">
      <alignment vertical="center"/>
    </xf>
    <xf numFmtId="10" fontId="5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3" fillId="2" borderId="4" xfId="0" applyNumberFormat="1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783C-48FF-476B-A4F1-5247FE169964}">
  <dimension ref="A1:AF68"/>
  <sheetViews>
    <sheetView topLeftCell="A37" workbookViewId="0">
      <selection activeCell="F70" sqref="F70"/>
    </sheetView>
  </sheetViews>
  <sheetFormatPr defaultRowHeight="16.5" x14ac:dyDescent="0.25"/>
  <cols>
    <col min="2" max="2" width="10" bestFit="1" customWidth="1"/>
    <col min="3" max="3" width="9.5" bestFit="1" customWidth="1"/>
    <col min="4" max="4" width="11.625" bestFit="1" customWidth="1"/>
    <col min="5" max="5" width="9.25" bestFit="1" customWidth="1"/>
    <col min="7" max="7" width="12.125" bestFit="1" customWidth="1"/>
    <col min="8" max="8" width="10" style="1" bestFit="1" customWidth="1"/>
    <col min="9" max="10" width="9" style="1"/>
    <col min="11" max="11" width="10" bestFit="1" customWidth="1"/>
    <col min="14" max="14" width="10" bestFit="1" customWidth="1"/>
    <col min="17" max="17" width="9.25" bestFit="1" customWidth="1"/>
    <col min="20" max="20" width="10" bestFit="1" customWidth="1"/>
    <col min="23" max="23" width="9.25" bestFit="1" customWidth="1"/>
    <col min="26" max="26" width="10" bestFit="1" customWidth="1"/>
    <col min="29" max="29" width="9.25" bestFit="1" customWidth="1"/>
  </cols>
  <sheetData>
    <row r="1" spans="1:32" x14ac:dyDescent="0.25">
      <c r="A1">
        <v>1000000</v>
      </c>
    </row>
    <row r="2" spans="1:32" ht="20.25" x14ac:dyDescent="0.25">
      <c r="A2" s="2" t="s">
        <v>0</v>
      </c>
      <c r="B2" s="3" t="s">
        <v>1</v>
      </c>
      <c r="C2" s="4"/>
      <c r="D2" s="5"/>
      <c r="E2" s="3" t="s">
        <v>2</v>
      </c>
      <c r="F2" s="4"/>
      <c r="G2" s="5"/>
      <c r="H2" s="6" t="s">
        <v>3</v>
      </c>
      <c r="I2" s="7"/>
      <c r="J2" s="8"/>
      <c r="K2" s="3" t="s">
        <v>4</v>
      </c>
      <c r="L2" s="4"/>
      <c r="M2" s="5"/>
      <c r="N2" s="3" t="s">
        <v>5</v>
      </c>
      <c r="O2" s="4"/>
      <c r="P2" s="5"/>
      <c r="Q2" s="3" t="s">
        <v>6</v>
      </c>
      <c r="R2" s="4"/>
      <c r="S2" s="5"/>
      <c r="T2" s="3" t="s">
        <v>7</v>
      </c>
      <c r="U2" s="4"/>
      <c r="V2" s="5"/>
      <c r="W2" s="3" t="s">
        <v>8</v>
      </c>
      <c r="X2" s="4"/>
      <c r="Y2" s="5"/>
      <c r="Z2" s="3" t="s">
        <v>9</v>
      </c>
      <c r="AA2" s="4"/>
      <c r="AB2" s="5"/>
      <c r="AC2" s="3" t="s">
        <v>10</v>
      </c>
      <c r="AD2" s="4"/>
      <c r="AE2" s="5"/>
      <c r="AF2" s="9"/>
    </row>
    <row r="3" spans="1:32" x14ac:dyDescent="0.25">
      <c r="A3" s="10" t="s">
        <v>11</v>
      </c>
      <c r="B3" s="11" t="s">
        <v>12</v>
      </c>
      <c r="C3" s="12"/>
      <c r="D3" s="13"/>
      <c r="E3" s="11" t="s">
        <v>13</v>
      </c>
      <c r="F3" s="12"/>
      <c r="G3" s="13"/>
      <c r="H3" s="14" t="s">
        <v>14</v>
      </c>
      <c r="I3" s="15"/>
      <c r="J3" s="16"/>
      <c r="K3" s="11" t="s">
        <v>15</v>
      </c>
      <c r="L3" s="12"/>
      <c r="M3" s="13"/>
      <c r="N3" s="11" t="s">
        <v>16</v>
      </c>
      <c r="O3" s="12"/>
      <c r="P3" s="13"/>
      <c r="Q3" s="11" t="s">
        <v>17</v>
      </c>
      <c r="R3" s="12"/>
      <c r="S3" s="13"/>
      <c r="T3" s="11" t="s">
        <v>18</v>
      </c>
      <c r="U3" s="12"/>
      <c r="V3" s="13"/>
      <c r="W3" s="11" t="s">
        <v>19</v>
      </c>
      <c r="X3" s="12"/>
      <c r="Y3" s="13"/>
      <c r="Z3" s="11" t="s">
        <v>20</v>
      </c>
      <c r="AA3" s="12"/>
      <c r="AB3" s="13"/>
      <c r="AC3" s="11" t="s">
        <v>21</v>
      </c>
      <c r="AD3" s="12"/>
      <c r="AE3" s="13"/>
      <c r="AF3" s="17" t="s">
        <v>22</v>
      </c>
    </row>
    <row r="4" spans="1:32" x14ac:dyDescent="0.25">
      <c r="A4" s="18"/>
      <c r="B4" s="19" t="s">
        <v>23</v>
      </c>
      <c r="C4" s="19" t="s">
        <v>24</v>
      </c>
      <c r="D4" s="19" t="s">
        <v>25</v>
      </c>
      <c r="E4" s="19" t="s">
        <v>23</v>
      </c>
      <c r="F4" s="19" t="s">
        <v>24</v>
      </c>
      <c r="G4" s="19" t="s">
        <v>25</v>
      </c>
      <c r="H4" s="20" t="s">
        <v>23</v>
      </c>
      <c r="I4" s="20" t="s">
        <v>24</v>
      </c>
      <c r="J4" s="19" t="s">
        <v>25</v>
      </c>
      <c r="K4" s="19" t="s">
        <v>23</v>
      </c>
      <c r="L4" s="19" t="s">
        <v>24</v>
      </c>
      <c r="M4" s="19" t="s">
        <v>25</v>
      </c>
      <c r="N4" s="19" t="s">
        <v>23</v>
      </c>
      <c r="O4" s="19" t="s">
        <v>24</v>
      </c>
      <c r="P4" s="19" t="s">
        <v>25</v>
      </c>
      <c r="Q4" s="19" t="s">
        <v>23</v>
      </c>
      <c r="R4" s="19" t="s">
        <v>24</v>
      </c>
      <c r="S4" s="19" t="s">
        <v>25</v>
      </c>
      <c r="T4" s="19" t="s">
        <v>23</v>
      </c>
      <c r="U4" s="19" t="s">
        <v>24</v>
      </c>
      <c r="V4" s="19" t="s">
        <v>25</v>
      </c>
      <c r="W4" s="19" t="s">
        <v>23</v>
      </c>
      <c r="X4" s="19" t="s">
        <v>24</v>
      </c>
      <c r="Y4" s="19" t="s">
        <v>25</v>
      </c>
      <c r="Z4" s="19" t="s">
        <v>23</v>
      </c>
      <c r="AA4" s="19" t="s">
        <v>24</v>
      </c>
      <c r="AB4" s="19" t="s">
        <v>25</v>
      </c>
      <c r="AC4" s="19" t="s">
        <v>23</v>
      </c>
      <c r="AD4" s="19" t="s">
        <v>24</v>
      </c>
      <c r="AE4" s="19" t="s">
        <v>25</v>
      </c>
      <c r="AF4" s="21"/>
    </row>
    <row r="5" spans="1:32" x14ac:dyDescent="0.25">
      <c r="A5" s="22">
        <v>2016</v>
      </c>
      <c r="B5" s="23">
        <f>811421.65-A1</f>
        <v>-188578.34999999998</v>
      </c>
      <c r="C5" s="24">
        <f>B5/$A$1</f>
        <v>-0.18857834999999998</v>
      </c>
      <c r="D5" s="24">
        <f>C5-AF5</f>
        <v>-0.20107834999999999</v>
      </c>
      <c r="E5" s="23">
        <v>433837.35</v>
      </c>
      <c r="F5" s="24">
        <f>E5/$A$1</f>
        <v>0.43383734999999995</v>
      </c>
      <c r="G5" s="24">
        <f>F5-AF5</f>
        <v>0.42133734999999994</v>
      </c>
      <c r="H5" s="23">
        <v>465822.85</v>
      </c>
      <c r="I5" s="25">
        <f>H5/$A$1</f>
        <v>0.46582284999999996</v>
      </c>
      <c r="J5" s="25">
        <f>I5-AF5</f>
        <v>0.45332284999999994</v>
      </c>
      <c r="K5" s="23">
        <v>10835.42</v>
      </c>
      <c r="L5" s="25">
        <f>K5/$A$1</f>
        <v>1.083542E-2</v>
      </c>
      <c r="M5" s="25">
        <f>L5-AF5</f>
        <v>-1.6645800000000006E-3</v>
      </c>
      <c r="N5" s="23">
        <v>42600.63</v>
      </c>
      <c r="O5" s="25">
        <f>N5/$A$1</f>
        <v>4.260063E-2</v>
      </c>
      <c r="P5" s="25">
        <f>O5-AF5</f>
        <v>3.010063E-2</v>
      </c>
      <c r="Q5" s="23">
        <v>24955.48</v>
      </c>
      <c r="R5" s="25">
        <f>Q5/$A$1</f>
        <v>2.4955479999999999E-2</v>
      </c>
      <c r="S5" s="25">
        <f>R5-AF5</f>
        <v>1.2455479999999998E-2</v>
      </c>
      <c r="T5" s="23">
        <v>159747.31</v>
      </c>
      <c r="U5" s="25">
        <f>T5/$A$1</f>
        <v>0.15974731</v>
      </c>
      <c r="V5" s="25">
        <f>U5-AF5</f>
        <v>0.14724730999999999</v>
      </c>
      <c r="W5" s="23">
        <v>614814.86</v>
      </c>
      <c r="X5" s="25">
        <f>W5/$A$1</f>
        <v>0.61481485999999996</v>
      </c>
      <c r="Y5" s="25">
        <f>X5-AF5</f>
        <v>0.60231486000000001</v>
      </c>
      <c r="Z5" s="23">
        <v>588587.55000000005</v>
      </c>
      <c r="AA5" s="25">
        <f>Z5/$A$1</f>
        <v>0.58858755000000007</v>
      </c>
      <c r="AB5" s="25">
        <f>AA5-AF5</f>
        <v>0.57608755000000011</v>
      </c>
      <c r="AC5" s="23">
        <v>71361.53</v>
      </c>
      <c r="AD5" s="25">
        <f>AC5/$A$1</f>
        <v>7.1361529999999992E-2</v>
      </c>
      <c r="AE5" s="25">
        <f>AD5-AF5</f>
        <v>5.8861529999999995E-2</v>
      </c>
      <c r="AF5" s="24">
        <v>1.2500000000000001E-2</v>
      </c>
    </row>
    <row r="6" spans="1:32" x14ac:dyDescent="0.25">
      <c r="A6" s="22">
        <v>2017</v>
      </c>
      <c r="B6" s="23">
        <v>248273.29</v>
      </c>
      <c r="C6" s="24">
        <f t="shared" ref="C6:I9" si="0">B6/$A$1</f>
        <v>0.24827329000000001</v>
      </c>
      <c r="D6" s="24">
        <f>C6-AF6</f>
        <v>0.23757329000000002</v>
      </c>
      <c r="E6" s="23">
        <v>31464.78</v>
      </c>
      <c r="F6" s="24">
        <f t="shared" si="0"/>
        <v>3.1464779999999998E-2</v>
      </c>
      <c r="G6" s="24">
        <f>F6-AF6</f>
        <v>2.0764779999999997E-2</v>
      </c>
      <c r="H6" s="23">
        <v>35640.769999999997</v>
      </c>
      <c r="I6" s="25">
        <f t="shared" si="0"/>
        <v>3.5640769999999995E-2</v>
      </c>
      <c r="J6" s="25">
        <f>I6-AF6</f>
        <v>2.4940769999999994E-2</v>
      </c>
      <c r="K6" s="23">
        <v>228905.74</v>
      </c>
      <c r="L6" s="25">
        <f>K6/$A$1</f>
        <v>0.22890574</v>
      </c>
      <c r="M6" s="25">
        <f t="shared" ref="M6:M9" si="1">L6-AF6</f>
        <v>0.21820574000000001</v>
      </c>
      <c r="N6" s="23">
        <v>95425.77</v>
      </c>
      <c r="O6" s="25">
        <f t="shared" ref="O6:U9" si="2">N6/$A$1</f>
        <v>9.5425770000000007E-2</v>
      </c>
      <c r="P6" s="25">
        <f t="shared" ref="P6:P9" si="3">O6-AF6</f>
        <v>8.4725770000000006E-2</v>
      </c>
      <c r="Q6" s="23">
        <v>400810.37</v>
      </c>
      <c r="R6" s="25">
        <f t="shared" ref="R6:R9" si="4">Q6/$A$1</f>
        <v>0.40081036999999997</v>
      </c>
      <c r="S6" s="25">
        <f t="shared" ref="S6:S9" si="5">R6-AF6</f>
        <v>0.39011036999999998</v>
      </c>
      <c r="T6" s="23">
        <v>555019.77</v>
      </c>
      <c r="U6" s="25">
        <f t="shared" si="2"/>
        <v>0.55501977000000002</v>
      </c>
      <c r="V6" s="25">
        <f t="shared" ref="V6:V9" si="6">U6-AF6</f>
        <v>0.54431976999999998</v>
      </c>
      <c r="W6" s="23">
        <v>388492.82</v>
      </c>
      <c r="X6" s="25">
        <f t="shared" ref="X6:X9" si="7">W6/$A$1</f>
        <v>0.38849282000000002</v>
      </c>
      <c r="Y6" s="25">
        <f t="shared" ref="Y6:Y9" si="8">X6-AF6</f>
        <v>0.37779282000000003</v>
      </c>
      <c r="Z6" s="23">
        <v>376225.4</v>
      </c>
      <c r="AA6" s="25">
        <f t="shared" ref="AA6:AA9" si="9">Z6/$A$1</f>
        <v>0.37622540000000004</v>
      </c>
      <c r="AB6" s="25">
        <f t="shared" ref="AB6:AB9" si="10">AA6-AF6</f>
        <v>0.36552540000000006</v>
      </c>
      <c r="AC6" s="23">
        <v>858581.73</v>
      </c>
      <c r="AD6" s="25">
        <f t="shared" ref="AD6:AD9" si="11">AC6/$A$1</f>
        <v>0.85858172999999993</v>
      </c>
      <c r="AE6" s="25">
        <f t="shared" ref="AE6:AE9" si="12">AD6-AF6</f>
        <v>0.84788172999999989</v>
      </c>
      <c r="AF6" s="24">
        <v>1.0699999999999999E-2</v>
      </c>
    </row>
    <row r="7" spans="1:32" x14ac:dyDescent="0.25">
      <c r="A7" s="22">
        <v>2018</v>
      </c>
      <c r="B7" s="23">
        <v>17394.740000000002</v>
      </c>
      <c r="C7" s="24">
        <f t="shared" si="0"/>
        <v>1.7394740000000002E-2</v>
      </c>
      <c r="D7" s="24">
        <f>C7-AF7</f>
        <v>6.6947400000000028E-3</v>
      </c>
      <c r="E7" s="23">
        <f>899186.52-A1</f>
        <v>-100813.47999999998</v>
      </c>
      <c r="F7" s="24">
        <f t="shared" si="0"/>
        <v>-0.10081347999999998</v>
      </c>
      <c r="G7" s="24">
        <f>F7-AF7</f>
        <v>-0.11151347999999998</v>
      </c>
      <c r="H7" s="23">
        <f>977538.05-A1</f>
        <v>-22461.949999999953</v>
      </c>
      <c r="I7" s="25">
        <f t="shared" si="0"/>
        <v>-2.2461949999999953E-2</v>
      </c>
      <c r="J7" s="25">
        <f>I7-AF7</f>
        <v>-3.3161949999999954E-2</v>
      </c>
      <c r="K7" s="23">
        <f>896893.27-A1</f>
        <v>-103106.72999999998</v>
      </c>
      <c r="L7" s="25">
        <f>K7/$A$1</f>
        <v>-0.10310672999999998</v>
      </c>
      <c r="M7" s="25">
        <f t="shared" si="1"/>
        <v>-0.11380672999999998</v>
      </c>
      <c r="N7" s="23">
        <f>898735.920000001-A1</f>
        <v>-101264.07999999903</v>
      </c>
      <c r="O7" s="25">
        <f t="shared" si="2"/>
        <v>-0.10126407999999902</v>
      </c>
      <c r="P7" s="25">
        <f t="shared" si="3"/>
        <v>-0.11196407999999902</v>
      </c>
      <c r="Q7" s="23">
        <v>858050.97</v>
      </c>
      <c r="R7" s="25">
        <f t="shared" si="4"/>
        <v>0.85805096999999997</v>
      </c>
      <c r="S7" s="25">
        <f t="shared" si="5"/>
        <v>0.84735096999999993</v>
      </c>
      <c r="T7" s="23">
        <v>658046.39</v>
      </c>
      <c r="U7" s="25">
        <f t="shared" si="2"/>
        <v>0.65804638999999998</v>
      </c>
      <c r="V7" s="25">
        <f t="shared" si="6"/>
        <v>0.64734638999999994</v>
      </c>
      <c r="W7" s="23">
        <v>789893.98</v>
      </c>
      <c r="X7" s="25">
        <f t="shared" si="7"/>
        <v>0.78989398</v>
      </c>
      <c r="Y7" s="25">
        <f t="shared" si="8"/>
        <v>0.77919397999999995</v>
      </c>
      <c r="Z7" s="23">
        <f>925854.53-A1</f>
        <v>-74145.469999999972</v>
      </c>
      <c r="AA7" s="25">
        <f t="shared" si="9"/>
        <v>-7.4145469999999977E-2</v>
      </c>
      <c r="AB7" s="25">
        <f t="shared" si="10"/>
        <v>-8.4845469999999978E-2</v>
      </c>
      <c r="AC7" s="23">
        <v>17294.59</v>
      </c>
      <c r="AD7" s="25">
        <f t="shared" si="11"/>
        <v>1.7294589999999999E-2</v>
      </c>
      <c r="AE7" s="25">
        <f t="shared" si="12"/>
        <v>6.5945899999999991E-3</v>
      </c>
      <c r="AF7" s="24">
        <v>1.0699999999999999E-2</v>
      </c>
    </row>
    <row r="8" spans="1:32" x14ac:dyDescent="0.25">
      <c r="A8" s="22">
        <v>2019</v>
      </c>
      <c r="B8" s="23">
        <v>402412.65</v>
      </c>
      <c r="C8" s="24">
        <f t="shared" si="0"/>
        <v>0.40241265000000004</v>
      </c>
      <c r="D8" s="24">
        <f>C8-AF8</f>
        <v>0.39171265000000005</v>
      </c>
      <c r="E8" s="23">
        <v>234643.91</v>
      </c>
      <c r="F8" s="24">
        <f t="shared" si="0"/>
        <v>0.23464391000000001</v>
      </c>
      <c r="G8" s="24">
        <f>F8-AF8</f>
        <v>0.22394391000000002</v>
      </c>
      <c r="H8" s="23">
        <v>167107.79999999999</v>
      </c>
      <c r="I8" s="25">
        <f t="shared" si="0"/>
        <v>0.1671078</v>
      </c>
      <c r="J8" s="25">
        <f>I8-AF8</f>
        <v>0.15640780000000001</v>
      </c>
      <c r="K8" s="23">
        <v>294669.31</v>
      </c>
      <c r="L8" s="25">
        <f>K8/$A$1</f>
        <v>0.29466931000000002</v>
      </c>
      <c r="M8" s="25">
        <f t="shared" si="1"/>
        <v>0.28396931000000003</v>
      </c>
      <c r="N8" s="23">
        <v>251357.66</v>
      </c>
      <c r="O8" s="25">
        <f t="shared" si="2"/>
        <v>0.25135765999999998</v>
      </c>
      <c r="P8" s="25">
        <f t="shared" si="3"/>
        <v>0.24065766</v>
      </c>
      <c r="Q8" s="23">
        <v>208246.32</v>
      </c>
      <c r="R8" s="25">
        <f t="shared" si="4"/>
        <v>0.20824632000000001</v>
      </c>
      <c r="S8" s="25">
        <f t="shared" si="5"/>
        <v>0.19754632000000003</v>
      </c>
      <c r="T8" s="23">
        <v>185163.47</v>
      </c>
      <c r="U8" s="25">
        <f t="shared" si="2"/>
        <v>0.18516347</v>
      </c>
      <c r="V8" s="25">
        <f t="shared" si="6"/>
        <v>0.17446347000000001</v>
      </c>
      <c r="W8" s="23">
        <v>149552.82</v>
      </c>
      <c r="X8" s="25">
        <f t="shared" si="7"/>
        <v>0.14955282</v>
      </c>
      <c r="Y8" s="25">
        <f t="shared" si="8"/>
        <v>0.13885282000000002</v>
      </c>
      <c r="Z8" s="23">
        <v>189489.59</v>
      </c>
      <c r="AA8" s="25">
        <f t="shared" si="9"/>
        <v>0.18948958999999999</v>
      </c>
      <c r="AB8" s="25">
        <f t="shared" si="10"/>
        <v>0.17878959</v>
      </c>
      <c r="AC8" s="23">
        <v>428800.14</v>
      </c>
      <c r="AD8" s="25">
        <f t="shared" si="11"/>
        <v>0.42880014</v>
      </c>
      <c r="AE8" s="25">
        <f t="shared" si="12"/>
        <v>0.41810014000000001</v>
      </c>
      <c r="AF8" s="24">
        <v>1.0699999999999999E-2</v>
      </c>
    </row>
    <row r="9" spans="1:32" x14ac:dyDescent="0.25">
      <c r="A9" s="22">
        <v>2020</v>
      </c>
      <c r="B9" s="23">
        <v>218531.01</v>
      </c>
      <c r="C9" s="24">
        <f t="shared" si="0"/>
        <v>0.21853101</v>
      </c>
      <c r="D9" s="24">
        <f>C9-AF9</f>
        <v>0.20783101000000001</v>
      </c>
      <c r="E9" s="23">
        <v>337179.76</v>
      </c>
      <c r="F9" s="24">
        <f t="shared" si="0"/>
        <v>0.33717976</v>
      </c>
      <c r="G9" s="24">
        <f>F9-AF9</f>
        <v>0.32647976000000001</v>
      </c>
      <c r="H9" s="23">
        <v>237157.43</v>
      </c>
      <c r="I9" s="25">
        <f t="shared" si="0"/>
        <v>0.23715743</v>
      </c>
      <c r="J9" s="25">
        <f>I9-AF9</f>
        <v>0.22645743000000002</v>
      </c>
      <c r="K9" s="23">
        <v>118668.85</v>
      </c>
      <c r="L9" s="25">
        <f>K9/$A$1</f>
        <v>0.11866885000000001</v>
      </c>
      <c r="M9" s="25">
        <f t="shared" si="1"/>
        <v>0.10796885000000001</v>
      </c>
      <c r="N9" s="23">
        <v>213984.54</v>
      </c>
      <c r="O9" s="25">
        <f t="shared" si="2"/>
        <v>0.21398454</v>
      </c>
      <c r="P9" s="25">
        <f t="shared" si="3"/>
        <v>0.20328454000000001</v>
      </c>
      <c r="Q9" s="23">
        <v>82116.84</v>
      </c>
      <c r="R9" s="25">
        <f t="shared" si="4"/>
        <v>8.2116839999999997E-2</v>
      </c>
      <c r="S9" s="25">
        <f t="shared" si="5"/>
        <v>7.1416839999999995E-2</v>
      </c>
      <c r="T9" s="23">
        <v>328817.93</v>
      </c>
      <c r="U9" s="25">
        <f t="shared" si="2"/>
        <v>0.32881792999999998</v>
      </c>
      <c r="V9" s="25">
        <f t="shared" si="6"/>
        <v>0.31811792999999999</v>
      </c>
      <c r="W9" s="23">
        <v>251958.55</v>
      </c>
      <c r="X9" s="25">
        <f t="shared" si="7"/>
        <v>0.25195855</v>
      </c>
      <c r="Y9" s="25">
        <f t="shared" si="8"/>
        <v>0.24125855000000002</v>
      </c>
      <c r="Z9" s="23">
        <v>53876.68</v>
      </c>
      <c r="AA9" s="25">
        <f t="shared" si="9"/>
        <v>5.3876680000000003E-2</v>
      </c>
      <c r="AB9" s="25">
        <f t="shared" si="10"/>
        <v>4.3176680000000002E-2</v>
      </c>
      <c r="AC9" s="23">
        <v>309380.26</v>
      </c>
      <c r="AD9" s="25">
        <f t="shared" si="11"/>
        <v>0.30938026000000002</v>
      </c>
      <c r="AE9" s="25">
        <f t="shared" si="12"/>
        <v>0.29868026000000003</v>
      </c>
      <c r="AF9" s="24">
        <v>1.0699999999999999E-2</v>
      </c>
    </row>
    <row r="10" spans="1:32" x14ac:dyDescent="0.25">
      <c r="A10" s="26" t="s">
        <v>26</v>
      </c>
      <c r="B10" s="27">
        <f t="shared" ref="B10" si="13">AVERAGE(B5:B9)</f>
        <v>139606.66800000001</v>
      </c>
      <c r="C10" s="24">
        <f>AVERAGE(C5:C9)</f>
        <v>0.13960666800000002</v>
      </c>
      <c r="D10" s="24">
        <f>AVERAGE(D5:D9)</f>
        <v>0.12854666800000003</v>
      </c>
      <c r="E10" s="27">
        <f t="shared" ref="E10:AE10" si="14">AVERAGE(E5:E9)</f>
        <v>187262.46400000001</v>
      </c>
      <c r="F10" s="24">
        <f>AVERAGE(F5:F9)</f>
        <v>0.18726246399999996</v>
      </c>
      <c r="G10" s="24">
        <f>AVERAGE(G5:G9)</f>
        <v>0.176202464</v>
      </c>
      <c r="H10" s="27">
        <f t="shared" si="14"/>
        <v>176653.37999999998</v>
      </c>
      <c r="I10" s="28">
        <f t="shared" si="14"/>
        <v>0.17665338000000003</v>
      </c>
      <c r="J10" s="28">
        <f t="shared" si="14"/>
        <v>0.16559338000000001</v>
      </c>
      <c r="K10" s="27">
        <f t="shared" si="14"/>
        <v>109994.518</v>
      </c>
      <c r="L10" s="25">
        <f t="shared" si="14"/>
        <v>0.10999451800000001</v>
      </c>
      <c r="M10" s="25">
        <f t="shared" si="14"/>
        <v>9.8934518000000013E-2</v>
      </c>
      <c r="N10" s="27">
        <f t="shared" si="14"/>
        <v>100420.90400000018</v>
      </c>
      <c r="O10" s="25">
        <f t="shared" si="14"/>
        <v>0.10042090400000019</v>
      </c>
      <c r="P10" s="25">
        <f t="shared" si="14"/>
        <v>8.9360904000000199E-2</v>
      </c>
      <c r="Q10" s="27">
        <f t="shared" si="14"/>
        <v>314835.99599999998</v>
      </c>
      <c r="R10" s="25">
        <f t="shared" si="14"/>
        <v>0.31483599600000001</v>
      </c>
      <c r="S10" s="25">
        <f t="shared" si="14"/>
        <v>0.30377599599999999</v>
      </c>
      <c r="T10" s="27">
        <f t="shared" si="14"/>
        <v>377358.97400000005</v>
      </c>
      <c r="U10" s="25">
        <f t="shared" si="14"/>
        <v>0.37735897400000001</v>
      </c>
      <c r="V10" s="25">
        <f t="shared" si="14"/>
        <v>0.36629897400000005</v>
      </c>
      <c r="W10" s="27">
        <f t="shared" si="14"/>
        <v>438942.60599999997</v>
      </c>
      <c r="X10" s="29">
        <f t="shared" si="14"/>
        <v>0.43894260600000001</v>
      </c>
      <c r="Y10" s="29">
        <f t="shared" si="14"/>
        <v>0.427882606</v>
      </c>
      <c r="Z10" s="27">
        <f t="shared" si="14"/>
        <v>226806.75</v>
      </c>
      <c r="AA10" s="25">
        <f t="shared" si="14"/>
        <v>0.22680675000000003</v>
      </c>
      <c r="AB10" s="25">
        <f t="shared" si="14"/>
        <v>0.21574675000000001</v>
      </c>
      <c r="AC10" s="27">
        <f t="shared" si="14"/>
        <v>337083.65</v>
      </c>
      <c r="AD10" s="25">
        <f t="shared" si="14"/>
        <v>0.33708364999999996</v>
      </c>
      <c r="AE10" s="25">
        <f t="shared" si="14"/>
        <v>0.32602364999999994</v>
      </c>
      <c r="AF10" s="30">
        <f>AVERAGE(AF5:AF9)</f>
        <v>1.106E-2</v>
      </c>
    </row>
    <row r="11" spans="1:32" x14ac:dyDescent="0.25">
      <c r="A11" s="31" t="s">
        <v>27</v>
      </c>
      <c r="B11" s="32">
        <f>C10/(STDEV(D5:D9))</f>
        <v>0.60794921249366352</v>
      </c>
      <c r="E11" s="32">
        <f>F10/(STDEV(G5:G9))</f>
        <v>0.85496619457108003</v>
      </c>
      <c r="H11" s="32">
        <f>I10/(STDEV(J5:J9))</f>
        <v>0.92507734759008109</v>
      </c>
      <c r="I11"/>
      <c r="J11"/>
      <c r="K11" s="32">
        <f>L10/(STDEV(M5:M9))</f>
        <v>0.68240598572574873</v>
      </c>
      <c r="N11" s="32">
        <f>O10/(STDEV(P5:P9))</f>
        <v>0.71037470419797599</v>
      </c>
      <c r="Q11" s="32">
        <f>R10/(STDEV(S5:S9))</f>
        <v>0.93547344479013173</v>
      </c>
      <c r="T11" s="32">
        <f>U10/(STDEV(V5:V9))</f>
        <v>1.6970242462582141</v>
      </c>
      <c r="U11" s="33"/>
      <c r="V11" s="33"/>
      <c r="W11" s="32">
        <f>X10/(STDEV(Y5:Y9))</f>
        <v>1.6749081123223297</v>
      </c>
      <c r="Z11" s="32">
        <f>AA10/(STDEV(AB5:AB9))</f>
        <v>0.86693044585102841</v>
      </c>
      <c r="AC11">
        <f>AD10/(STDEV(AE5:AE9))</f>
        <v>0.99948272354077505</v>
      </c>
    </row>
    <row r="12" spans="1:32" x14ac:dyDescent="0.25">
      <c r="B12" s="33"/>
      <c r="G12" s="33"/>
      <c r="H12" s="33"/>
      <c r="I12" s="33"/>
      <c r="J12" s="33"/>
      <c r="K12" s="33"/>
      <c r="L12" s="33"/>
      <c r="M12" s="33"/>
      <c r="N12" s="33"/>
    </row>
    <row r="13" spans="1:32" x14ac:dyDescent="0.25">
      <c r="A13">
        <v>1000000</v>
      </c>
      <c r="B13" t="s">
        <v>28</v>
      </c>
      <c r="G13" s="33"/>
      <c r="H13" s="33"/>
      <c r="I13" s="33"/>
      <c r="J13" s="33"/>
      <c r="K13" s="33"/>
    </row>
    <row r="14" spans="1:32" ht="20.25" x14ac:dyDescent="0.25">
      <c r="A14" s="2" t="s">
        <v>0</v>
      </c>
      <c r="B14" s="3" t="s">
        <v>1</v>
      </c>
      <c r="C14" s="4"/>
      <c r="D14" s="5"/>
      <c r="E14" s="3" t="s">
        <v>2</v>
      </c>
      <c r="F14" s="4"/>
      <c r="G14" s="5"/>
      <c r="H14" s="6" t="s">
        <v>3</v>
      </c>
      <c r="I14" s="7"/>
      <c r="J14" s="8"/>
      <c r="K14" s="3" t="s">
        <v>4</v>
      </c>
      <c r="L14" s="4"/>
      <c r="M14" s="5"/>
      <c r="N14" s="3" t="s">
        <v>5</v>
      </c>
      <c r="O14" s="4"/>
      <c r="P14" s="5"/>
      <c r="Q14" s="3" t="s">
        <v>6</v>
      </c>
      <c r="R14" s="4"/>
      <c r="S14" s="5"/>
      <c r="T14" s="3" t="s">
        <v>7</v>
      </c>
      <c r="U14" s="4"/>
      <c r="V14" s="5"/>
      <c r="W14" s="3" t="s">
        <v>8</v>
      </c>
      <c r="X14" s="4"/>
      <c r="Y14" s="5"/>
      <c r="Z14" s="3" t="s">
        <v>9</v>
      </c>
      <c r="AA14" s="4"/>
      <c r="AB14" s="5"/>
      <c r="AC14" s="3" t="s">
        <v>10</v>
      </c>
      <c r="AD14" s="4"/>
      <c r="AE14" s="5"/>
      <c r="AF14" s="9"/>
    </row>
    <row r="15" spans="1:32" x14ac:dyDescent="0.25">
      <c r="A15" s="10" t="s">
        <v>11</v>
      </c>
      <c r="B15" s="11" t="s">
        <v>12</v>
      </c>
      <c r="C15" s="12"/>
      <c r="D15" s="13"/>
      <c r="E15" s="11" t="s">
        <v>13</v>
      </c>
      <c r="F15" s="12"/>
      <c r="G15" s="13"/>
      <c r="H15" s="14" t="s">
        <v>14</v>
      </c>
      <c r="I15" s="15"/>
      <c r="J15" s="16"/>
      <c r="K15" s="11" t="s">
        <v>15</v>
      </c>
      <c r="L15" s="12"/>
      <c r="M15" s="13"/>
      <c r="N15" s="11" t="s">
        <v>16</v>
      </c>
      <c r="O15" s="12"/>
      <c r="P15" s="13"/>
      <c r="Q15" s="11" t="s">
        <v>17</v>
      </c>
      <c r="R15" s="12"/>
      <c r="S15" s="13"/>
      <c r="T15" s="11" t="s">
        <v>18</v>
      </c>
      <c r="U15" s="12"/>
      <c r="V15" s="13"/>
      <c r="W15" s="11" t="s">
        <v>19</v>
      </c>
      <c r="X15" s="12"/>
      <c r="Y15" s="13"/>
      <c r="Z15" s="11" t="s">
        <v>20</v>
      </c>
      <c r="AA15" s="12"/>
      <c r="AB15" s="13"/>
      <c r="AC15" s="11" t="s">
        <v>21</v>
      </c>
      <c r="AD15" s="12"/>
      <c r="AE15" s="13"/>
      <c r="AF15" s="17" t="s">
        <v>22</v>
      </c>
    </row>
    <row r="16" spans="1:32" x14ac:dyDescent="0.25">
      <c r="A16" s="18"/>
      <c r="B16" s="19" t="s">
        <v>23</v>
      </c>
      <c r="C16" s="19" t="s">
        <v>24</v>
      </c>
      <c r="D16" s="19" t="s">
        <v>25</v>
      </c>
      <c r="E16" s="19" t="s">
        <v>23</v>
      </c>
      <c r="F16" s="19" t="s">
        <v>24</v>
      </c>
      <c r="G16" s="19" t="s">
        <v>25</v>
      </c>
      <c r="H16" s="20" t="s">
        <v>23</v>
      </c>
      <c r="I16" s="20" t="s">
        <v>24</v>
      </c>
      <c r="J16" s="19" t="s">
        <v>25</v>
      </c>
      <c r="K16" s="19" t="s">
        <v>23</v>
      </c>
      <c r="L16" s="19" t="s">
        <v>24</v>
      </c>
      <c r="M16" s="19" t="s">
        <v>25</v>
      </c>
      <c r="N16" s="19" t="s">
        <v>23</v>
      </c>
      <c r="O16" s="19" t="s">
        <v>24</v>
      </c>
      <c r="P16" s="19" t="s">
        <v>25</v>
      </c>
      <c r="Q16" s="19" t="s">
        <v>23</v>
      </c>
      <c r="R16" s="19" t="s">
        <v>24</v>
      </c>
      <c r="S16" s="19" t="s">
        <v>25</v>
      </c>
      <c r="T16" s="19" t="s">
        <v>23</v>
      </c>
      <c r="U16" s="19" t="s">
        <v>24</v>
      </c>
      <c r="V16" s="19" t="s">
        <v>25</v>
      </c>
      <c r="W16" s="19" t="s">
        <v>23</v>
      </c>
      <c r="X16" s="19" t="s">
        <v>24</v>
      </c>
      <c r="Y16" s="19" t="s">
        <v>25</v>
      </c>
      <c r="Z16" s="34" t="s">
        <v>23</v>
      </c>
      <c r="AA16" s="19" t="s">
        <v>24</v>
      </c>
      <c r="AB16" s="19" t="s">
        <v>25</v>
      </c>
      <c r="AC16" s="19" t="s">
        <v>23</v>
      </c>
      <c r="AD16" s="19" t="s">
        <v>24</v>
      </c>
      <c r="AE16" s="19" t="s">
        <v>25</v>
      </c>
      <c r="AF16" s="21"/>
    </row>
    <row r="17" spans="1:32" x14ac:dyDescent="0.25">
      <c r="A17" s="22">
        <v>2016</v>
      </c>
      <c r="B17" s="23">
        <f>758806.81-A13</f>
        <v>-241193.18999999994</v>
      </c>
      <c r="C17" s="24">
        <f>B17/$A$1</f>
        <v>-0.24119318999999995</v>
      </c>
      <c r="D17" s="24">
        <f>C17-AF17</f>
        <v>-0.25369318999999996</v>
      </c>
      <c r="E17" s="23">
        <v>291344.57</v>
      </c>
      <c r="F17" s="24">
        <f>E17/$A$1</f>
        <v>0.29134457000000002</v>
      </c>
      <c r="G17" s="24">
        <f>F17-AF17</f>
        <v>0.27884457000000001</v>
      </c>
      <c r="H17" s="23">
        <v>315619.09999999998</v>
      </c>
      <c r="I17" s="25">
        <f>H17/$A$1</f>
        <v>0.31561909999999999</v>
      </c>
      <c r="J17" s="25">
        <f>I17-AF17</f>
        <v>0.30311909999999997</v>
      </c>
      <c r="K17" s="23">
        <v>7470.61</v>
      </c>
      <c r="L17" s="25">
        <f>K17/$A$1</f>
        <v>7.4706099999999999E-3</v>
      </c>
      <c r="M17" s="25">
        <f>L17-AF17</f>
        <v>-5.0293900000000008E-3</v>
      </c>
      <c r="N17" s="23">
        <f>944841.54-$A$13</f>
        <v>-55158.459999999963</v>
      </c>
      <c r="O17" s="25">
        <f>N17/$A$1</f>
        <v>-5.5158459999999965E-2</v>
      </c>
      <c r="P17" s="25">
        <f>O17-AF17</f>
        <v>-6.7658459999999962E-2</v>
      </c>
      <c r="Q17" s="23">
        <f>968475.17-$A$13</f>
        <v>-31524.829999999958</v>
      </c>
      <c r="R17" s="25">
        <f>Q17/$A$1</f>
        <v>-3.1524829999999955E-2</v>
      </c>
      <c r="S17" s="25">
        <f>R17-AF17</f>
        <v>-4.4024829999999959E-2</v>
      </c>
      <c r="T17" s="23">
        <v>153959.07999999999</v>
      </c>
      <c r="U17" s="25">
        <f>T17/$A$1</f>
        <v>0.15395908</v>
      </c>
      <c r="V17" s="25">
        <f>U17-AF17</f>
        <v>0.14145907999999999</v>
      </c>
      <c r="W17" s="23">
        <v>419917.57</v>
      </c>
      <c r="X17" s="25">
        <f>W17/$A$1</f>
        <v>0.41991757000000002</v>
      </c>
      <c r="Y17" s="25">
        <f>X17-AF17</f>
        <v>0.40741757000000001</v>
      </c>
      <c r="Z17" s="23">
        <v>617578.82999999996</v>
      </c>
      <c r="AA17" s="25">
        <f>Z17/$A$1</f>
        <v>0.61757882999999991</v>
      </c>
      <c r="AB17" s="25">
        <f>AA17-AF17</f>
        <v>0.60507882999999996</v>
      </c>
      <c r="AC17" s="23">
        <v>123175.28</v>
      </c>
      <c r="AD17" s="25">
        <f>AC17/$A$1</f>
        <v>0.12317528</v>
      </c>
      <c r="AE17" s="25">
        <f>AD17-AF17</f>
        <v>0.11067528</v>
      </c>
      <c r="AF17" s="24">
        <v>1.2500000000000001E-2</v>
      </c>
    </row>
    <row r="18" spans="1:32" x14ac:dyDescent="0.25">
      <c r="A18" s="22">
        <v>2017</v>
      </c>
      <c r="B18" s="23">
        <v>226432.22</v>
      </c>
      <c r="C18" s="24">
        <f t="shared" ref="C18:C21" si="15">B18/$A$1</f>
        <v>0.22643221999999999</v>
      </c>
      <c r="D18" s="24">
        <f t="shared" ref="D18:D21" si="16">C18-AF18</f>
        <v>0.21573222</v>
      </c>
      <c r="E18" s="23">
        <v>23763.83</v>
      </c>
      <c r="F18" s="24">
        <f t="shared" ref="F18:F21" si="17">E18/$A$1</f>
        <v>2.3763830000000003E-2</v>
      </c>
      <c r="G18" s="24">
        <f t="shared" ref="G18:G21" si="18">F18-AF18</f>
        <v>1.3063830000000004E-2</v>
      </c>
      <c r="H18" s="23">
        <f>977417.9-A13</f>
        <v>-22582.099999999977</v>
      </c>
      <c r="I18" s="25">
        <f t="shared" ref="I18:I21" si="19">H18/$A$1</f>
        <v>-2.2582099999999976E-2</v>
      </c>
      <c r="J18" s="25">
        <f t="shared" ref="J18:J21" si="20">I18-AF18</f>
        <v>-3.3282099999999974E-2</v>
      </c>
      <c r="K18" s="23">
        <v>158585.68</v>
      </c>
      <c r="L18" s="25">
        <f>K18/$A$1</f>
        <v>0.15858568000000001</v>
      </c>
      <c r="M18" s="25">
        <f t="shared" ref="M18:M21" si="21">L18-AF18</f>
        <v>0.14788568000000002</v>
      </c>
      <c r="N18" s="23">
        <v>21570.71</v>
      </c>
      <c r="O18" s="25">
        <f t="shared" ref="O18:O21" si="22">N18/$A$1</f>
        <v>2.157071E-2</v>
      </c>
      <c r="P18" s="25">
        <f t="shared" ref="P18:P21" si="23">O18-AF18</f>
        <v>1.087071E-2</v>
      </c>
      <c r="Q18" s="23">
        <v>361454.37</v>
      </c>
      <c r="R18" s="25">
        <f t="shared" ref="R18:R21" si="24">Q18/$A$1</f>
        <v>0.36145436999999997</v>
      </c>
      <c r="S18" s="25">
        <f t="shared" ref="S18:S21" si="25">R18-AF18</f>
        <v>0.35075436999999998</v>
      </c>
      <c r="T18" s="23">
        <v>437652.75</v>
      </c>
      <c r="U18" s="25">
        <f t="shared" ref="U18:U21" si="26">T18/$A$1</f>
        <v>0.43765274999999998</v>
      </c>
      <c r="V18" s="25">
        <f t="shared" ref="V18:V21" si="27">U18-AF18</f>
        <v>0.42695274999999999</v>
      </c>
      <c r="W18" s="23">
        <v>201807.21</v>
      </c>
      <c r="X18" s="25">
        <f t="shared" ref="X18:X21" si="28">W18/$A$1</f>
        <v>0.20180720999999999</v>
      </c>
      <c r="Y18" s="25">
        <f t="shared" ref="Y18:Y21" si="29">X18-AF18</f>
        <v>0.19110721</v>
      </c>
      <c r="Z18" s="23">
        <v>255633.75</v>
      </c>
      <c r="AA18" s="25">
        <f t="shared" ref="AA18:AA21" si="30">Z18/$A$1</f>
        <v>0.25563374999999999</v>
      </c>
      <c r="AB18" s="25">
        <f t="shared" ref="AB18:AB21" si="31">AA18-AF18</f>
        <v>0.24493375000000001</v>
      </c>
      <c r="AC18" s="23">
        <v>729778.44</v>
      </c>
      <c r="AD18" s="25">
        <f t="shared" ref="AD18:AD21" si="32">AC18/$A$1</f>
        <v>0.72977843999999992</v>
      </c>
      <c r="AE18" s="25">
        <f t="shared" ref="AE18:AE21" si="33">AD18-AF18</f>
        <v>0.71907843999999987</v>
      </c>
      <c r="AF18" s="24">
        <v>1.0699999999999999E-2</v>
      </c>
    </row>
    <row r="19" spans="1:32" x14ac:dyDescent="0.25">
      <c r="A19" s="22">
        <v>2018</v>
      </c>
      <c r="B19" s="23">
        <f>958701.24-A13</f>
        <v>-41298.760000000009</v>
      </c>
      <c r="C19" s="24">
        <f t="shared" si="15"/>
        <v>-4.1298760000000011E-2</v>
      </c>
      <c r="D19" s="24">
        <f t="shared" si="16"/>
        <v>-5.1998760000000012E-2</v>
      </c>
      <c r="E19" s="23">
        <f>844709.01-A13</f>
        <v>-155290.99</v>
      </c>
      <c r="F19" s="24">
        <f t="shared" si="17"/>
        <v>-0.15529098999999999</v>
      </c>
      <c r="G19" s="24">
        <f t="shared" si="18"/>
        <v>-0.16599098999999998</v>
      </c>
      <c r="H19" s="23">
        <f>929840.18-A1</f>
        <v>-70159.819999999949</v>
      </c>
      <c r="I19" s="25">
        <f t="shared" si="19"/>
        <v>-7.0159819999999942E-2</v>
      </c>
      <c r="J19" s="25">
        <f t="shared" si="20"/>
        <v>-8.0859819999999943E-2</v>
      </c>
      <c r="K19" s="23">
        <f>942798.61-A13</f>
        <v>-57201.390000000014</v>
      </c>
      <c r="L19" s="25">
        <f>K19/$A$1</f>
        <v>-5.7201390000000012E-2</v>
      </c>
      <c r="M19" s="25">
        <f t="shared" si="21"/>
        <v>-6.7901390000000006E-2</v>
      </c>
      <c r="N19" s="23">
        <f>848424.32-$A$13</f>
        <v>-151575.68000000005</v>
      </c>
      <c r="O19" s="25">
        <f t="shared" si="22"/>
        <v>-0.15157568000000005</v>
      </c>
      <c r="P19" s="25">
        <f t="shared" si="23"/>
        <v>-0.16227568000000003</v>
      </c>
      <c r="Q19" s="23">
        <v>427898.88</v>
      </c>
      <c r="R19" s="25">
        <f t="shared" si="24"/>
        <v>0.42789887999999998</v>
      </c>
      <c r="S19" s="25">
        <f t="shared" si="25"/>
        <v>0.41719887999999999</v>
      </c>
      <c r="T19" s="23">
        <v>383045.06</v>
      </c>
      <c r="U19" s="25">
        <f t="shared" si="26"/>
        <v>0.38304505999999999</v>
      </c>
      <c r="V19" s="25">
        <f t="shared" si="27"/>
        <v>0.37234506000000001</v>
      </c>
      <c r="W19" s="23">
        <v>409092.13</v>
      </c>
      <c r="X19" s="25">
        <f t="shared" si="28"/>
        <v>0.40909213</v>
      </c>
      <c r="Y19" s="25">
        <f t="shared" si="29"/>
        <v>0.39839213000000001</v>
      </c>
      <c r="Z19" s="23">
        <f>804922.42-A13</f>
        <v>-195077.57999999996</v>
      </c>
      <c r="AA19" s="25">
        <f t="shared" si="30"/>
        <v>-0.19507757999999994</v>
      </c>
      <c r="AB19" s="25">
        <f t="shared" si="31"/>
        <v>-0.20577757999999993</v>
      </c>
      <c r="AC19" s="23">
        <v>15632.25</v>
      </c>
      <c r="AD19" s="25">
        <f t="shared" si="32"/>
        <v>1.563225E-2</v>
      </c>
      <c r="AE19" s="25">
        <f t="shared" si="33"/>
        <v>4.9322500000000009E-3</v>
      </c>
      <c r="AF19" s="24">
        <v>1.0699999999999999E-2</v>
      </c>
    </row>
    <row r="20" spans="1:32" x14ac:dyDescent="0.25">
      <c r="A20" s="22">
        <v>2019</v>
      </c>
      <c r="B20" s="23">
        <v>213083.22</v>
      </c>
      <c r="C20" s="24">
        <f t="shared" si="15"/>
        <v>0.21308321999999999</v>
      </c>
      <c r="D20" s="24">
        <f t="shared" si="16"/>
        <v>0.20238322</v>
      </c>
      <c r="E20" s="23">
        <v>131987.82</v>
      </c>
      <c r="F20" s="24">
        <f t="shared" si="17"/>
        <v>0.13198782000000001</v>
      </c>
      <c r="G20" s="24">
        <f t="shared" si="18"/>
        <v>0.12128782</v>
      </c>
      <c r="H20" s="23">
        <v>117687.46</v>
      </c>
      <c r="I20" s="25">
        <f t="shared" si="19"/>
        <v>0.11768746000000001</v>
      </c>
      <c r="J20" s="25">
        <f t="shared" si="20"/>
        <v>0.10698746000000001</v>
      </c>
      <c r="K20" s="23">
        <v>206243.5</v>
      </c>
      <c r="L20" s="25">
        <f>K20/$A$1</f>
        <v>0.2062435</v>
      </c>
      <c r="M20" s="25">
        <f t="shared" si="21"/>
        <v>0.19554350000000001</v>
      </c>
      <c r="N20" s="23">
        <v>218260.58</v>
      </c>
      <c r="O20" s="25">
        <f t="shared" si="22"/>
        <v>0.21826057999999998</v>
      </c>
      <c r="P20" s="25">
        <f t="shared" si="23"/>
        <v>0.20756057999999999</v>
      </c>
      <c r="Q20" s="23">
        <v>134741.79</v>
      </c>
      <c r="R20" s="25">
        <f t="shared" si="24"/>
        <v>0.13474179</v>
      </c>
      <c r="S20" s="25">
        <f t="shared" si="25"/>
        <v>0.12404179</v>
      </c>
      <c r="T20" s="23">
        <v>126930.64</v>
      </c>
      <c r="U20" s="25">
        <f t="shared" si="26"/>
        <v>0.12693064000000001</v>
      </c>
      <c r="V20" s="25">
        <f t="shared" si="27"/>
        <v>0.11623064000000001</v>
      </c>
      <c r="W20" s="23">
        <v>101784.83</v>
      </c>
      <c r="X20" s="25">
        <f t="shared" si="28"/>
        <v>0.10178483000000001</v>
      </c>
      <c r="Y20" s="25">
        <f t="shared" si="29"/>
        <v>9.1084830000000006E-2</v>
      </c>
      <c r="Z20" s="23">
        <v>46446.09</v>
      </c>
      <c r="AA20" s="25">
        <f t="shared" si="30"/>
        <v>4.6446089999999995E-2</v>
      </c>
      <c r="AB20" s="25">
        <f t="shared" si="31"/>
        <v>3.5746089999999994E-2</v>
      </c>
      <c r="AC20" s="23">
        <v>329518.90999999997</v>
      </c>
      <c r="AD20" s="25">
        <f t="shared" si="32"/>
        <v>0.32951891</v>
      </c>
      <c r="AE20" s="25">
        <f t="shared" si="33"/>
        <v>0.31881891000000001</v>
      </c>
      <c r="AF20" s="24">
        <v>1.0699999999999999E-2</v>
      </c>
    </row>
    <row r="21" spans="1:32" x14ac:dyDescent="0.25">
      <c r="A21" s="22">
        <v>2020</v>
      </c>
      <c r="B21" s="23">
        <v>164283.79</v>
      </c>
      <c r="C21" s="24">
        <f t="shared" si="15"/>
        <v>0.16428379000000001</v>
      </c>
      <c r="D21" s="24">
        <f t="shared" si="16"/>
        <v>0.15358379000000003</v>
      </c>
      <c r="E21" s="23">
        <v>169481.16</v>
      </c>
      <c r="F21" s="24">
        <f t="shared" si="17"/>
        <v>0.16948115999999999</v>
      </c>
      <c r="G21" s="24">
        <f t="shared" si="18"/>
        <v>0.15878116</v>
      </c>
      <c r="H21" s="23">
        <v>1147569.98</v>
      </c>
      <c r="I21" s="25">
        <f t="shared" si="19"/>
        <v>1.1475699799999999</v>
      </c>
      <c r="J21" s="25">
        <f t="shared" si="20"/>
        <v>1.1368699799999999</v>
      </c>
      <c r="K21" s="23">
        <v>27939.74</v>
      </c>
      <c r="L21" s="25">
        <f>K21/$A$1</f>
        <v>2.7939740000000001E-2</v>
      </c>
      <c r="M21" s="25">
        <f t="shared" si="21"/>
        <v>1.7239740000000003E-2</v>
      </c>
      <c r="N21" s="23">
        <v>96236.94</v>
      </c>
      <c r="O21" s="25">
        <f t="shared" si="22"/>
        <v>9.6236940000000007E-2</v>
      </c>
      <c r="P21" s="25">
        <f t="shared" si="23"/>
        <v>8.5536940000000006E-2</v>
      </c>
      <c r="Q21" s="23">
        <v>6809.68</v>
      </c>
      <c r="R21" s="25">
        <f t="shared" si="24"/>
        <v>6.8096800000000002E-3</v>
      </c>
      <c r="S21" s="25">
        <f t="shared" si="25"/>
        <v>-3.8903199999999992E-3</v>
      </c>
      <c r="T21" s="23">
        <v>257917.03</v>
      </c>
      <c r="U21" s="25">
        <f t="shared" si="26"/>
        <v>0.25791702999999999</v>
      </c>
      <c r="V21" s="25">
        <f t="shared" si="27"/>
        <v>0.24721703</v>
      </c>
      <c r="W21" s="23">
        <v>133840.45000000001</v>
      </c>
      <c r="X21" s="25">
        <f t="shared" si="28"/>
        <v>0.13384045</v>
      </c>
      <c r="Y21" s="25">
        <f t="shared" si="29"/>
        <v>0.12314045</v>
      </c>
      <c r="Z21" s="23">
        <v>4907</v>
      </c>
      <c r="AA21" s="25">
        <f t="shared" si="30"/>
        <v>4.9069999999999999E-3</v>
      </c>
      <c r="AB21" s="25">
        <f t="shared" si="31"/>
        <v>-5.7929999999999995E-3</v>
      </c>
      <c r="AC21" s="23">
        <v>176491.14</v>
      </c>
      <c r="AD21" s="25">
        <f t="shared" si="32"/>
        <v>0.17649114000000002</v>
      </c>
      <c r="AE21" s="25">
        <f t="shared" si="33"/>
        <v>0.16579114000000003</v>
      </c>
      <c r="AF21" s="24">
        <v>1.0699999999999999E-2</v>
      </c>
    </row>
    <row r="22" spans="1:32" x14ac:dyDescent="0.25">
      <c r="A22" s="26" t="s">
        <v>26</v>
      </c>
      <c r="B22" s="27">
        <f t="shared" ref="B22" si="34">AVERAGE(B17:B21)</f>
        <v>64261.456000000006</v>
      </c>
      <c r="C22" s="24">
        <f>AVERAGE(C17:C21)</f>
        <v>6.4261456000000008E-2</v>
      </c>
      <c r="D22" s="24">
        <f>AVERAGE(D17:D21)</f>
        <v>5.3201456000000015E-2</v>
      </c>
      <c r="E22" s="27">
        <f t="shared" ref="E22" si="35">AVERAGE(E17:E21)</f>
        <v>92257.278000000006</v>
      </c>
      <c r="F22" s="24">
        <f>AVERAGE(F17:F21)</f>
        <v>9.2257278000000012E-2</v>
      </c>
      <c r="G22" s="24">
        <f>AVERAGE(G17:G21)</f>
        <v>8.1197278000000012E-2</v>
      </c>
      <c r="H22" s="27">
        <f t="shared" ref="H22:AE22" si="36">AVERAGE(H17:H21)</f>
        <v>297626.924</v>
      </c>
      <c r="I22" s="28">
        <f t="shared" si="36"/>
        <v>0.29762692399999996</v>
      </c>
      <c r="J22" s="25">
        <f t="shared" si="36"/>
        <v>0.286566924</v>
      </c>
      <c r="K22" s="27">
        <f t="shared" si="36"/>
        <v>68607.627999999997</v>
      </c>
      <c r="L22" s="25">
        <f t="shared" si="36"/>
        <v>6.8607628000000004E-2</v>
      </c>
      <c r="M22" s="25">
        <f t="shared" si="36"/>
        <v>5.7547628000000003E-2</v>
      </c>
      <c r="N22" s="27">
        <f t="shared" si="36"/>
        <v>25866.817999999992</v>
      </c>
      <c r="O22" s="25">
        <f t="shared" si="36"/>
        <v>2.5866817999999993E-2</v>
      </c>
      <c r="P22" s="25">
        <f t="shared" si="36"/>
        <v>1.4806817999999999E-2</v>
      </c>
      <c r="Q22" s="27">
        <f t="shared" si="36"/>
        <v>179875.97800000003</v>
      </c>
      <c r="R22" s="25">
        <f t="shared" si="36"/>
        <v>0.17987597800000002</v>
      </c>
      <c r="S22" s="25">
        <f t="shared" si="36"/>
        <v>0.16881597800000001</v>
      </c>
      <c r="T22" s="27">
        <f t="shared" si="36"/>
        <v>271900.91199999995</v>
      </c>
      <c r="U22" s="25">
        <f t="shared" si="36"/>
        <v>0.27190091199999999</v>
      </c>
      <c r="V22" s="25">
        <f t="shared" si="36"/>
        <v>0.26084091200000004</v>
      </c>
      <c r="W22" s="27">
        <f t="shared" si="36"/>
        <v>253288.43799999999</v>
      </c>
      <c r="X22" s="25">
        <f t="shared" si="36"/>
        <v>0.25328843799999995</v>
      </c>
      <c r="Y22" s="25">
        <f t="shared" si="36"/>
        <v>0.24222843799999999</v>
      </c>
      <c r="Z22" s="27">
        <f t="shared" si="36"/>
        <v>145897.61799999999</v>
      </c>
      <c r="AA22" s="25">
        <f t="shared" si="36"/>
        <v>0.14589761799999998</v>
      </c>
      <c r="AB22" s="25">
        <f t="shared" si="36"/>
        <v>0.13483761799999999</v>
      </c>
      <c r="AC22" s="27">
        <f t="shared" si="36"/>
        <v>274919.20400000003</v>
      </c>
      <c r="AD22" s="25">
        <f t="shared" si="36"/>
        <v>0.27491920399999997</v>
      </c>
      <c r="AE22" s="25">
        <f t="shared" si="36"/>
        <v>0.26385920399999996</v>
      </c>
      <c r="AF22" s="9"/>
    </row>
    <row r="23" spans="1:32" x14ac:dyDescent="0.25">
      <c r="A23" t="s">
        <v>27</v>
      </c>
      <c r="B23" s="32">
        <f>C22/(STDEV(D17:D21))</f>
        <v>0.31736522276945034</v>
      </c>
      <c r="E23" s="32">
        <f>F22/(STDEV(G17:G21))</f>
        <v>0.55027469806516704</v>
      </c>
      <c r="G23" s="32"/>
      <c r="H23" s="32">
        <f>I22/(STDEV(J17:J21))</f>
        <v>0.59739520897307719</v>
      </c>
      <c r="I23" s="32"/>
      <c r="J23" s="32"/>
      <c r="K23" s="32">
        <f>L22/(STDEV(M17:M21))</f>
        <v>0.62317874416460817</v>
      </c>
      <c r="L23" s="32"/>
      <c r="M23" s="32"/>
      <c r="N23" s="32">
        <f>O22/(STDEV(P17:P21))</f>
        <v>0.18252881991377148</v>
      </c>
      <c r="O23" s="32"/>
      <c r="P23" s="32"/>
      <c r="Q23" s="32">
        <f>R22/(STDEV(S17:S21))</f>
        <v>0.86761796413856218</v>
      </c>
      <c r="R23" s="32"/>
      <c r="S23" s="32"/>
      <c r="T23" s="32">
        <f>U22/(STDEV(V17:V21))</f>
        <v>1.9807236386554328</v>
      </c>
      <c r="W23" s="32">
        <f>X22/(STDEV(Y17:Y21))</f>
        <v>1.6763937867230818</v>
      </c>
      <c r="Z23" s="32">
        <f>AA22/(STDEV(AB17:AB21))</f>
        <v>0.47406427843016602</v>
      </c>
      <c r="AC23" s="32">
        <f>AD22/(STDEV(AE17:AE21))</f>
        <v>0.98694861317964921</v>
      </c>
    </row>
    <row r="24" spans="1:32" x14ac:dyDescent="0.25">
      <c r="A24">
        <v>1000000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32" ht="20.25" x14ac:dyDescent="0.25">
      <c r="A25" s="2" t="s">
        <v>29</v>
      </c>
      <c r="B25" s="3" t="s">
        <v>1</v>
      </c>
      <c r="C25" s="4"/>
      <c r="D25" s="5"/>
      <c r="E25" s="3" t="s">
        <v>2</v>
      </c>
      <c r="F25" s="4"/>
      <c r="G25" s="5"/>
      <c r="H25" s="6" t="s">
        <v>3</v>
      </c>
      <c r="I25" s="7"/>
      <c r="J25" s="8"/>
      <c r="K25" s="3" t="s">
        <v>4</v>
      </c>
      <c r="L25" s="4"/>
      <c r="M25" s="5"/>
      <c r="N25" s="3" t="s">
        <v>5</v>
      </c>
      <c r="O25" s="4"/>
      <c r="P25" s="5"/>
      <c r="Q25" s="3" t="s">
        <v>6</v>
      </c>
      <c r="R25" s="4"/>
      <c r="S25" s="5"/>
      <c r="T25" s="3" t="s">
        <v>7</v>
      </c>
      <c r="U25" s="4"/>
      <c r="V25" s="5"/>
      <c r="W25" s="3" t="s">
        <v>8</v>
      </c>
      <c r="X25" s="4"/>
      <c r="Y25" s="5"/>
      <c r="Z25" s="3" t="s">
        <v>9</v>
      </c>
      <c r="AA25" s="4"/>
      <c r="AB25" s="5"/>
      <c r="AC25" s="3" t="s">
        <v>10</v>
      </c>
      <c r="AD25" s="4"/>
      <c r="AE25" s="5"/>
      <c r="AF25" s="9"/>
    </row>
    <row r="26" spans="1:32" x14ac:dyDescent="0.25">
      <c r="A26" s="10" t="s">
        <v>11</v>
      </c>
      <c r="B26" s="11" t="s">
        <v>12</v>
      </c>
      <c r="C26" s="12"/>
      <c r="D26" s="13"/>
      <c r="E26" s="11" t="s">
        <v>13</v>
      </c>
      <c r="F26" s="12"/>
      <c r="G26" s="13"/>
      <c r="H26" s="14" t="s">
        <v>14</v>
      </c>
      <c r="I26" s="15"/>
      <c r="J26" s="16"/>
      <c r="K26" s="11" t="s">
        <v>15</v>
      </c>
      <c r="L26" s="12"/>
      <c r="M26" s="13"/>
      <c r="N26" s="11" t="s">
        <v>16</v>
      </c>
      <c r="O26" s="12"/>
      <c r="P26" s="13"/>
      <c r="Q26" s="11" t="s">
        <v>17</v>
      </c>
      <c r="R26" s="12"/>
      <c r="S26" s="13"/>
      <c r="T26" s="11" t="s">
        <v>18</v>
      </c>
      <c r="U26" s="12"/>
      <c r="V26" s="13"/>
      <c r="W26" s="11" t="s">
        <v>19</v>
      </c>
      <c r="X26" s="12"/>
      <c r="Y26" s="13"/>
      <c r="Z26" s="11" t="s">
        <v>20</v>
      </c>
      <c r="AA26" s="12"/>
      <c r="AB26" s="13"/>
      <c r="AC26" s="35" t="s">
        <v>21</v>
      </c>
      <c r="AD26" s="36"/>
      <c r="AE26" s="37"/>
      <c r="AF26" s="17" t="s">
        <v>22</v>
      </c>
    </row>
    <row r="27" spans="1:32" x14ac:dyDescent="0.25">
      <c r="A27" s="18"/>
      <c r="B27" s="19" t="s">
        <v>23</v>
      </c>
      <c r="C27" s="19" t="s">
        <v>24</v>
      </c>
      <c r="D27" s="19" t="s">
        <v>25</v>
      </c>
      <c r="E27" s="19" t="s">
        <v>23</v>
      </c>
      <c r="F27" s="19" t="s">
        <v>24</v>
      </c>
      <c r="G27" s="19" t="s">
        <v>25</v>
      </c>
      <c r="H27" s="20" t="s">
        <v>23</v>
      </c>
      <c r="I27" s="20" t="s">
        <v>24</v>
      </c>
      <c r="J27" s="19" t="s">
        <v>25</v>
      </c>
      <c r="K27" s="19" t="s">
        <v>23</v>
      </c>
      <c r="L27" s="19" t="s">
        <v>24</v>
      </c>
      <c r="M27" s="19" t="s">
        <v>25</v>
      </c>
      <c r="N27" s="19" t="s">
        <v>23</v>
      </c>
      <c r="O27" s="19" t="s">
        <v>24</v>
      </c>
      <c r="P27" s="19" t="s">
        <v>25</v>
      </c>
      <c r="Q27" s="19" t="s">
        <v>23</v>
      </c>
      <c r="R27" s="19" t="s">
        <v>24</v>
      </c>
      <c r="S27" s="19" t="s">
        <v>25</v>
      </c>
      <c r="T27" s="19" t="s">
        <v>23</v>
      </c>
      <c r="U27" s="19" t="s">
        <v>24</v>
      </c>
      <c r="V27" s="19" t="s">
        <v>25</v>
      </c>
      <c r="W27" s="19" t="s">
        <v>23</v>
      </c>
      <c r="X27" s="19" t="s">
        <v>24</v>
      </c>
      <c r="Y27" s="19" t="s">
        <v>25</v>
      </c>
      <c r="Z27" s="19" t="s">
        <v>23</v>
      </c>
      <c r="AA27" s="19" t="s">
        <v>24</v>
      </c>
      <c r="AB27" s="19" t="s">
        <v>25</v>
      </c>
      <c r="AC27" s="38" t="s">
        <v>23</v>
      </c>
      <c r="AD27" s="19" t="s">
        <v>24</v>
      </c>
      <c r="AE27" s="19" t="s">
        <v>25</v>
      </c>
      <c r="AF27" s="21"/>
    </row>
    <row r="28" spans="1:32" x14ac:dyDescent="0.25">
      <c r="A28" s="22">
        <v>2016</v>
      </c>
      <c r="B28" s="23">
        <v>212181.93</v>
      </c>
      <c r="C28" s="24">
        <f>B28/$A$1</f>
        <v>0.21218192999999999</v>
      </c>
      <c r="D28" s="24">
        <f>C28-$AF28</f>
        <v>0.19968192999999998</v>
      </c>
      <c r="E28" s="23">
        <v>412927.6</v>
      </c>
      <c r="F28" s="24">
        <f>E28/$A$1</f>
        <v>0.41292759999999995</v>
      </c>
      <c r="G28" s="24">
        <f>F28-$AF28</f>
        <v>0.40042759999999994</v>
      </c>
      <c r="H28" s="23">
        <v>391396.95</v>
      </c>
      <c r="I28" s="25">
        <f>H28/$A$1</f>
        <v>0.39139695000000002</v>
      </c>
      <c r="J28" s="24">
        <f>I28-$AF28</f>
        <v>0.37889695000000001</v>
      </c>
      <c r="K28" s="23">
        <v>286257.33</v>
      </c>
      <c r="L28" s="25">
        <f>K28/$A$1</f>
        <v>0.28625733000000003</v>
      </c>
      <c r="M28" s="24">
        <f>L28-$AF28</f>
        <v>0.27375733000000002</v>
      </c>
      <c r="N28" s="23">
        <v>388993.5</v>
      </c>
      <c r="O28" s="25">
        <f t="shared" ref="O28:O31" si="37">N28/$A$1</f>
        <v>0.38899349999999999</v>
      </c>
      <c r="P28" s="24">
        <f>O28-$AF28</f>
        <v>0.37649349999999998</v>
      </c>
      <c r="Q28" s="23">
        <v>272658</v>
      </c>
      <c r="R28" s="25">
        <f>Q28/$A$1</f>
        <v>0.27265800000000001</v>
      </c>
      <c r="S28" s="24">
        <f>R28-$AF28</f>
        <v>0.260158</v>
      </c>
      <c r="T28" s="23">
        <v>308438.90000000002</v>
      </c>
      <c r="U28" s="25">
        <f>T28/$A$1</f>
        <v>0.30843890000000002</v>
      </c>
      <c r="V28" s="24">
        <f>U28-$AF28</f>
        <v>0.2959389</v>
      </c>
      <c r="W28" s="23">
        <v>167258.01</v>
      </c>
      <c r="X28" s="25">
        <f>W28/$A$1</f>
        <v>0.16725801000000001</v>
      </c>
      <c r="Y28" s="24">
        <f>X28-$AF28</f>
        <v>0.15475801</v>
      </c>
      <c r="Z28" s="23">
        <v>253811.18</v>
      </c>
      <c r="AA28" s="25">
        <f>Z28/$A$1</f>
        <v>0.25381117999999997</v>
      </c>
      <c r="AB28" s="24">
        <f>AA28-$AF28</f>
        <v>0.24131117999999996</v>
      </c>
      <c r="AC28" s="39">
        <v>295520.5</v>
      </c>
      <c r="AD28" s="25">
        <f>AC28/$A$1</f>
        <v>0.29552050000000002</v>
      </c>
      <c r="AE28" s="24">
        <f>AD28-$AF28</f>
        <v>0.28302050000000001</v>
      </c>
      <c r="AF28" s="24">
        <v>1.2500000000000001E-2</v>
      </c>
    </row>
    <row r="29" spans="1:32" x14ac:dyDescent="0.25">
      <c r="A29" s="22">
        <v>2017</v>
      </c>
      <c r="B29" s="23">
        <v>202187.7</v>
      </c>
      <c r="C29" s="24">
        <f t="shared" ref="C29:F32" si="38">B29/$A$1</f>
        <v>0.2021877</v>
      </c>
      <c r="D29" s="24">
        <f>C29-$AF29</f>
        <v>0.19148770000000001</v>
      </c>
      <c r="E29" s="23">
        <v>153658.67000000001</v>
      </c>
      <c r="F29" s="24">
        <f t="shared" si="38"/>
        <v>0.15365867000000002</v>
      </c>
      <c r="G29" s="24">
        <f t="shared" ref="G29:G32" si="39">F29-$AF29</f>
        <v>0.14295867000000004</v>
      </c>
      <c r="H29" s="23">
        <v>171133.54</v>
      </c>
      <c r="I29" s="25">
        <f t="shared" ref="I29:I32" si="40">H29/$A$1</f>
        <v>0.17113354</v>
      </c>
      <c r="J29" s="24">
        <f t="shared" ref="J29:J32" si="41">I29-$AF29</f>
        <v>0.16043354000000001</v>
      </c>
      <c r="K29" s="23">
        <v>98670.39</v>
      </c>
      <c r="L29" s="25">
        <f>K29/$A$1</f>
        <v>9.8670389999999997E-2</v>
      </c>
      <c r="M29" s="24">
        <f t="shared" ref="M29:M32" si="42">L29-$AF29</f>
        <v>8.7970389999999996E-2</v>
      </c>
      <c r="N29" s="23">
        <v>201937.33</v>
      </c>
      <c r="O29" s="25">
        <f t="shared" si="37"/>
        <v>0.20193733</v>
      </c>
      <c r="P29" s="24">
        <f t="shared" ref="P29:P32" si="43">O29-$AF29</f>
        <v>0.19123733000000001</v>
      </c>
      <c r="Q29" s="23">
        <v>36101.360000000001</v>
      </c>
      <c r="R29" s="25">
        <f t="shared" ref="R29:R32" si="44">Q29/$A$1</f>
        <v>3.6101359999999999E-2</v>
      </c>
      <c r="S29" s="24">
        <f t="shared" ref="S29:S32" si="45">R29-$AF29</f>
        <v>2.5401359999999998E-2</v>
      </c>
      <c r="T29" s="23">
        <v>66694.92</v>
      </c>
      <c r="U29" s="25">
        <f t="shared" ref="U29:U32" si="46">T29/$A$1</f>
        <v>6.6694920000000005E-2</v>
      </c>
      <c r="V29" s="24">
        <f t="shared" ref="V29:V32" si="47">U29-$AF29</f>
        <v>5.5994920000000004E-2</v>
      </c>
      <c r="W29" s="23">
        <v>83568.89</v>
      </c>
      <c r="X29" s="25">
        <f t="shared" ref="X29:X32" si="48">W29/$A$1</f>
        <v>8.3568889999999993E-2</v>
      </c>
      <c r="Y29" s="24">
        <f t="shared" ref="Y29:Y32" si="49">X29-$AF29</f>
        <v>7.2868889999999992E-2</v>
      </c>
      <c r="Z29" s="23">
        <v>137645.87</v>
      </c>
      <c r="AA29" s="25">
        <f t="shared" ref="AA29:AA32" si="50">Z29/$A$1</f>
        <v>0.13764587</v>
      </c>
      <c r="AB29" s="24">
        <f t="shared" ref="AB29:AB32" si="51">AA29-$AF29</f>
        <v>0.12694587000000002</v>
      </c>
      <c r="AC29" s="39">
        <v>118919.24</v>
      </c>
      <c r="AD29" s="25">
        <f t="shared" ref="AD29:AD32" si="52">AC29/$A$1</f>
        <v>0.11891924000000001</v>
      </c>
      <c r="AE29" s="24">
        <f t="shared" ref="AE29:AE32" si="53">AD29-$AF29</f>
        <v>0.10821924000000001</v>
      </c>
      <c r="AF29" s="24">
        <v>1.0699999999999999E-2</v>
      </c>
    </row>
    <row r="30" spans="1:32" x14ac:dyDescent="0.25">
      <c r="A30" s="22">
        <v>2018</v>
      </c>
      <c r="B30" s="23">
        <f>844528.75-A1</f>
        <v>-155471.25</v>
      </c>
      <c r="C30" s="24">
        <f t="shared" si="38"/>
        <v>-0.15547125000000001</v>
      </c>
      <c r="D30" s="24">
        <f t="shared" ref="D30:D32" si="54">C30-$AF30</f>
        <v>-0.16617124999999999</v>
      </c>
      <c r="E30" s="23">
        <f>742703.89-A1</f>
        <v>-257296.11</v>
      </c>
      <c r="F30" s="24">
        <f t="shared" si="38"/>
        <v>-0.25729610999999997</v>
      </c>
      <c r="G30" s="24">
        <f t="shared" si="39"/>
        <v>-0.26799610999999995</v>
      </c>
      <c r="H30" s="23">
        <f>920466.82-1000000</f>
        <v>-79533.180000000051</v>
      </c>
      <c r="I30" s="25">
        <f t="shared" si="40"/>
        <v>-7.9533180000000051E-2</v>
      </c>
      <c r="J30" s="24">
        <f t="shared" si="41"/>
        <v>-9.0233180000000052E-2</v>
      </c>
      <c r="K30" s="23">
        <v>16613.63</v>
      </c>
      <c r="L30" s="25">
        <f>K30/$A$1</f>
        <v>1.6613630000000001E-2</v>
      </c>
      <c r="M30" s="24">
        <f t="shared" si="42"/>
        <v>5.9136300000000013E-3</v>
      </c>
      <c r="N30" s="23">
        <v>44082.74</v>
      </c>
      <c r="O30" s="25">
        <f t="shared" si="37"/>
        <v>4.4082739999999995E-2</v>
      </c>
      <c r="P30" s="24">
        <f t="shared" si="43"/>
        <v>3.3382739999999994E-2</v>
      </c>
      <c r="Q30" s="23">
        <f>879969.17-A1</f>
        <v>-120030.82999999996</v>
      </c>
      <c r="R30" s="25">
        <f t="shared" si="44"/>
        <v>-0.12003082999999996</v>
      </c>
      <c r="S30" s="24">
        <f t="shared" si="45"/>
        <v>-0.13073082999999996</v>
      </c>
      <c r="T30" s="23">
        <f>939674.14-A1</f>
        <v>-60325.859999999986</v>
      </c>
      <c r="U30" s="25">
        <f t="shared" si="46"/>
        <v>-6.0325859999999988E-2</v>
      </c>
      <c r="V30" s="24">
        <f t="shared" si="47"/>
        <v>-7.1025859999999982E-2</v>
      </c>
      <c r="W30" s="23">
        <f>999058.63-A1</f>
        <v>-941.36999999999534</v>
      </c>
      <c r="X30" s="25">
        <f t="shared" si="48"/>
        <v>-9.4136999999999531E-4</v>
      </c>
      <c r="Y30" s="24">
        <f t="shared" si="49"/>
        <v>-1.1641369999999995E-2</v>
      </c>
      <c r="Z30" s="23">
        <v>242274.77</v>
      </c>
      <c r="AA30" s="25">
        <f t="shared" si="50"/>
        <v>0.24227477</v>
      </c>
      <c r="AB30" s="24">
        <f t="shared" si="51"/>
        <v>0.23157477000000001</v>
      </c>
      <c r="AC30" s="39">
        <v>208937.34</v>
      </c>
      <c r="AD30" s="25">
        <f t="shared" si="52"/>
        <v>0.20893734</v>
      </c>
      <c r="AE30" s="24">
        <f t="shared" si="53"/>
        <v>0.19823734000000001</v>
      </c>
      <c r="AF30" s="24">
        <v>1.0699999999999999E-2</v>
      </c>
    </row>
    <row r="31" spans="1:32" x14ac:dyDescent="0.25">
      <c r="A31" s="22">
        <v>2019</v>
      </c>
      <c r="B31" s="23">
        <v>167638.54999999999</v>
      </c>
      <c r="C31" s="24">
        <f t="shared" si="38"/>
        <v>0.16763855</v>
      </c>
      <c r="D31" s="24">
        <f t="shared" si="54"/>
        <v>0.15693855000000001</v>
      </c>
      <c r="E31" s="23">
        <v>128162.38</v>
      </c>
      <c r="F31" s="24">
        <f t="shared" si="38"/>
        <v>0.12816237999999999</v>
      </c>
      <c r="G31" s="24">
        <f>F31-$AF31</f>
        <v>0.11746237999999999</v>
      </c>
      <c r="H31" s="23">
        <v>255693.84</v>
      </c>
      <c r="I31" s="25">
        <f t="shared" si="40"/>
        <v>0.25569384000000001</v>
      </c>
      <c r="J31" s="24">
        <f t="shared" si="41"/>
        <v>0.24499384000000002</v>
      </c>
      <c r="K31" s="23">
        <v>154009.17000000001</v>
      </c>
      <c r="L31" s="25">
        <f>K31/$A$1</f>
        <v>0.15400917</v>
      </c>
      <c r="M31" s="24">
        <f t="shared" si="42"/>
        <v>0.14330917000000001</v>
      </c>
      <c r="N31" s="23">
        <v>261191.64</v>
      </c>
      <c r="O31" s="25">
        <f t="shared" si="37"/>
        <v>0.26119164</v>
      </c>
      <c r="P31" s="24">
        <f t="shared" si="43"/>
        <v>0.25049164000000002</v>
      </c>
      <c r="Q31" s="23">
        <v>276443.38</v>
      </c>
      <c r="R31" s="25">
        <f t="shared" si="44"/>
        <v>0.27644338000000002</v>
      </c>
      <c r="S31" s="24">
        <f t="shared" si="45"/>
        <v>0.26574338000000003</v>
      </c>
      <c r="T31" s="23">
        <v>250937.04</v>
      </c>
      <c r="U31" s="25">
        <f t="shared" si="46"/>
        <v>0.25093704</v>
      </c>
      <c r="V31" s="24">
        <f t="shared" si="47"/>
        <v>0.24023704000000001</v>
      </c>
      <c r="W31" s="23">
        <v>217619.64</v>
      </c>
      <c r="X31" s="25">
        <f t="shared" si="48"/>
        <v>0.21761964</v>
      </c>
      <c r="Y31" s="24">
        <f t="shared" si="49"/>
        <v>0.20691964000000002</v>
      </c>
      <c r="Z31" s="23">
        <v>213393.65</v>
      </c>
      <c r="AA31" s="25">
        <f t="shared" si="50"/>
        <v>0.21339364999999999</v>
      </c>
      <c r="AB31" s="24">
        <f t="shared" si="51"/>
        <v>0.20269365</v>
      </c>
      <c r="AC31" s="39">
        <v>141992.04999999999</v>
      </c>
      <c r="AD31" s="25">
        <f t="shared" si="52"/>
        <v>0.14199204999999998</v>
      </c>
      <c r="AE31" s="24">
        <f t="shared" si="53"/>
        <v>0.13129204999999999</v>
      </c>
      <c r="AF31" s="24">
        <v>1.0699999999999999E-2</v>
      </c>
    </row>
    <row r="32" spans="1:32" x14ac:dyDescent="0.25">
      <c r="A32" s="22">
        <v>2020</v>
      </c>
      <c r="B32" s="23">
        <v>1145980.69</v>
      </c>
      <c r="C32" s="24">
        <f t="shared" si="38"/>
        <v>1.14598069</v>
      </c>
      <c r="D32" s="24">
        <f t="shared" si="54"/>
        <v>1.1352806900000001</v>
      </c>
      <c r="E32" s="23">
        <v>203099.01</v>
      </c>
      <c r="F32" s="24">
        <f t="shared" si="38"/>
        <v>0.20309901</v>
      </c>
      <c r="G32" s="24">
        <f t="shared" si="39"/>
        <v>0.19239901000000001</v>
      </c>
      <c r="H32" s="23">
        <v>277414.77</v>
      </c>
      <c r="I32" s="25">
        <f t="shared" si="40"/>
        <v>0.27741477000000003</v>
      </c>
      <c r="J32" s="24">
        <f t="shared" si="41"/>
        <v>0.26671477000000005</v>
      </c>
      <c r="K32" s="23">
        <v>374803.32</v>
      </c>
      <c r="L32" s="25">
        <f>K32/$A$1</f>
        <v>0.37480332</v>
      </c>
      <c r="M32" s="24">
        <f t="shared" si="42"/>
        <v>0.36410332000000001</v>
      </c>
      <c r="N32" s="23">
        <v>213984.54</v>
      </c>
      <c r="O32" s="25">
        <f>N32/$A$1</f>
        <v>0.21398454</v>
      </c>
      <c r="P32" s="24">
        <f t="shared" si="43"/>
        <v>0.20328454000000001</v>
      </c>
      <c r="Q32" s="23">
        <v>144605.78</v>
      </c>
      <c r="R32" s="25">
        <f t="shared" si="44"/>
        <v>0.14460577999999999</v>
      </c>
      <c r="S32" s="24">
        <f t="shared" si="45"/>
        <v>0.13390578</v>
      </c>
      <c r="T32" s="23">
        <v>126039.35</v>
      </c>
      <c r="U32" s="25">
        <f t="shared" si="46"/>
        <v>0.12603934999999999</v>
      </c>
      <c r="V32" s="24">
        <f t="shared" si="47"/>
        <v>0.11533934999999999</v>
      </c>
      <c r="W32" s="23">
        <v>39406.03</v>
      </c>
      <c r="X32" s="25">
        <f t="shared" si="48"/>
        <v>3.9406030000000002E-2</v>
      </c>
      <c r="Y32" s="24">
        <f t="shared" si="49"/>
        <v>2.870603E-2</v>
      </c>
      <c r="Z32" s="23">
        <v>66855.11</v>
      </c>
      <c r="AA32" s="25">
        <f t="shared" si="50"/>
        <v>6.6855109999999995E-2</v>
      </c>
      <c r="AB32" s="24">
        <f t="shared" si="51"/>
        <v>5.6155109999999994E-2</v>
      </c>
      <c r="AC32" s="39">
        <f>985669.62-A1</f>
        <v>-14330.380000000005</v>
      </c>
      <c r="AD32" s="25">
        <f t="shared" si="52"/>
        <v>-1.4330380000000005E-2</v>
      </c>
      <c r="AE32" s="24">
        <f t="shared" si="53"/>
        <v>-2.5030380000000005E-2</v>
      </c>
      <c r="AF32" s="24">
        <v>1.0699999999999999E-2</v>
      </c>
    </row>
    <row r="33" spans="1:32" x14ac:dyDescent="0.25">
      <c r="A33" s="26" t="s">
        <v>26</v>
      </c>
      <c r="B33" s="27">
        <f t="shared" ref="B33:AE33" si="55">AVERAGE(B28:B32)</f>
        <v>314503.52399999998</v>
      </c>
      <c r="C33" s="40">
        <f t="shared" si="55"/>
        <v>0.31450352399999998</v>
      </c>
      <c r="D33" s="24">
        <f t="shared" si="55"/>
        <v>0.30344352400000002</v>
      </c>
      <c r="E33" s="27">
        <f t="shared" si="55"/>
        <v>128110.31000000001</v>
      </c>
      <c r="F33" s="24">
        <f t="shared" si="55"/>
        <v>0.12811031000000001</v>
      </c>
      <c r="G33" s="24">
        <f t="shared" si="55"/>
        <v>0.11705030999999999</v>
      </c>
      <c r="H33" s="27">
        <f t="shared" si="55"/>
        <v>203221.18399999998</v>
      </c>
      <c r="I33" s="28">
        <f t="shared" si="55"/>
        <v>0.203221184</v>
      </c>
      <c r="J33" s="25">
        <f t="shared" si="55"/>
        <v>0.19216118400000001</v>
      </c>
      <c r="K33" s="27">
        <f t="shared" si="55"/>
        <v>186070.76800000001</v>
      </c>
      <c r="L33" s="25">
        <f t="shared" si="55"/>
        <v>0.186070768</v>
      </c>
      <c r="M33" s="25">
        <f t="shared" si="55"/>
        <v>0.17501076800000001</v>
      </c>
      <c r="N33" s="27">
        <f t="shared" si="55"/>
        <v>222037.95</v>
      </c>
      <c r="O33" s="29">
        <f t="shared" si="55"/>
        <v>0.22203794999999998</v>
      </c>
      <c r="P33" s="29">
        <f t="shared" si="55"/>
        <v>0.21097795000000003</v>
      </c>
      <c r="Q33" s="27">
        <f>AVERAGE(Q28:Q32)</f>
        <v>121955.53800000002</v>
      </c>
      <c r="R33" s="25">
        <f t="shared" si="55"/>
        <v>0.121955538</v>
      </c>
      <c r="S33" s="25">
        <f t="shared" si="55"/>
        <v>0.110895538</v>
      </c>
      <c r="T33" s="27">
        <f t="shared" si="55"/>
        <v>138356.87</v>
      </c>
      <c r="U33" s="25">
        <f t="shared" si="55"/>
        <v>0.13835686999999999</v>
      </c>
      <c r="V33" s="25">
        <f t="shared" si="55"/>
        <v>0.12729686999999998</v>
      </c>
      <c r="W33" s="27">
        <f t="shared" si="55"/>
        <v>101382.24000000002</v>
      </c>
      <c r="X33" s="25">
        <f t="shared" si="55"/>
        <v>0.10138224</v>
      </c>
      <c r="Y33" s="25">
        <f t="shared" si="55"/>
        <v>9.0322240000000012E-2</v>
      </c>
      <c r="Z33" s="27">
        <f t="shared" si="55"/>
        <v>182796.11599999998</v>
      </c>
      <c r="AA33" s="25">
        <f t="shared" si="55"/>
        <v>0.18279611599999998</v>
      </c>
      <c r="AB33" s="25">
        <f t="shared" si="55"/>
        <v>0.17173611599999999</v>
      </c>
      <c r="AC33" s="27">
        <f t="shared" si="55"/>
        <v>150207.74999999997</v>
      </c>
      <c r="AD33" s="25">
        <f t="shared" si="55"/>
        <v>0.15020775000000003</v>
      </c>
      <c r="AE33" s="25">
        <f t="shared" si="55"/>
        <v>0.13914774999999999</v>
      </c>
      <c r="AF33" s="41"/>
    </row>
    <row r="34" spans="1:32" x14ac:dyDescent="0.25">
      <c r="A34" t="s">
        <v>27</v>
      </c>
      <c r="B34" s="32">
        <f>C33/(STDEV(D28:D32))</f>
        <v>0.64289729985927935</v>
      </c>
      <c r="C34" s="42"/>
      <c r="D34" s="42"/>
      <c r="E34" s="32">
        <f>F33/(STDEV(G28:G32))</f>
        <v>0.528641463598993</v>
      </c>
      <c r="F34" s="42"/>
      <c r="G34" s="42"/>
      <c r="H34" s="32">
        <f>I33/(STDEV(J28:J32))</f>
        <v>1.1543444771273148</v>
      </c>
      <c r="I34" s="43"/>
      <c r="J34" s="43"/>
      <c r="K34" s="32">
        <f>L33/(STDEV(M28:M32))</f>
        <v>1.294205820111483</v>
      </c>
      <c r="L34" s="44"/>
      <c r="M34" s="44"/>
      <c r="N34" s="32">
        <f>O33/(STDEV(P28:P32))</f>
        <v>1.7988120286564881</v>
      </c>
      <c r="O34" s="45"/>
      <c r="P34" s="45"/>
      <c r="Q34" s="32">
        <f>R33/(STDEV(S28:S32))</f>
        <v>0.72726967955376454</v>
      </c>
      <c r="R34" s="44"/>
      <c r="S34" s="44"/>
      <c r="T34" s="32">
        <f>U33/(STDEV(V28:V32))</f>
        <v>0.94493587145984537</v>
      </c>
      <c r="U34" s="44"/>
      <c r="V34" s="44"/>
      <c r="W34" s="32">
        <f>X33/(STDEV(Y28:Y32))</f>
        <v>1.1291791879498172</v>
      </c>
      <c r="X34" s="44"/>
      <c r="Y34" s="44"/>
      <c r="Z34" s="32">
        <f>AA33/(STDEV(AB28:AB32))</f>
        <v>2.324098209409815</v>
      </c>
      <c r="AA34" s="44"/>
      <c r="AB34" s="44"/>
      <c r="AC34" s="32">
        <f>AD33/(STDEV(AE28:AE32))</f>
        <v>1.3153404615231321</v>
      </c>
      <c r="AD34" s="44"/>
      <c r="AE34" s="44"/>
    </row>
    <row r="35" spans="1:32" x14ac:dyDescent="0.25">
      <c r="B35" s="46"/>
      <c r="E35" s="46"/>
      <c r="H35" s="47"/>
      <c r="K35" s="46"/>
      <c r="N35" s="46"/>
      <c r="Q35" s="46"/>
      <c r="T35" s="46"/>
      <c r="W35" s="46"/>
      <c r="Z35" s="46"/>
      <c r="AC35" s="46"/>
    </row>
    <row r="36" spans="1:32" ht="20.25" x14ac:dyDescent="0.25">
      <c r="A36" s="2" t="s">
        <v>29</v>
      </c>
      <c r="B36" s="3" t="s">
        <v>1</v>
      </c>
      <c r="C36" s="4"/>
      <c r="D36" s="5"/>
      <c r="E36" s="3" t="s">
        <v>2</v>
      </c>
      <c r="F36" s="4"/>
      <c r="G36" s="5"/>
      <c r="H36" s="6" t="s">
        <v>3</v>
      </c>
      <c r="I36" s="7"/>
      <c r="J36" s="8"/>
      <c r="K36" s="3" t="s">
        <v>4</v>
      </c>
      <c r="L36" s="4"/>
      <c r="M36" s="5"/>
      <c r="N36" s="3" t="s">
        <v>5</v>
      </c>
      <c r="O36" s="4"/>
      <c r="P36" s="5"/>
      <c r="Q36" s="3" t="s">
        <v>6</v>
      </c>
      <c r="R36" s="4"/>
      <c r="S36" s="5"/>
      <c r="T36" s="3" t="s">
        <v>7</v>
      </c>
      <c r="U36" s="4"/>
      <c r="V36" s="5"/>
      <c r="W36" s="3" t="s">
        <v>8</v>
      </c>
      <c r="X36" s="4"/>
      <c r="Y36" s="5"/>
      <c r="Z36" s="3" t="s">
        <v>9</v>
      </c>
      <c r="AA36" s="4"/>
      <c r="AB36" s="5"/>
      <c r="AC36" s="3" t="s">
        <v>10</v>
      </c>
      <c r="AD36" s="4"/>
      <c r="AE36" s="5"/>
      <c r="AF36" s="9"/>
    </row>
    <row r="37" spans="1:32" x14ac:dyDescent="0.25">
      <c r="A37" s="10" t="s">
        <v>11</v>
      </c>
      <c r="B37" s="11" t="s">
        <v>12</v>
      </c>
      <c r="C37" s="12"/>
      <c r="D37" s="13"/>
      <c r="E37" s="11" t="s">
        <v>13</v>
      </c>
      <c r="F37" s="12"/>
      <c r="G37" s="13"/>
      <c r="H37" s="14" t="s">
        <v>14</v>
      </c>
      <c r="I37" s="15"/>
      <c r="J37" s="16"/>
      <c r="K37" s="11" t="s">
        <v>15</v>
      </c>
      <c r="L37" s="12"/>
      <c r="M37" s="13"/>
      <c r="N37" s="11" t="s">
        <v>16</v>
      </c>
      <c r="O37" s="12"/>
      <c r="P37" s="13"/>
      <c r="Q37" s="11" t="s">
        <v>17</v>
      </c>
      <c r="R37" s="12"/>
      <c r="S37" s="13"/>
      <c r="T37" s="11" t="s">
        <v>18</v>
      </c>
      <c r="U37" s="12"/>
      <c r="V37" s="13"/>
      <c r="W37" s="11" t="s">
        <v>19</v>
      </c>
      <c r="X37" s="12"/>
      <c r="Y37" s="13"/>
      <c r="Z37" s="11" t="s">
        <v>20</v>
      </c>
      <c r="AA37" s="12"/>
      <c r="AB37" s="13"/>
      <c r="AC37" s="11" t="s">
        <v>21</v>
      </c>
      <c r="AD37" s="12"/>
      <c r="AE37" s="13"/>
      <c r="AF37" s="17" t="s">
        <v>22</v>
      </c>
    </row>
    <row r="38" spans="1:32" x14ac:dyDescent="0.25">
      <c r="A38" s="18"/>
      <c r="B38" s="19" t="s">
        <v>23</v>
      </c>
      <c r="C38" s="19" t="s">
        <v>24</v>
      </c>
      <c r="D38" s="19" t="s">
        <v>25</v>
      </c>
      <c r="E38" s="19" t="s">
        <v>23</v>
      </c>
      <c r="F38" s="19" t="s">
        <v>24</v>
      </c>
      <c r="G38" s="19" t="s">
        <v>25</v>
      </c>
      <c r="H38" s="20" t="s">
        <v>23</v>
      </c>
      <c r="I38" s="20" t="s">
        <v>24</v>
      </c>
      <c r="J38" s="19" t="s">
        <v>25</v>
      </c>
      <c r="K38" s="19" t="s">
        <v>23</v>
      </c>
      <c r="L38" s="19" t="s">
        <v>24</v>
      </c>
      <c r="M38" s="19" t="s">
        <v>25</v>
      </c>
      <c r="N38" s="19" t="s">
        <v>23</v>
      </c>
      <c r="O38" s="19" t="s">
        <v>24</v>
      </c>
      <c r="P38" s="19" t="s">
        <v>25</v>
      </c>
      <c r="Q38" s="19" t="s">
        <v>23</v>
      </c>
      <c r="R38" s="19" t="s">
        <v>24</v>
      </c>
      <c r="S38" s="19" t="s">
        <v>25</v>
      </c>
      <c r="T38" s="19" t="s">
        <v>23</v>
      </c>
      <c r="U38" s="19" t="s">
        <v>24</v>
      </c>
      <c r="V38" s="19" t="s">
        <v>25</v>
      </c>
      <c r="W38" s="19" t="s">
        <v>23</v>
      </c>
      <c r="X38" s="19" t="s">
        <v>24</v>
      </c>
      <c r="Y38" s="19" t="s">
        <v>25</v>
      </c>
      <c r="Z38" s="19" t="s">
        <v>23</v>
      </c>
      <c r="AA38" s="19" t="s">
        <v>24</v>
      </c>
      <c r="AB38" s="19" t="s">
        <v>25</v>
      </c>
      <c r="AC38" s="19" t="s">
        <v>23</v>
      </c>
      <c r="AD38" s="19" t="s">
        <v>24</v>
      </c>
      <c r="AE38" s="19" t="s">
        <v>25</v>
      </c>
      <c r="AF38" s="21"/>
    </row>
    <row r="39" spans="1:32" x14ac:dyDescent="0.25">
      <c r="A39" s="22">
        <v>2016</v>
      </c>
      <c r="B39" s="23">
        <v>119670.33</v>
      </c>
      <c r="C39" s="24">
        <f>B39/$A$1</f>
        <v>0.11967033000000001</v>
      </c>
      <c r="D39" s="24">
        <f>C39-$AF39</f>
        <v>0.10717033000000001</v>
      </c>
      <c r="E39" s="23">
        <v>268932.68</v>
      </c>
      <c r="F39" s="24">
        <f>E39/$A$1</f>
        <v>0.26893267999999998</v>
      </c>
      <c r="G39" s="24">
        <f>F39-$AF39</f>
        <v>0.25643267999999997</v>
      </c>
      <c r="H39" s="23">
        <v>314277.23</v>
      </c>
      <c r="I39" s="25">
        <f>H39/$A$1</f>
        <v>0.31427722999999996</v>
      </c>
      <c r="J39" s="24">
        <f>I39-$AF39</f>
        <v>0.30177722999999995</v>
      </c>
      <c r="K39" s="23">
        <v>231539.48</v>
      </c>
      <c r="L39" s="25">
        <f>K39/$A$1</f>
        <v>0.23153948000000002</v>
      </c>
      <c r="M39" s="24">
        <f>L39-$AF39</f>
        <v>0.21903948000000001</v>
      </c>
      <c r="N39" s="23">
        <v>247662.41</v>
      </c>
      <c r="O39" s="25">
        <f t="shared" ref="O39:O42" si="56">N39/$A$1</f>
        <v>0.24766241</v>
      </c>
      <c r="P39" s="24">
        <f>O39-$AF39</f>
        <v>0.23516240999999999</v>
      </c>
      <c r="Q39" s="23">
        <v>238619.53</v>
      </c>
      <c r="R39" s="25">
        <f>Q39/$A$1</f>
        <v>0.23861953</v>
      </c>
      <c r="S39" s="24">
        <f>R39-$AF39</f>
        <v>0.22611952999999999</v>
      </c>
      <c r="T39" s="23">
        <v>261972.79</v>
      </c>
      <c r="U39" s="25">
        <f>T39/$A$1</f>
        <v>0.26197279000000001</v>
      </c>
      <c r="V39" s="24">
        <f>U39-$AF39</f>
        <v>0.24947279</v>
      </c>
      <c r="W39" s="23">
        <v>137145.14000000001</v>
      </c>
      <c r="X39" s="25">
        <f>W39/$A$1</f>
        <v>0.13714514000000003</v>
      </c>
      <c r="Y39" s="24">
        <f>X39-$AF39</f>
        <v>0.12464514000000003</v>
      </c>
      <c r="Z39" s="23">
        <v>170192.15</v>
      </c>
      <c r="AA39" s="25">
        <f>Z39/$A$1</f>
        <v>0.17019214999999999</v>
      </c>
      <c r="AB39" s="24">
        <f>AA39-$AF39</f>
        <v>0.15769214999999998</v>
      </c>
      <c r="AC39" s="39">
        <v>214805.65</v>
      </c>
      <c r="AD39" s="25">
        <f>AC39/$A$1</f>
        <v>0.21480564999999999</v>
      </c>
      <c r="AE39" s="24">
        <f>AD39-$AF39</f>
        <v>0.20230564999999998</v>
      </c>
      <c r="AF39" s="24">
        <v>1.2500000000000001E-2</v>
      </c>
    </row>
    <row r="40" spans="1:32" x14ac:dyDescent="0.25">
      <c r="A40" s="22">
        <v>2017</v>
      </c>
      <c r="B40" s="23">
        <v>143734.49</v>
      </c>
      <c r="C40" s="24">
        <f t="shared" ref="C40:C43" si="57">B40/$A$1</f>
        <v>0.14373448999999999</v>
      </c>
      <c r="D40" s="24">
        <f t="shared" ref="D40:D43" si="58">C40-$AF40</f>
        <v>0.13303449000000001</v>
      </c>
      <c r="E40" s="23">
        <v>83819.31</v>
      </c>
      <c r="F40" s="24">
        <f t="shared" ref="F40:F43" si="59">E40/$A$1</f>
        <v>8.3819309999999994E-2</v>
      </c>
      <c r="G40" s="24">
        <f t="shared" ref="G40:G43" si="60">F40-$AF40</f>
        <v>7.3119309999999993E-2</v>
      </c>
      <c r="H40" s="23">
        <v>75827.91</v>
      </c>
      <c r="I40" s="25">
        <f t="shared" ref="I40:I43" si="61">H40/$A$1</f>
        <v>7.5827909999999998E-2</v>
      </c>
      <c r="J40" s="24">
        <f t="shared" ref="J40:J43" si="62">I40-$AF40</f>
        <v>6.5127909999999997E-2</v>
      </c>
      <c r="K40" s="23">
        <v>61026.879999999997</v>
      </c>
      <c r="L40" s="25">
        <f>K40/$A$1</f>
        <v>6.1026879999999999E-2</v>
      </c>
      <c r="M40" s="24">
        <f t="shared" ref="M40:M43" si="63">L40-$AF40</f>
        <v>5.0326879999999997E-2</v>
      </c>
      <c r="N40" s="23">
        <v>36742.269999999997</v>
      </c>
      <c r="O40" s="25">
        <f t="shared" si="56"/>
        <v>3.6742269999999994E-2</v>
      </c>
      <c r="P40" s="24">
        <f t="shared" ref="P40:P43" si="64">O40-$AF40</f>
        <v>2.6042269999999992E-2</v>
      </c>
      <c r="Q40" s="23">
        <v>22882.560000000001</v>
      </c>
      <c r="R40" s="25">
        <f t="shared" ref="R40:R43" si="65">Q40/$A$1</f>
        <v>2.288256E-2</v>
      </c>
      <c r="S40" s="24">
        <f t="shared" ref="S40:S43" si="66">R40-$AF40</f>
        <v>1.218256E-2</v>
      </c>
      <c r="T40" s="23">
        <v>50271.519999999997</v>
      </c>
      <c r="U40" s="25">
        <f t="shared" ref="U40:U43" si="67">T40/$A$1</f>
        <v>5.027152E-2</v>
      </c>
      <c r="V40" s="24">
        <f t="shared" ref="V40:V43" si="68">U40-$AF40</f>
        <v>3.9571519999999999E-2</v>
      </c>
      <c r="W40" s="23">
        <v>91530.25</v>
      </c>
      <c r="X40" s="25">
        <f t="shared" ref="X40:X43" si="69">W40/$A$1</f>
        <v>9.1530249999999994E-2</v>
      </c>
      <c r="Y40" s="24">
        <f t="shared" ref="Y40:Y43" si="70">X40-$AF40</f>
        <v>8.0830249999999992E-2</v>
      </c>
      <c r="Z40" s="23">
        <v>86372.9</v>
      </c>
      <c r="AA40" s="25">
        <f t="shared" ref="AA40:AA43" si="71">Z40/$A$1</f>
        <v>8.6372899999999989E-2</v>
      </c>
      <c r="AB40" s="24">
        <f t="shared" ref="AB40:AB43" si="72">AA40-$AF40</f>
        <v>7.5672899999999987E-2</v>
      </c>
      <c r="AC40" s="39">
        <v>112510.11</v>
      </c>
      <c r="AD40" s="25">
        <f t="shared" ref="AD40:AD43" si="73">AC40/$A$1</f>
        <v>0.11251011</v>
      </c>
      <c r="AE40" s="24">
        <f t="shared" ref="AE40:AE43" si="74">AD40-$AF40</f>
        <v>0.10181011</v>
      </c>
      <c r="AF40" s="24">
        <v>1.0699999999999999E-2</v>
      </c>
    </row>
    <row r="41" spans="1:32" x14ac:dyDescent="0.25">
      <c r="A41" s="22">
        <v>2018</v>
      </c>
      <c r="B41" s="23">
        <f>823769.22-A24</f>
        <v>-176230.78000000003</v>
      </c>
      <c r="C41" s="24">
        <f t="shared" si="57"/>
        <v>-0.17623078000000003</v>
      </c>
      <c r="D41" s="24">
        <f t="shared" si="58"/>
        <v>-0.18693078000000002</v>
      </c>
      <c r="E41" s="23">
        <f>741161.7-A24</f>
        <v>-258838.30000000005</v>
      </c>
      <c r="F41" s="24">
        <f t="shared" si="59"/>
        <v>-0.25883830000000002</v>
      </c>
      <c r="G41" s="24">
        <f t="shared" si="60"/>
        <v>-0.26953830000000001</v>
      </c>
      <c r="H41" s="23">
        <f>918263.68-A24</f>
        <v>-81736.319999999949</v>
      </c>
      <c r="I41" s="25">
        <f t="shared" si="61"/>
        <v>-8.1736319999999946E-2</v>
      </c>
      <c r="J41" s="24">
        <f t="shared" si="62"/>
        <v>-9.2436319999999947E-2</v>
      </c>
      <c r="K41" s="23">
        <f>902300.98-A24</f>
        <v>-97699.020000000019</v>
      </c>
      <c r="L41" s="25">
        <f>K41/$A$1</f>
        <v>-9.7699020000000025E-2</v>
      </c>
      <c r="M41" s="24">
        <f t="shared" si="63"/>
        <v>-0.10839902000000003</v>
      </c>
      <c r="N41" s="23">
        <f>902300.98-A24</f>
        <v>-97699.020000000019</v>
      </c>
      <c r="O41" s="25">
        <f t="shared" si="56"/>
        <v>-9.7699020000000025E-2</v>
      </c>
      <c r="P41" s="24">
        <f t="shared" si="64"/>
        <v>-0.10839902000000003</v>
      </c>
      <c r="Q41" s="23">
        <f>828045.32-A24</f>
        <v>-171954.68000000005</v>
      </c>
      <c r="R41" s="25">
        <f t="shared" si="65"/>
        <v>-0.17195468000000005</v>
      </c>
      <c r="S41" s="24">
        <f>R41-$AF41</f>
        <v>-0.18265468000000004</v>
      </c>
      <c r="T41" s="23">
        <f>887539.97-A24</f>
        <v>-112460.03000000003</v>
      </c>
      <c r="U41" s="25">
        <f t="shared" si="67"/>
        <v>-0.11246003000000003</v>
      </c>
      <c r="V41" s="24">
        <f t="shared" si="68"/>
        <v>-0.12316003000000003</v>
      </c>
      <c r="W41" s="23">
        <v>21170.11</v>
      </c>
      <c r="X41" s="25">
        <f t="shared" si="69"/>
        <v>2.1170109999999999E-2</v>
      </c>
      <c r="Y41" s="24">
        <f t="shared" si="70"/>
        <v>1.0470109999999999E-2</v>
      </c>
      <c r="Z41" s="23">
        <v>179305.14</v>
      </c>
      <c r="AA41" s="25">
        <f t="shared" si="71"/>
        <v>0.17930514</v>
      </c>
      <c r="AB41" s="24">
        <f t="shared" si="72"/>
        <v>0.16860514000000001</v>
      </c>
      <c r="AC41" s="39">
        <v>179305.14</v>
      </c>
      <c r="AD41" s="25">
        <f t="shared" si="73"/>
        <v>0.17930514</v>
      </c>
      <c r="AE41" s="24">
        <f t="shared" si="74"/>
        <v>0.16860514000000001</v>
      </c>
      <c r="AF41" s="24">
        <v>1.0699999999999999E-2</v>
      </c>
    </row>
    <row r="42" spans="1:32" x14ac:dyDescent="0.25">
      <c r="A42" s="22">
        <v>2019</v>
      </c>
      <c r="B42" s="23">
        <v>103046.65</v>
      </c>
      <c r="C42" s="24">
        <f t="shared" si="57"/>
        <v>0.10304664999999999</v>
      </c>
      <c r="D42" s="24">
        <f t="shared" si="58"/>
        <v>9.2346649999999988E-2</v>
      </c>
      <c r="E42" s="23">
        <v>52564.77</v>
      </c>
      <c r="F42" s="24">
        <f t="shared" si="59"/>
        <v>5.2564769999999997E-2</v>
      </c>
      <c r="G42" s="24">
        <f t="shared" si="60"/>
        <v>4.1864769999999996E-2</v>
      </c>
      <c r="H42" s="23">
        <v>228495.16</v>
      </c>
      <c r="I42" s="25">
        <f t="shared" si="61"/>
        <v>0.22849516</v>
      </c>
      <c r="J42" s="24">
        <f t="shared" si="62"/>
        <v>0.21779516000000002</v>
      </c>
      <c r="K42" s="23">
        <v>57872.34</v>
      </c>
      <c r="L42" s="25">
        <f>K42/$A$1</f>
        <v>5.7872339999999994E-2</v>
      </c>
      <c r="M42" s="24">
        <f t="shared" si="63"/>
        <v>4.7172339999999993E-2</v>
      </c>
      <c r="N42" s="23">
        <v>205392.3</v>
      </c>
      <c r="O42" s="25">
        <f t="shared" si="56"/>
        <v>0.2053923</v>
      </c>
      <c r="P42" s="24">
        <f t="shared" si="64"/>
        <v>0.19469230000000001</v>
      </c>
      <c r="Q42" s="23">
        <v>235374.94</v>
      </c>
      <c r="R42" s="25">
        <f t="shared" si="65"/>
        <v>0.23537494</v>
      </c>
      <c r="S42" s="24">
        <f t="shared" si="66"/>
        <v>0.22467494000000002</v>
      </c>
      <c r="T42" s="23">
        <v>164974.72</v>
      </c>
      <c r="U42" s="25">
        <f t="shared" si="67"/>
        <v>0.16497471999999999</v>
      </c>
      <c r="V42" s="24">
        <f t="shared" si="68"/>
        <v>0.15427472</v>
      </c>
      <c r="W42" s="23">
        <v>236586.66</v>
      </c>
      <c r="X42" s="25">
        <f t="shared" si="69"/>
        <v>0.23658666</v>
      </c>
      <c r="Y42" s="24">
        <f t="shared" si="70"/>
        <v>0.22588666000000002</v>
      </c>
      <c r="Z42" s="23">
        <v>108344.15</v>
      </c>
      <c r="AA42" s="25">
        <f t="shared" si="71"/>
        <v>0.10834415</v>
      </c>
      <c r="AB42" s="24">
        <f t="shared" si="72"/>
        <v>9.7644149999999999E-2</v>
      </c>
      <c r="AC42" s="39">
        <v>142943.43</v>
      </c>
      <c r="AD42" s="25">
        <f t="shared" si="73"/>
        <v>0.14294342999999998</v>
      </c>
      <c r="AE42" s="24">
        <f t="shared" si="74"/>
        <v>0.13224343</v>
      </c>
      <c r="AF42" s="24">
        <v>1.0699999999999999E-2</v>
      </c>
    </row>
    <row r="43" spans="1:32" x14ac:dyDescent="0.25">
      <c r="A43" s="22">
        <v>2020</v>
      </c>
      <c r="B43" s="23">
        <v>1181341.06</v>
      </c>
      <c r="C43" s="24">
        <f t="shared" si="57"/>
        <v>1.1813410600000001</v>
      </c>
      <c r="D43" s="24">
        <f t="shared" si="58"/>
        <v>1.1706410600000001</v>
      </c>
      <c r="E43" s="23">
        <v>114783.32</v>
      </c>
      <c r="F43" s="24">
        <f t="shared" si="59"/>
        <v>0.11478332000000001</v>
      </c>
      <c r="G43" s="24">
        <f t="shared" si="60"/>
        <v>0.10408332000000001</v>
      </c>
      <c r="H43" s="23">
        <v>340764.91</v>
      </c>
      <c r="I43" s="25">
        <f t="shared" si="61"/>
        <v>0.34076490999999998</v>
      </c>
      <c r="J43" s="24">
        <f t="shared" si="62"/>
        <v>0.33006490999999999</v>
      </c>
      <c r="K43" s="23">
        <v>385418.46</v>
      </c>
      <c r="L43" s="25">
        <f>K43/$A$1</f>
        <v>0.38541846000000002</v>
      </c>
      <c r="M43" s="24">
        <f t="shared" si="63"/>
        <v>0.37471846000000003</v>
      </c>
      <c r="N43" s="23">
        <v>150444.06</v>
      </c>
      <c r="O43" s="25">
        <f>N43/$A$1</f>
        <v>0.15044405999999999</v>
      </c>
      <c r="P43" s="24">
        <f t="shared" si="64"/>
        <v>0.13974406</v>
      </c>
      <c r="Q43" s="23">
        <v>110156.73</v>
      </c>
      <c r="R43" s="25">
        <f t="shared" si="65"/>
        <v>0.11015672999999999</v>
      </c>
      <c r="S43" s="24">
        <f t="shared" si="66"/>
        <v>9.9456729999999993E-2</v>
      </c>
      <c r="T43" s="23">
        <v>72803.539999999994</v>
      </c>
      <c r="U43" s="25">
        <f t="shared" si="67"/>
        <v>7.280354E-2</v>
      </c>
      <c r="V43" s="24">
        <f t="shared" si="68"/>
        <v>6.2103539999999999E-2</v>
      </c>
      <c r="W43" s="23">
        <v>1421.99</v>
      </c>
      <c r="X43" s="25">
        <f t="shared" si="69"/>
        <v>1.4219899999999999E-3</v>
      </c>
      <c r="Y43" s="24">
        <f t="shared" si="70"/>
        <v>-9.2780099999999997E-3</v>
      </c>
      <c r="Z43" s="23">
        <f>969857.080000001-A24</f>
        <v>-30142.919999998994</v>
      </c>
      <c r="AA43" s="25">
        <f t="shared" si="71"/>
        <v>-3.0142919999998994E-2</v>
      </c>
      <c r="AB43" s="24">
        <f t="shared" si="72"/>
        <v>-4.0842919999998992E-2</v>
      </c>
      <c r="AC43" s="39">
        <f>985749.73-A24</f>
        <v>-14250.270000000019</v>
      </c>
      <c r="AD43" s="25">
        <f t="shared" si="73"/>
        <v>-1.4250270000000018E-2</v>
      </c>
      <c r="AE43" s="24">
        <f t="shared" si="74"/>
        <v>-2.4950270000000017E-2</v>
      </c>
      <c r="AF43" s="24">
        <v>1.0699999999999999E-2</v>
      </c>
    </row>
    <row r="44" spans="1:32" x14ac:dyDescent="0.25">
      <c r="A44" s="26" t="s">
        <v>26</v>
      </c>
      <c r="B44" s="27">
        <f t="shared" ref="B44:P44" si="75">AVERAGE(B39:B43)</f>
        <v>274312.34999999998</v>
      </c>
      <c r="C44" s="24">
        <f t="shared" si="75"/>
        <v>0.27431234999999998</v>
      </c>
      <c r="D44" s="24">
        <f t="shared" si="75"/>
        <v>0.26325235000000002</v>
      </c>
      <c r="E44" s="27">
        <f t="shared" si="75"/>
        <v>52252.355999999985</v>
      </c>
      <c r="F44" s="24">
        <f t="shared" si="75"/>
        <v>5.2252355999999986E-2</v>
      </c>
      <c r="G44" s="24">
        <f t="shared" si="75"/>
        <v>4.1192355999999992E-2</v>
      </c>
      <c r="H44" s="27">
        <f t="shared" si="75"/>
        <v>175525.77800000002</v>
      </c>
      <c r="I44" s="28">
        <f t="shared" si="75"/>
        <v>0.17552577799999999</v>
      </c>
      <c r="J44" s="25">
        <f t="shared" si="75"/>
        <v>0.16446577800000001</v>
      </c>
      <c r="K44" s="27">
        <f t="shared" si="75"/>
        <v>127631.628</v>
      </c>
      <c r="L44" s="25">
        <f t="shared" si="75"/>
        <v>0.127631628</v>
      </c>
      <c r="M44" s="25">
        <f t="shared" si="75"/>
        <v>0.11657162800000001</v>
      </c>
      <c r="N44" s="27">
        <f t="shared" si="75"/>
        <v>108508.40400000001</v>
      </c>
      <c r="O44" s="25">
        <f t="shared" si="75"/>
        <v>0.10850840399999999</v>
      </c>
      <c r="P44" s="25">
        <f t="shared" si="75"/>
        <v>9.7448404000000002E-2</v>
      </c>
      <c r="Q44" s="27">
        <f>AVERAGE(Q39:Q43)</f>
        <v>87015.815999999992</v>
      </c>
      <c r="R44" s="25">
        <f t="shared" ref="R44:AD44" si="76">AVERAGE(R39:R43)</f>
        <v>8.7015815999999996E-2</v>
      </c>
      <c r="S44" s="25">
        <f t="shared" si="76"/>
        <v>7.5955815999999982E-2</v>
      </c>
      <c r="T44" s="27">
        <f t="shared" si="76"/>
        <v>87512.508000000002</v>
      </c>
      <c r="U44" s="25">
        <f t="shared" si="76"/>
        <v>8.7512507999999989E-2</v>
      </c>
      <c r="V44" s="25">
        <f t="shared" si="76"/>
        <v>7.6452508000000002E-2</v>
      </c>
      <c r="W44" s="27">
        <f t="shared" si="76"/>
        <v>97570.83</v>
      </c>
      <c r="X44" s="25">
        <f t="shared" si="76"/>
        <v>9.7570829999999997E-2</v>
      </c>
      <c r="Y44" s="25">
        <f t="shared" si="76"/>
        <v>8.6510830000000011E-2</v>
      </c>
      <c r="Z44" s="27">
        <f t="shared" si="76"/>
        <v>102814.28400000019</v>
      </c>
      <c r="AA44" s="25">
        <f>AVERAGE(AA39:AA43)</f>
        <v>0.10281428400000019</v>
      </c>
      <c r="AB44" s="25">
        <f t="shared" si="76"/>
        <v>9.17542840000002E-2</v>
      </c>
      <c r="AC44" s="27">
        <f t="shared" si="76"/>
        <v>127062.81200000001</v>
      </c>
      <c r="AD44" s="25">
        <f t="shared" si="76"/>
        <v>0.12706281199999997</v>
      </c>
      <c r="AE44" s="25"/>
      <c r="AF44" s="41"/>
    </row>
    <row r="45" spans="1:32" x14ac:dyDescent="0.25">
      <c r="A45" t="s">
        <v>27</v>
      </c>
      <c r="B45" s="32">
        <f>C44/(STDEV(D39:D43))</f>
        <v>0.52391628221951414</v>
      </c>
      <c r="C45" s="42"/>
      <c r="D45" s="42"/>
      <c r="E45" s="32">
        <f>F44/(STDEV(G39:G43))</f>
        <v>0.27177839974096085</v>
      </c>
      <c r="F45" s="42"/>
      <c r="G45" s="42"/>
      <c r="H45" s="32">
        <f>I44/(STDEV(J39:J43))</f>
        <v>0.99297049201688803</v>
      </c>
      <c r="I45" s="43"/>
      <c r="J45" s="43"/>
      <c r="K45" s="32">
        <f>L44/(STDEV(M39:M43))</f>
        <v>0.68975996337474399</v>
      </c>
      <c r="L45" s="44"/>
      <c r="M45" s="44"/>
      <c r="N45" s="32">
        <f>O44/(STDEV(P39:P43))</f>
        <v>0.77863143519503653</v>
      </c>
      <c r="O45" s="44"/>
      <c r="P45" s="44"/>
      <c r="Q45" s="32">
        <f>R44/(STDEV(S39:S43))</f>
        <v>0.5106109419212439</v>
      </c>
      <c r="R45" s="44"/>
      <c r="S45" s="44"/>
      <c r="T45" s="32">
        <f>U44/(STDEV(V39:V43))</f>
        <v>0.62909987911952492</v>
      </c>
      <c r="U45" s="44"/>
      <c r="V45" s="44"/>
      <c r="W45" s="32">
        <f>X44/(STDEV(Y39:Y43))</f>
        <v>1.0303516233954313</v>
      </c>
      <c r="X45" s="44"/>
      <c r="Y45" s="44"/>
      <c r="Z45" s="32">
        <f>AA44/(STDEV(AB39:AB43))</f>
        <v>1.2260408612413121</v>
      </c>
      <c r="AA45" s="44"/>
      <c r="AB45" s="44"/>
      <c r="AC45" s="32">
        <f>AD44/(STDEV(AE39:AE43))</f>
        <v>1.4539719405389802</v>
      </c>
      <c r="AD45" s="44"/>
      <c r="AE45" s="44"/>
    </row>
    <row r="46" spans="1:32" x14ac:dyDescent="0.25">
      <c r="B46" s="46"/>
      <c r="E46" s="46"/>
      <c r="H46" s="47"/>
      <c r="K46" s="46"/>
      <c r="N46" s="46"/>
      <c r="Q46" s="46"/>
      <c r="T46" s="46"/>
      <c r="W46" s="46"/>
      <c r="Z46" s="46"/>
      <c r="AC46" s="46"/>
    </row>
    <row r="47" spans="1:32" x14ac:dyDescent="0.25">
      <c r="A47">
        <v>1000000</v>
      </c>
    </row>
    <row r="48" spans="1:32" ht="20.25" x14ac:dyDescent="0.25">
      <c r="A48" s="2" t="s">
        <v>30</v>
      </c>
      <c r="B48" s="3" t="s">
        <v>1</v>
      </c>
      <c r="C48" s="4"/>
      <c r="D48" s="5"/>
      <c r="E48" s="3" t="s">
        <v>2</v>
      </c>
      <c r="F48" s="4"/>
      <c r="G48" s="5"/>
      <c r="H48" s="6" t="s">
        <v>3</v>
      </c>
      <c r="I48" s="7"/>
      <c r="J48" s="8"/>
      <c r="K48" s="3" t="s">
        <v>4</v>
      </c>
      <c r="L48" s="4"/>
      <c r="M48" s="5"/>
      <c r="N48" s="3" t="s">
        <v>5</v>
      </c>
      <c r="O48" s="4"/>
      <c r="P48" s="5"/>
      <c r="Q48" s="3" t="s">
        <v>6</v>
      </c>
      <c r="R48" s="4"/>
      <c r="S48" s="5"/>
      <c r="T48" s="3" t="s">
        <v>7</v>
      </c>
      <c r="U48" s="4"/>
      <c r="V48" s="5"/>
      <c r="W48" s="3" t="s">
        <v>8</v>
      </c>
      <c r="X48" s="4"/>
      <c r="Y48" s="5"/>
      <c r="Z48" s="3" t="s">
        <v>9</v>
      </c>
      <c r="AA48" s="4"/>
      <c r="AB48" s="5"/>
      <c r="AC48" s="3" t="s">
        <v>10</v>
      </c>
      <c r="AD48" s="4"/>
      <c r="AE48" s="5"/>
      <c r="AF48" s="9"/>
    </row>
    <row r="49" spans="1:32" x14ac:dyDescent="0.25">
      <c r="A49" s="10" t="s">
        <v>11</v>
      </c>
      <c r="B49" s="11" t="s">
        <v>12</v>
      </c>
      <c r="C49" s="12"/>
      <c r="D49" s="13"/>
      <c r="E49" s="11" t="s">
        <v>13</v>
      </c>
      <c r="F49" s="12"/>
      <c r="G49" s="13"/>
      <c r="H49" s="14" t="s">
        <v>14</v>
      </c>
      <c r="I49" s="15"/>
      <c r="J49" s="16"/>
      <c r="K49" s="11" t="s">
        <v>15</v>
      </c>
      <c r="L49" s="12"/>
      <c r="M49" s="13"/>
      <c r="N49" s="11" t="s">
        <v>16</v>
      </c>
      <c r="O49" s="12"/>
      <c r="P49" s="13"/>
      <c r="Q49" s="11" t="s">
        <v>17</v>
      </c>
      <c r="R49" s="12"/>
      <c r="S49" s="13"/>
      <c r="T49" s="11" t="s">
        <v>18</v>
      </c>
      <c r="U49" s="12"/>
      <c r="V49" s="13"/>
      <c r="W49" s="11" t="s">
        <v>19</v>
      </c>
      <c r="X49" s="12"/>
      <c r="Y49" s="13"/>
      <c r="Z49" s="11" t="s">
        <v>20</v>
      </c>
      <c r="AA49" s="12"/>
      <c r="AB49" s="13"/>
      <c r="AC49" s="11" t="s">
        <v>21</v>
      </c>
      <c r="AD49" s="12"/>
      <c r="AE49" s="13"/>
      <c r="AF49" s="17" t="s">
        <v>22</v>
      </c>
    </row>
    <row r="50" spans="1:32" x14ac:dyDescent="0.25">
      <c r="A50" s="18"/>
      <c r="B50" s="19" t="s">
        <v>23</v>
      </c>
      <c r="C50" s="19" t="s">
        <v>24</v>
      </c>
      <c r="D50" s="19" t="s">
        <v>25</v>
      </c>
      <c r="E50" s="19" t="s">
        <v>23</v>
      </c>
      <c r="F50" s="19" t="s">
        <v>24</v>
      </c>
      <c r="G50" s="19" t="s">
        <v>25</v>
      </c>
      <c r="H50" s="20" t="s">
        <v>23</v>
      </c>
      <c r="I50" s="20" t="s">
        <v>24</v>
      </c>
      <c r="J50" s="19" t="s">
        <v>25</v>
      </c>
      <c r="K50" s="19" t="s">
        <v>23</v>
      </c>
      <c r="L50" s="19" t="s">
        <v>24</v>
      </c>
      <c r="M50" s="19" t="s">
        <v>25</v>
      </c>
      <c r="N50" s="19" t="s">
        <v>23</v>
      </c>
      <c r="O50" s="19" t="s">
        <v>24</v>
      </c>
      <c r="P50" s="19" t="s">
        <v>25</v>
      </c>
      <c r="Q50" s="19" t="s">
        <v>23</v>
      </c>
      <c r="R50" s="19" t="s">
        <v>24</v>
      </c>
      <c r="S50" s="19" t="s">
        <v>25</v>
      </c>
      <c r="T50" s="19" t="s">
        <v>23</v>
      </c>
      <c r="U50" s="19" t="s">
        <v>24</v>
      </c>
      <c r="V50" s="19" t="s">
        <v>25</v>
      </c>
      <c r="W50" s="19" t="s">
        <v>23</v>
      </c>
      <c r="X50" s="19" t="s">
        <v>24</v>
      </c>
      <c r="Y50" s="19" t="s">
        <v>25</v>
      </c>
      <c r="Z50" s="19" t="s">
        <v>23</v>
      </c>
      <c r="AA50" s="19" t="s">
        <v>24</v>
      </c>
      <c r="AB50" s="19" t="s">
        <v>25</v>
      </c>
      <c r="AC50" s="19" t="s">
        <v>23</v>
      </c>
      <c r="AD50" s="19" t="s">
        <v>24</v>
      </c>
      <c r="AE50" s="19" t="s">
        <v>25</v>
      </c>
      <c r="AF50" s="21"/>
    </row>
    <row r="51" spans="1:32" x14ac:dyDescent="0.25">
      <c r="A51" s="22">
        <v>2016</v>
      </c>
      <c r="B51" s="23">
        <v>542461.93000000005</v>
      </c>
      <c r="C51" s="24">
        <f>B51/$A$1</f>
        <v>0.54246193000000009</v>
      </c>
      <c r="D51" s="24">
        <f>C51-$AF51</f>
        <v>0.52996193000000014</v>
      </c>
      <c r="E51" s="23">
        <v>258097.23</v>
      </c>
      <c r="F51" s="24">
        <f>E51/$A$1</f>
        <v>0.25809723000000001</v>
      </c>
      <c r="G51" s="24">
        <f>F51-$AF51</f>
        <v>0.24559723</v>
      </c>
      <c r="H51" s="23">
        <v>334936.61</v>
      </c>
      <c r="I51" s="25">
        <f>H51/$A$1</f>
        <v>0.33493660999999997</v>
      </c>
      <c r="J51" s="24">
        <f>I51-$AF51</f>
        <v>0.32243660999999996</v>
      </c>
      <c r="K51" s="23">
        <v>450901.59</v>
      </c>
      <c r="L51" s="25">
        <f>K51/$A$1</f>
        <v>0.45090159000000002</v>
      </c>
      <c r="M51" s="24">
        <f>L51-$AF51</f>
        <v>0.43840159000000001</v>
      </c>
      <c r="N51" s="23">
        <v>770736.76</v>
      </c>
      <c r="O51" s="25">
        <f>N51/$A$1</f>
        <v>0.77073676000000002</v>
      </c>
      <c r="P51" s="24">
        <f>O51-$AF51</f>
        <v>0.75823676000000007</v>
      </c>
      <c r="Q51" s="23">
        <v>477239.12</v>
      </c>
      <c r="R51" s="25">
        <f>Q51/$A$1</f>
        <v>0.47723912000000002</v>
      </c>
      <c r="S51" s="24">
        <f>R51-$AF51</f>
        <v>0.46473912000000001</v>
      </c>
      <c r="T51" s="23">
        <v>635964.93000000005</v>
      </c>
      <c r="U51" s="25">
        <f>T51/$A$1</f>
        <v>0.63596493000000009</v>
      </c>
      <c r="V51" s="24">
        <f>U51-$AF51</f>
        <v>0.62346493000000014</v>
      </c>
      <c r="W51" s="23">
        <v>859883.59</v>
      </c>
      <c r="X51" s="25">
        <f>W51/$A$1</f>
        <v>0.85988358999999992</v>
      </c>
      <c r="Y51" s="24">
        <f>X51-$AF51</f>
        <v>0.84738358999999996</v>
      </c>
      <c r="Z51" s="23">
        <v>802622.09</v>
      </c>
      <c r="AA51" s="25">
        <f>Z51/$A$1</f>
        <v>0.80262208999999995</v>
      </c>
      <c r="AB51" s="24">
        <f>AA51-$AF51</f>
        <v>0.79012209</v>
      </c>
      <c r="AC51" s="23">
        <v>719714.13</v>
      </c>
      <c r="AD51" s="25">
        <f>AC51/$A$1</f>
        <v>0.71971412999999995</v>
      </c>
      <c r="AE51" s="24">
        <f>AD51-$AF51</f>
        <v>0.70721413</v>
      </c>
      <c r="AF51" s="24">
        <v>1.2500000000000001E-2</v>
      </c>
    </row>
    <row r="52" spans="1:32" x14ac:dyDescent="0.25">
      <c r="A52" s="22">
        <v>2017</v>
      </c>
      <c r="B52" s="23">
        <v>404976.3</v>
      </c>
      <c r="C52" s="24">
        <f t="shared" ref="C52:F55" si="77">B52/$A$1</f>
        <v>0.40497630000000001</v>
      </c>
      <c r="D52" s="24">
        <f t="shared" ref="D52:D55" si="78">C52-$AF52</f>
        <v>0.39427630000000002</v>
      </c>
      <c r="E52" s="23">
        <v>826996.76</v>
      </c>
      <c r="F52" s="24">
        <f t="shared" si="77"/>
        <v>0.82699676</v>
      </c>
      <c r="G52" s="24">
        <f t="shared" ref="G52:G55" si="79">F52-$AF52</f>
        <v>0.81629675999999995</v>
      </c>
      <c r="H52" s="23">
        <v>636345.5</v>
      </c>
      <c r="I52" s="25">
        <f t="shared" ref="I52:I55" si="80">H52/$A$1</f>
        <v>0.63634550000000001</v>
      </c>
      <c r="J52" s="24">
        <f t="shared" ref="J52:J55" si="81">I52-$AF52</f>
        <v>0.62564549999999997</v>
      </c>
      <c r="K52" s="23">
        <v>704312.2</v>
      </c>
      <c r="L52" s="25">
        <f>K52/$A$1</f>
        <v>0.70431219999999994</v>
      </c>
      <c r="M52" s="24">
        <f t="shared" ref="M52:M55" si="82">L52-$AF52</f>
        <v>0.6936121999999999</v>
      </c>
      <c r="N52" s="23">
        <v>711943.09</v>
      </c>
      <c r="O52" s="25">
        <f t="shared" ref="O52:O55" si="83">N52/$A$1</f>
        <v>0.71194309</v>
      </c>
      <c r="P52" s="24">
        <f t="shared" ref="P52:P55" si="84">O52-$AF52</f>
        <v>0.70124308999999996</v>
      </c>
      <c r="Q52" s="23">
        <v>90278.44</v>
      </c>
      <c r="R52" s="25">
        <f t="shared" ref="R52:R55" si="85">Q52/$A$1</f>
        <v>9.0278440000000001E-2</v>
      </c>
      <c r="S52" s="24">
        <f t="shared" ref="S52:S55" si="86">R52-$AF52</f>
        <v>7.957844E-2</v>
      </c>
      <c r="T52" s="23">
        <v>525708.05000000005</v>
      </c>
      <c r="U52" s="25">
        <f t="shared" ref="U52:U55" si="87">T52/$A$1</f>
        <v>0.52570805000000009</v>
      </c>
      <c r="V52" s="24">
        <f t="shared" ref="V52:V55" si="88">U52-$AF52</f>
        <v>0.51500805000000005</v>
      </c>
      <c r="W52" s="23">
        <v>299235.81</v>
      </c>
      <c r="X52" s="25">
        <f t="shared" ref="X52:X55" si="89">W52/$A$1</f>
        <v>0.29923580999999999</v>
      </c>
      <c r="Y52" s="24">
        <f t="shared" ref="Y52:Y55" si="90">X52-$AF52</f>
        <v>0.28853581</v>
      </c>
      <c r="Z52" s="23">
        <v>1183814.55</v>
      </c>
      <c r="AA52" s="25">
        <f t="shared" ref="AA52:AA55" si="91">Z52/$A$1</f>
        <v>1.1838145500000001</v>
      </c>
      <c r="AB52" s="24">
        <f t="shared" ref="AB52:AB55" si="92">AA52-$AF52</f>
        <v>1.1731145500000002</v>
      </c>
      <c r="AC52" s="23">
        <v>770416.28</v>
      </c>
      <c r="AD52" s="25">
        <f t="shared" ref="AD52:AD55" si="93">AC52/$A$1</f>
        <v>0.77041628000000006</v>
      </c>
      <c r="AE52" s="24">
        <f t="shared" ref="AE52:AE55" si="94">AD52-$AF52</f>
        <v>0.75971628000000002</v>
      </c>
      <c r="AF52" s="24">
        <v>1.0699999999999999E-2</v>
      </c>
    </row>
    <row r="53" spans="1:32" x14ac:dyDescent="0.25">
      <c r="A53" s="22">
        <v>2018</v>
      </c>
      <c r="B53" s="23">
        <f>712330.68-A47</f>
        <v>-287669.31999999995</v>
      </c>
      <c r="C53" s="24">
        <f t="shared" si="77"/>
        <v>-0.28766931999999995</v>
      </c>
      <c r="D53" s="24">
        <f t="shared" si="78"/>
        <v>-0.29836931999999994</v>
      </c>
      <c r="E53" s="23">
        <f>827134.01-A47</f>
        <v>-172865.99</v>
      </c>
      <c r="F53" s="24">
        <f t="shared" si="77"/>
        <v>-0.17286599</v>
      </c>
      <c r="G53" s="24">
        <f t="shared" si="79"/>
        <v>-0.18356598999999998</v>
      </c>
      <c r="H53" s="23">
        <f>736885.56-1000000</f>
        <v>-263114.43999999994</v>
      </c>
      <c r="I53" s="25">
        <f t="shared" si="80"/>
        <v>-0.26311443999999995</v>
      </c>
      <c r="J53" s="24">
        <f t="shared" si="81"/>
        <v>-0.27381443999999994</v>
      </c>
      <c r="K53" s="23">
        <v>-108033.71999999997</v>
      </c>
      <c r="L53" s="25">
        <f>K53/$A$1</f>
        <v>-0.10803371999999997</v>
      </c>
      <c r="M53" s="24">
        <f t="shared" si="82"/>
        <v>-0.11873371999999997</v>
      </c>
      <c r="N53" s="23">
        <f>781869.63-A47</f>
        <v>-218130.37</v>
      </c>
      <c r="O53" s="25">
        <f t="shared" si="83"/>
        <v>-0.21813036999999999</v>
      </c>
      <c r="P53" s="24">
        <f t="shared" si="84"/>
        <v>-0.22883036999999998</v>
      </c>
      <c r="Q53" s="23">
        <f>679874.47-A47</f>
        <v>-320125.53000000003</v>
      </c>
      <c r="R53" s="25">
        <f t="shared" si="85"/>
        <v>-0.32012553000000005</v>
      </c>
      <c r="S53" s="24">
        <f t="shared" si="86"/>
        <v>-0.33082553000000003</v>
      </c>
      <c r="T53" s="23">
        <f>910272.31-A47</f>
        <v>-89727.689999999944</v>
      </c>
      <c r="U53" s="25">
        <f t="shared" si="87"/>
        <v>-8.9727689999999943E-2</v>
      </c>
      <c r="V53" s="24">
        <f t="shared" si="88"/>
        <v>-0.10042768999999994</v>
      </c>
      <c r="W53" s="23">
        <f>625857.64-A47</f>
        <v>-374142.36</v>
      </c>
      <c r="X53" s="25">
        <f t="shared" si="89"/>
        <v>-0.37414236000000001</v>
      </c>
      <c r="Y53" s="24">
        <f t="shared" si="90"/>
        <v>-0.38484235999999999</v>
      </c>
      <c r="Z53" s="23">
        <f>572922.3-A47</f>
        <v>-427077.69999999995</v>
      </c>
      <c r="AA53" s="25">
        <f t="shared" si="91"/>
        <v>-0.42707769999999995</v>
      </c>
      <c r="AB53" s="24">
        <f t="shared" si="92"/>
        <v>-0.43777769999999994</v>
      </c>
      <c r="AC53" s="23">
        <f>652134.99-A47</f>
        <v>-347865.01</v>
      </c>
      <c r="AD53" s="25">
        <f t="shared" si="93"/>
        <v>-0.34786501000000003</v>
      </c>
      <c r="AE53" s="24">
        <f t="shared" si="94"/>
        <v>-0.35856501000000002</v>
      </c>
      <c r="AF53" s="24">
        <v>1.0699999999999999E-2</v>
      </c>
    </row>
    <row r="54" spans="1:32" x14ac:dyDescent="0.25">
      <c r="A54" s="22">
        <v>2019</v>
      </c>
      <c r="B54" s="23">
        <v>325112.61</v>
      </c>
      <c r="C54" s="24">
        <f t="shared" si="77"/>
        <v>0.32511260999999997</v>
      </c>
      <c r="D54" s="24">
        <f t="shared" si="78"/>
        <v>0.31441260999999998</v>
      </c>
      <c r="E54" s="23">
        <v>341085.32</v>
      </c>
      <c r="F54" s="24">
        <f t="shared" si="77"/>
        <v>0.34108532000000003</v>
      </c>
      <c r="G54" s="24">
        <f t="shared" si="79"/>
        <v>0.33038532000000004</v>
      </c>
      <c r="H54" s="23">
        <v>406808.85</v>
      </c>
      <c r="I54" s="25">
        <f t="shared" si="80"/>
        <v>0.40680885</v>
      </c>
      <c r="J54" s="24">
        <f t="shared" si="81"/>
        <v>0.39610885000000001</v>
      </c>
      <c r="K54" s="23">
        <v>286908.27</v>
      </c>
      <c r="L54" s="25">
        <f>K54/$A$1</f>
        <v>0.28690827000000002</v>
      </c>
      <c r="M54" s="24">
        <f t="shared" si="82"/>
        <v>0.27620827000000003</v>
      </c>
      <c r="N54" s="23">
        <v>390916.28</v>
      </c>
      <c r="O54" s="25">
        <f t="shared" si="83"/>
        <v>0.39091628</v>
      </c>
      <c r="P54" s="24">
        <f t="shared" si="84"/>
        <v>0.38021628000000002</v>
      </c>
      <c r="Q54" s="23">
        <v>842098.24</v>
      </c>
      <c r="R54" s="25">
        <f t="shared" si="85"/>
        <v>0.84209824</v>
      </c>
      <c r="S54" s="24">
        <f t="shared" si="86"/>
        <v>0.83139823999999996</v>
      </c>
      <c r="T54" s="23">
        <v>536092.84</v>
      </c>
      <c r="U54" s="25">
        <f t="shared" si="87"/>
        <v>0.53609284000000001</v>
      </c>
      <c r="V54" s="24">
        <f t="shared" si="88"/>
        <v>0.52539283999999997</v>
      </c>
      <c r="W54" s="23">
        <v>270735.25</v>
      </c>
      <c r="X54" s="25">
        <f t="shared" si="89"/>
        <v>0.27073524999999998</v>
      </c>
      <c r="Y54" s="24">
        <f t="shared" si="90"/>
        <v>0.26003525</v>
      </c>
      <c r="Z54" s="23">
        <v>1091653.4099999999</v>
      </c>
      <c r="AA54" s="25">
        <f t="shared" si="91"/>
        <v>1.0916534099999999</v>
      </c>
      <c r="AB54" s="24">
        <f t="shared" si="92"/>
        <v>1.08095341</v>
      </c>
      <c r="AC54" s="23">
        <v>775894.07</v>
      </c>
      <c r="AD54" s="25">
        <f t="shared" si="93"/>
        <v>0.77589406999999999</v>
      </c>
      <c r="AE54" s="24">
        <f t="shared" si="94"/>
        <v>0.76519406999999995</v>
      </c>
      <c r="AF54" s="24">
        <v>1.0699999999999999E-2</v>
      </c>
    </row>
    <row r="55" spans="1:32" x14ac:dyDescent="0.25">
      <c r="A55" s="22">
        <v>2020</v>
      </c>
      <c r="B55" s="23">
        <v>502124.51</v>
      </c>
      <c r="C55" s="24">
        <f t="shared" si="77"/>
        <v>0.50212451000000002</v>
      </c>
      <c r="D55" s="24">
        <f t="shared" si="78"/>
        <v>0.49142451000000004</v>
      </c>
      <c r="E55" s="23">
        <v>517736.71</v>
      </c>
      <c r="F55" s="24">
        <f t="shared" si="77"/>
        <v>0.51773670999999999</v>
      </c>
      <c r="G55" s="24">
        <f t="shared" si="79"/>
        <v>0.50703670999999995</v>
      </c>
      <c r="H55" s="23">
        <v>483888.57</v>
      </c>
      <c r="I55" s="25">
        <f t="shared" si="80"/>
        <v>0.48388857000000002</v>
      </c>
      <c r="J55" s="24">
        <f t="shared" si="81"/>
        <v>0.47318857000000003</v>
      </c>
      <c r="K55" s="23">
        <v>598912.24</v>
      </c>
      <c r="L55" s="25">
        <f>K55/$A$1</f>
        <v>0.59891223999999998</v>
      </c>
      <c r="M55" s="24">
        <f t="shared" si="82"/>
        <v>0.58821223999999994</v>
      </c>
      <c r="N55" s="23">
        <v>562800.81999999995</v>
      </c>
      <c r="O55" s="25">
        <f t="shared" si="83"/>
        <v>0.56280081999999998</v>
      </c>
      <c r="P55" s="24">
        <f t="shared" si="84"/>
        <v>0.55210081999999994</v>
      </c>
      <c r="Q55" s="23">
        <v>146558.53</v>
      </c>
      <c r="R55" s="25">
        <f t="shared" si="85"/>
        <v>0.14655852999999999</v>
      </c>
      <c r="S55" s="24">
        <f t="shared" si="86"/>
        <v>0.13585853000000001</v>
      </c>
      <c r="T55" s="23">
        <v>602166.86</v>
      </c>
      <c r="U55" s="25">
        <f t="shared" si="87"/>
        <v>0.60216685999999997</v>
      </c>
      <c r="V55" s="24">
        <f t="shared" si="88"/>
        <v>0.59146685999999993</v>
      </c>
      <c r="W55" s="23">
        <v>732342.13</v>
      </c>
      <c r="X55" s="25">
        <f t="shared" si="89"/>
        <v>0.73234213000000004</v>
      </c>
      <c r="Y55" s="24">
        <f t="shared" si="90"/>
        <v>0.72164212999999999</v>
      </c>
      <c r="Z55" s="23">
        <v>668150.77</v>
      </c>
      <c r="AA55" s="25">
        <f t="shared" si="91"/>
        <v>0.66815077</v>
      </c>
      <c r="AB55" s="24">
        <f t="shared" si="92"/>
        <v>0.65745076999999996</v>
      </c>
      <c r="AC55" s="23">
        <v>891418.46</v>
      </c>
      <c r="AD55" s="25">
        <f t="shared" si="93"/>
        <v>0.89141845999999991</v>
      </c>
      <c r="AE55" s="24">
        <f t="shared" si="94"/>
        <v>0.88071845999999987</v>
      </c>
      <c r="AF55" s="24">
        <v>1.0699999999999999E-2</v>
      </c>
    </row>
    <row r="56" spans="1:32" x14ac:dyDescent="0.25">
      <c r="A56" s="26" t="s">
        <v>26</v>
      </c>
      <c r="B56" s="27">
        <f t="shared" ref="B56" si="95">AVERAGE(B51:B55)</f>
        <v>297401.20600000001</v>
      </c>
      <c r="C56" s="24">
        <f>AVERAGE(C51:C55)</f>
        <v>0.29740120600000003</v>
      </c>
      <c r="D56" s="24"/>
      <c r="E56" s="27">
        <f t="shared" ref="E56" si="96">AVERAGE(E51:E55)</f>
        <v>354210.00599999999</v>
      </c>
      <c r="F56" s="24">
        <f>AVERAGE(F51:F55)</f>
        <v>0.35421000600000002</v>
      </c>
      <c r="G56" s="24"/>
      <c r="H56" s="27">
        <f t="shared" ref="H56:X56" si="97">AVERAGE(H51:H55)</f>
        <v>319773.01800000004</v>
      </c>
      <c r="I56" s="28">
        <f t="shared" si="97"/>
        <v>0.31977301799999996</v>
      </c>
      <c r="J56" s="28"/>
      <c r="K56" s="27">
        <f t="shared" si="97"/>
        <v>386600.11600000004</v>
      </c>
      <c r="L56" s="25">
        <f t="shared" si="97"/>
        <v>0.38660011599999999</v>
      </c>
      <c r="M56" s="25"/>
      <c r="N56" s="27">
        <f t="shared" si="97"/>
        <v>443653.31599999999</v>
      </c>
      <c r="O56" s="25">
        <f t="shared" si="97"/>
        <v>0.44365331600000008</v>
      </c>
      <c r="P56" s="25"/>
      <c r="Q56" s="27">
        <f>AVERAGE(Q51:Q55)</f>
        <v>247209.76</v>
      </c>
      <c r="R56" s="25">
        <f t="shared" si="97"/>
        <v>0.24720976</v>
      </c>
      <c r="S56" s="25"/>
      <c r="T56" s="27">
        <f t="shared" si="97"/>
        <v>442040.99799999996</v>
      </c>
      <c r="U56" s="25">
        <f t="shared" si="97"/>
        <v>0.44204099800000007</v>
      </c>
      <c r="V56" s="25"/>
      <c r="W56" s="27">
        <f t="shared" si="97"/>
        <v>357610.88399999996</v>
      </c>
      <c r="X56" s="25">
        <f t="shared" si="97"/>
        <v>0.35761088399999996</v>
      </c>
      <c r="Y56" s="25"/>
      <c r="Z56" s="27">
        <f>AVERAGE(Z51:Z55)</f>
        <v>663832.62400000007</v>
      </c>
      <c r="AA56" s="29">
        <f>AVERAGE(AA51:AA55)</f>
        <v>0.66383262400000009</v>
      </c>
      <c r="AB56" s="29"/>
      <c r="AC56" s="27">
        <f>AVERAGE(AC51:AC55)</f>
        <v>561915.58600000001</v>
      </c>
      <c r="AD56" s="25">
        <f>AVERAGE(AD51:AD55)</f>
        <v>0.56191558599999991</v>
      </c>
      <c r="AE56" s="25"/>
      <c r="AF56" s="41"/>
    </row>
    <row r="57" spans="1:32" x14ac:dyDescent="0.25">
      <c r="A57" t="s">
        <v>27</v>
      </c>
      <c r="B57" s="32">
        <f>C56/(STDEV(D51:D55))</f>
        <v>0.88108278724194189</v>
      </c>
      <c r="E57" s="32">
        <f>F56/(STDEV(G51:G55))</f>
        <v>0.96597506808158562</v>
      </c>
      <c r="H57" s="32">
        <f>I56/(STDEV(J51:J55))</f>
        <v>0.92828026076598158</v>
      </c>
      <c r="K57" s="32">
        <f>L56/(STDEV(M51:M55))</f>
        <v>1.2156811266088989</v>
      </c>
      <c r="N57" s="32">
        <f>O56/(STDEV(P51:P55))</f>
        <v>1.1154931347839527</v>
      </c>
      <c r="Q57" s="32">
        <f>R56/(STDEV(S51:S55))</f>
        <v>0.56616759046646981</v>
      </c>
      <c r="T57" s="32">
        <f>U56/(STDEV(V51:V55))</f>
        <v>1.4710710163783511</v>
      </c>
      <c r="W57" s="32">
        <f>X56/(STDEV(Y51:Y55))</f>
        <v>0.73875130186915339</v>
      </c>
      <c r="Z57" s="32">
        <f>AA56/(STDEV(AB51:AB55))</f>
        <v>1.0297607424252244</v>
      </c>
      <c r="AC57" s="32">
        <f>AD56/(STDEV(AE51:AE55))</f>
        <v>1.0968163348259352</v>
      </c>
    </row>
    <row r="58" spans="1:32" x14ac:dyDescent="0.25">
      <c r="B58" s="46"/>
      <c r="E58" s="46"/>
      <c r="H58" s="47"/>
      <c r="K58" s="46"/>
      <c r="N58" s="46"/>
      <c r="Q58" s="46"/>
      <c r="T58" s="46"/>
      <c r="W58" s="46"/>
      <c r="Z58" s="46"/>
      <c r="AC58" s="46"/>
    </row>
    <row r="59" spans="1:32" ht="20.25" x14ac:dyDescent="0.25">
      <c r="A59" s="2" t="s">
        <v>30</v>
      </c>
      <c r="B59" s="3" t="s">
        <v>1</v>
      </c>
      <c r="C59" s="4"/>
      <c r="D59" s="5"/>
      <c r="E59" s="3" t="s">
        <v>2</v>
      </c>
      <c r="F59" s="4"/>
      <c r="G59" s="5"/>
      <c r="H59" s="6" t="s">
        <v>3</v>
      </c>
      <c r="I59" s="7"/>
      <c r="J59" s="8"/>
      <c r="K59" s="3" t="s">
        <v>4</v>
      </c>
      <c r="L59" s="4"/>
      <c r="M59" s="5"/>
      <c r="N59" s="3" t="s">
        <v>5</v>
      </c>
      <c r="O59" s="4"/>
      <c r="P59" s="5"/>
      <c r="Q59" s="3" t="s">
        <v>6</v>
      </c>
      <c r="R59" s="4"/>
      <c r="S59" s="5"/>
      <c r="T59" s="3" t="s">
        <v>7</v>
      </c>
      <c r="U59" s="4"/>
      <c r="V59" s="5"/>
      <c r="W59" s="3" t="s">
        <v>8</v>
      </c>
      <c r="X59" s="4"/>
      <c r="Y59" s="5"/>
      <c r="Z59" s="3" t="s">
        <v>9</v>
      </c>
      <c r="AA59" s="4"/>
      <c r="AB59" s="5"/>
      <c r="AC59" s="3" t="s">
        <v>10</v>
      </c>
      <c r="AD59" s="4"/>
      <c r="AE59" s="5"/>
      <c r="AF59" s="9"/>
    </row>
    <row r="60" spans="1:32" x14ac:dyDescent="0.25">
      <c r="A60" s="10" t="s">
        <v>11</v>
      </c>
      <c r="B60" s="11" t="s">
        <v>12</v>
      </c>
      <c r="C60" s="12"/>
      <c r="D60" s="13"/>
      <c r="E60" s="11" t="s">
        <v>13</v>
      </c>
      <c r="F60" s="12"/>
      <c r="G60" s="13"/>
      <c r="H60" s="14" t="s">
        <v>14</v>
      </c>
      <c r="I60" s="15"/>
      <c r="J60" s="16"/>
      <c r="K60" s="11" t="s">
        <v>15</v>
      </c>
      <c r="L60" s="12"/>
      <c r="M60" s="13"/>
      <c r="N60" s="11" t="s">
        <v>16</v>
      </c>
      <c r="O60" s="12"/>
      <c r="P60" s="13"/>
      <c r="Q60" s="11" t="s">
        <v>17</v>
      </c>
      <c r="R60" s="12"/>
      <c r="S60" s="13"/>
      <c r="T60" s="11" t="s">
        <v>18</v>
      </c>
      <c r="U60" s="12"/>
      <c r="V60" s="13"/>
      <c r="W60" s="11" t="s">
        <v>19</v>
      </c>
      <c r="X60" s="12"/>
      <c r="Y60" s="13"/>
      <c r="Z60" s="11" t="s">
        <v>20</v>
      </c>
      <c r="AA60" s="12"/>
      <c r="AB60" s="13"/>
      <c r="AC60" s="35" t="s">
        <v>21</v>
      </c>
      <c r="AD60" s="36"/>
      <c r="AE60" s="37"/>
      <c r="AF60" s="17" t="s">
        <v>22</v>
      </c>
    </row>
    <row r="61" spans="1:32" x14ac:dyDescent="0.25">
      <c r="A61" s="18"/>
      <c r="B61" s="19" t="s">
        <v>23</v>
      </c>
      <c r="C61" s="19" t="s">
        <v>24</v>
      </c>
      <c r="D61" s="19" t="s">
        <v>25</v>
      </c>
      <c r="E61" s="19" t="s">
        <v>23</v>
      </c>
      <c r="F61" s="19" t="s">
        <v>24</v>
      </c>
      <c r="G61" s="19" t="s">
        <v>25</v>
      </c>
      <c r="H61" s="20" t="s">
        <v>23</v>
      </c>
      <c r="I61" s="20" t="s">
        <v>24</v>
      </c>
      <c r="J61" s="19" t="s">
        <v>25</v>
      </c>
      <c r="K61" s="19" t="s">
        <v>23</v>
      </c>
      <c r="L61" s="19" t="s">
        <v>24</v>
      </c>
      <c r="M61" s="19" t="s">
        <v>25</v>
      </c>
      <c r="N61" s="19" t="s">
        <v>23</v>
      </c>
      <c r="O61" s="19" t="s">
        <v>24</v>
      </c>
      <c r="P61" s="19" t="s">
        <v>25</v>
      </c>
      <c r="Q61" s="19" t="s">
        <v>23</v>
      </c>
      <c r="R61" s="19" t="s">
        <v>24</v>
      </c>
      <c r="S61" s="19" t="s">
        <v>25</v>
      </c>
      <c r="T61" s="19" t="s">
        <v>23</v>
      </c>
      <c r="U61" s="19" t="s">
        <v>24</v>
      </c>
      <c r="V61" s="19" t="s">
        <v>25</v>
      </c>
      <c r="W61" s="19" t="s">
        <v>23</v>
      </c>
      <c r="X61" s="19" t="s">
        <v>24</v>
      </c>
      <c r="Y61" s="19" t="s">
        <v>25</v>
      </c>
      <c r="Z61" s="19" t="s">
        <v>23</v>
      </c>
      <c r="AA61" s="19" t="s">
        <v>24</v>
      </c>
      <c r="AB61" s="19" t="s">
        <v>25</v>
      </c>
      <c r="AC61" s="19" t="s">
        <v>23</v>
      </c>
      <c r="AD61" s="19" t="s">
        <v>24</v>
      </c>
      <c r="AE61" s="19" t="s">
        <v>25</v>
      </c>
      <c r="AF61" s="21"/>
    </row>
    <row r="62" spans="1:32" x14ac:dyDescent="0.25">
      <c r="A62" s="22">
        <v>2016</v>
      </c>
      <c r="B62" s="23">
        <v>282081.38</v>
      </c>
      <c r="C62" s="24">
        <f>B62/$A$1</f>
        <v>0.28208137999999999</v>
      </c>
      <c r="D62" s="24">
        <f>C62-$AF62</f>
        <v>0.26958137999999998</v>
      </c>
      <c r="E62" s="23">
        <v>197521.08</v>
      </c>
      <c r="F62" s="24">
        <f>E62/$A$1</f>
        <v>0.19752107999999999</v>
      </c>
      <c r="G62" s="24">
        <f>F62-$AF62</f>
        <v>0.18502107999999998</v>
      </c>
      <c r="H62" s="23">
        <v>232360.67</v>
      </c>
      <c r="I62" s="25">
        <f>H62/$A$1</f>
        <v>0.23236067000000002</v>
      </c>
      <c r="J62" s="24">
        <f>I62-$AF62</f>
        <v>0.21986067000000001</v>
      </c>
      <c r="K62" s="23">
        <v>330660.49</v>
      </c>
      <c r="L62" s="25">
        <f>K62/$A$1</f>
        <v>0.33066048999999997</v>
      </c>
      <c r="M62" s="24">
        <f>L62-$AF62</f>
        <v>0.31816048999999996</v>
      </c>
      <c r="N62" s="23">
        <v>524265.99</v>
      </c>
      <c r="O62" s="25">
        <f>N62/$A$1</f>
        <v>0.52426598999999996</v>
      </c>
      <c r="P62" s="24">
        <f>O62-$AF62</f>
        <v>0.51176599</v>
      </c>
      <c r="Q62" s="23">
        <v>587786.41</v>
      </c>
      <c r="R62" s="25">
        <f>Q62/$A$1</f>
        <v>0.58778640999999998</v>
      </c>
      <c r="S62" s="24">
        <f>R62-$AF62</f>
        <v>0.57528641000000003</v>
      </c>
      <c r="T62" s="23">
        <v>507472.12</v>
      </c>
      <c r="U62" s="25">
        <f>T62/$A$1</f>
        <v>0.50747211999999997</v>
      </c>
      <c r="V62" s="24">
        <f>U62-$AF62</f>
        <v>0.49497211999999996</v>
      </c>
      <c r="W62" s="23">
        <v>587786.41</v>
      </c>
      <c r="X62" s="25">
        <f>W62/$A$1</f>
        <v>0.58778640999999998</v>
      </c>
      <c r="Y62" s="24">
        <f>X62-$AF62</f>
        <v>0.57528641000000003</v>
      </c>
      <c r="Z62" s="23">
        <v>587786.41</v>
      </c>
      <c r="AA62" s="25">
        <f>Z62/$A$1</f>
        <v>0.58778640999999998</v>
      </c>
      <c r="AB62" s="24">
        <f>AA62-$AF62</f>
        <v>0.57528641000000003</v>
      </c>
      <c r="AC62" s="23">
        <v>757407.8</v>
      </c>
      <c r="AD62" s="25">
        <f>AC62/$A$1</f>
        <v>0.75740780000000008</v>
      </c>
      <c r="AE62" s="24">
        <f>AD62-$AF62</f>
        <v>0.74490780000000012</v>
      </c>
      <c r="AF62" s="24">
        <v>1.2500000000000001E-2</v>
      </c>
    </row>
    <row r="63" spans="1:32" x14ac:dyDescent="0.25">
      <c r="A63" s="22">
        <v>2017</v>
      </c>
      <c r="B63" s="23">
        <v>447937.43</v>
      </c>
      <c r="C63" s="24">
        <f t="shared" ref="C63:C66" si="98">B63/$A$1</f>
        <v>0.44793742999999997</v>
      </c>
      <c r="D63" s="24">
        <f t="shared" ref="D63:D66" si="99">C63-$AF63</f>
        <v>0.43723742999999998</v>
      </c>
      <c r="E63" s="23">
        <v>801800.94</v>
      </c>
      <c r="F63" s="24">
        <f t="shared" ref="F63:F66" si="100">E63/$A$1</f>
        <v>0.80180093999999991</v>
      </c>
      <c r="G63" s="24">
        <f t="shared" ref="G63:G66" si="101">F63-$AF63</f>
        <v>0.79110093999999986</v>
      </c>
      <c r="H63" s="23">
        <v>602046.69999999995</v>
      </c>
      <c r="I63" s="25">
        <f t="shared" ref="I63:I66" si="102">H63/$A$1</f>
        <v>0.60204669999999993</v>
      </c>
      <c r="J63" s="24">
        <f t="shared" ref="J63:J66" si="103">I63-$AF63</f>
        <v>0.59134669999999989</v>
      </c>
      <c r="K63" s="23">
        <v>526509.18000000005</v>
      </c>
      <c r="L63" s="25">
        <f>K63/$A$1</f>
        <v>0.52650918000000002</v>
      </c>
      <c r="M63" s="24">
        <f t="shared" ref="M63:M66" si="104">L63-$AF63</f>
        <v>0.51580917999999998</v>
      </c>
      <c r="N63" s="23">
        <v>526509.18000000005</v>
      </c>
      <c r="O63" s="25">
        <f t="shared" ref="O63:O66" si="105">N63/$A$1</f>
        <v>0.52650918000000002</v>
      </c>
      <c r="P63" s="24">
        <f t="shared" ref="P63:P66" si="106">O63-$AF63</f>
        <v>0.51580917999999998</v>
      </c>
      <c r="Q63" s="23">
        <v>48118.46</v>
      </c>
      <c r="R63" s="25">
        <f t="shared" ref="R63:R66" si="107">Q63/$A$1</f>
        <v>4.8118460000000002E-2</v>
      </c>
      <c r="S63" s="24">
        <f t="shared" ref="S63:S66" si="108">R63-$AF63</f>
        <v>3.7418460000000001E-2</v>
      </c>
      <c r="T63" s="23">
        <v>350338.51</v>
      </c>
      <c r="U63" s="25">
        <f t="shared" ref="U63:U66" si="109">T63/$A$1</f>
        <v>0.35033850999999999</v>
      </c>
      <c r="V63" s="24">
        <f t="shared" ref="V63:V66" si="110">U63-$AF63</f>
        <v>0.33963851</v>
      </c>
      <c r="W63" s="23">
        <v>215656.88</v>
      </c>
      <c r="X63" s="25">
        <f t="shared" ref="X63:X66" si="111">W63/$A$1</f>
        <v>0.21565688</v>
      </c>
      <c r="Y63" s="24">
        <f t="shared" ref="Y63:Y66" si="112">X63-$AF63</f>
        <v>0.20495688000000001</v>
      </c>
      <c r="Z63" s="23">
        <v>1800962.71</v>
      </c>
      <c r="AA63" s="25">
        <f t="shared" ref="AA63:AA66" si="113">Z63/$A$1</f>
        <v>1.8009627099999999</v>
      </c>
      <c r="AB63" s="24">
        <f t="shared" ref="AB63:AB66" si="114">AA63-$AF63</f>
        <v>1.7902627099999999</v>
      </c>
      <c r="AC63" s="23">
        <v>605301.31000000006</v>
      </c>
      <c r="AD63" s="25">
        <f t="shared" ref="AD63:AD66" si="115">AC63/$A$1</f>
        <v>0.60530131000000009</v>
      </c>
      <c r="AE63" s="24">
        <f t="shared" ref="AE63:AE66" si="116">AD63-$AF63</f>
        <v>0.59460131000000005</v>
      </c>
      <c r="AF63" s="24">
        <v>1.0699999999999999E-2</v>
      </c>
    </row>
    <row r="64" spans="1:32" x14ac:dyDescent="0.25">
      <c r="A64" s="22">
        <v>2018</v>
      </c>
      <c r="B64" s="23">
        <f>679694.2-A47</f>
        <v>-320305.80000000005</v>
      </c>
      <c r="C64" s="24">
        <f t="shared" si="98"/>
        <v>-0.32030580000000003</v>
      </c>
      <c r="D64" s="24">
        <f t="shared" si="99"/>
        <v>-0.33100580000000002</v>
      </c>
      <c r="E64" s="23">
        <f>850176.81-A47</f>
        <v>-149823.18999999994</v>
      </c>
      <c r="F64" s="24">
        <f t="shared" si="100"/>
        <v>-0.14982318999999994</v>
      </c>
      <c r="G64" s="24">
        <f t="shared" si="101"/>
        <v>-0.16052318999999993</v>
      </c>
      <c r="H64" s="23">
        <f>753449.15-A47</f>
        <v>-246550.84999999998</v>
      </c>
      <c r="I64" s="25">
        <f t="shared" si="102"/>
        <v>-0.24655084999999999</v>
      </c>
      <c r="J64" s="24">
        <f t="shared" si="103"/>
        <v>-0.25725084999999998</v>
      </c>
      <c r="K64" s="23">
        <f>843176.85-A47</f>
        <v>-156823.15000000002</v>
      </c>
      <c r="L64" s="25">
        <f>K64/$A$1</f>
        <v>-0.15682315000000002</v>
      </c>
      <c r="M64" s="24">
        <f t="shared" si="104"/>
        <v>-0.16752315000000001</v>
      </c>
      <c r="N64" s="23">
        <f>649531.28-A47</f>
        <v>-350468.72</v>
      </c>
      <c r="O64" s="25">
        <f t="shared" si="105"/>
        <v>-0.35046871999999996</v>
      </c>
      <c r="P64" s="24">
        <f t="shared" si="106"/>
        <v>-0.36116871999999994</v>
      </c>
      <c r="Q64" s="23">
        <f>573282.8-A47</f>
        <v>-426717.19999999995</v>
      </c>
      <c r="R64" s="25">
        <f t="shared" si="107"/>
        <v>-0.42671719999999996</v>
      </c>
      <c r="S64" s="24">
        <f t="shared" si="108"/>
        <v>-0.43741719999999995</v>
      </c>
      <c r="T64" s="23">
        <f>789220.03-A47</f>
        <v>-210779.96999999997</v>
      </c>
      <c r="U64" s="25">
        <f t="shared" si="109"/>
        <v>-0.21077996999999998</v>
      </c>
      <c r="V64" s="24">
        <f t="shared" si="110"/>
        <v>-0.22147996999999997</v>
      </c>
      <c r="W64" s="23">
        <f>560825.08-A47</f>
        <v>-439174.92000000004</v>
      </c>
      <c r="X64" s="25">
        <f t="shared" si="111"/>
        <v>-0.43917492000000002</v>
      </c>
      <c r="Y64" s="24">
        <f t="shared" si="112"/>
        <v>-0.44987492000000001</v>
      </c>
      <c r="Z64" s="23">
        <f>522059.91-A47</f>
        <v>-477940.09</v>
      </c>
      <c r="AA64" s="25">
        <f t="shared" si="113"/>
        <v>-0.47794009000000004</v>
      </c>
      <c r="AB64" s="24">
        <f t="shared" si="114"/>
        <v>-0.48864009000000003</v>
      </c>
      <c r="AC64" s="23">
        <f>638185.16-A47</f>
        <v>-361814.83999999997</v>
      </c>
      <c r="AD64" s="25">
        <f t="shared" si="115"/>
        <v>-0.36181483999999997</v>
      </c>
      <c r="AE64" s="24">
        <f t="shared" si="116"/>
        <v>-0.37251483999999996</v>
      </c>
      <c r="AF64" s="24">
        <v>1.0699999999999999E-2</v>
      </c>
    </row>
    <row r="65" spans="1:32" x14ac:dyDescent="0.25">
      <c r="A65" s="22">
        <v>2019</v>
      </c>
      <c r="B65" s="23">
        <v>225971.59</v>
      </c>
      <c r="C65" s="24">
        <f t="shared" si="98"/>
        <v>0.22597159</v>
      </c>
      <c r="D65" s="24">
        <f t="shared" si="99"/>
        <v>0.21527159000000001</v>
      </c>
      <c r="E65" s="23">
        <v>210960.2</v>
      </c>
      <c r="F65" s="24">
        <f t="shared" si="100"/>
        <v>0.21096020000000001</v>
      </c>
      <c r="G65" s="24">
        <f t="shared" si="101"/>
        <v>0.20026020000000003</v>
      </c>
      <c r="H65" s="23">
        <v>224309.18</v>
      </c>
      <c r="I65" s="25">
        <f t="shared" si="102"/>
        <v>0.22430918</v>
      </c>
      <c r="J65" s="24">
        <f t="shared" si="103"/>
        <v>0.21360918000000001</v>
      </c>
      <c r="K65" s="23">
        <v>224309.18</v>
      </c>
      <c r="L65" s="25">
        <f>K65/$A$1</f>
        <v>0.22430918</v>
      </c>
      <c r="M65" s="24">
        <f t="shared" si="104"/>
        <v>0.21360918000000001</v>
      </c>
      <c r="N65" s="23">
        <v>287198.67</v>
      </c>
      <c r="O65" s="25">
        <f t="shared" si="105"/>
        <v>0.28719866999999999</v>
      </c>
      <c r="P65" s="24">
        <f t="shared" si="106"/>
        <v>0.27649867</v>
      </c>
      <c r="Q65" s="23">
        <v>468877.21</v>
      </c>
      <c r="R65" s="25">
        <f t="shared" si="107"/>
        <v>0.46887721000000004</v>
      </c>
      <c r="S65" s="24">
        <f t="shared" si="108"/>
        <v>0.45817721000000006</v>
      </c>
      <c r="T65" s="23">
        <v>276353.27</v>
      </c>
      <c r="U65" s="25">
        <f t="shared" si="109"/>
        <v>0.27635327000000004</v>
      </c>
      <c r="V65" s="24">
        <f t="shared" si="110"/>
        <v>0.26565327000000005</v>
      </c>
      <c r="W65" s="23">
        <v>292305.98</v>
      </c>
      <c r="X65" s="25">
        <f t="shared" si="111"/>
        <v>0.29230597999999997</v>
      </c>
      <c r="Y65" s="24">
        <f t="shared" si="112"/>
        <v>0.28160597999999998</v>
      </c>
      <c r="Z65" s="23">
        <v>941449.67</v>
      </c>
      <c r="AA65" s="25">
        <f t="shared" si="113"/>
        <v>0.94144967000000002</v>
      </c>
      <c r="AB65" s="24">
        <f t="shared" si="114"/>
        <v>0.93074966999999997</v>
      </c>
      <c r="AC65" s="23">
        <v>221174.72</v>
      </c>
      <c r="AD65" s="25">
        <f t="shared" si="115"/>
        <v>0.22117471999999999</v>
      </c>
      <c r="AE65" s="24">
        <f t="shared" si="116"/>
        <v>0.21047472</v>
      </c>
      <c r="AF65" s="24">
        <v>1.0699999999999999E-2</v>
      </c>
    </row>
    <row r="66" spans="1:32" x14ac:dyDescent="0.25">
      <c r="A66" s="22">
        <v>2020</v>
      </c>
      <c r="B66" s="23">
        <v>445393.77</v>
      </c>
      <c r="C66" s="24">
        <f t="shared" si="98"/>
        <v>0.44539377000000002</v>
      </c>
      <c r="D66" s="24">
        <f t="shared" si="99"/>
        <v>0.43469377000000003</v>
      </c>
      <c r="E66" s="23">
        <v>378688.82</v>
      </c>
      <c r="F66" s="24">
        <f t="shared" si="100"/>
        <v>0.37868881999999998</v>
      </c>
      <c r="G66" s="24">
        <f t="shared" si="101"/>
        <v>0.36798881999999999</v>
      </c>
      <c r="H66" s="23">
        <v>410564.22</v>
      </c>
      <c r="I66" s="25">
        <f t="shared" si="102"/>
        <v>0.41056421999999998</v>
      </c>
      <c r="J66" s="24">
        <f t="shared" si="103"/>
        <v>0.39986421999999999</v>
      </c>
      <c r="K66" s="23">
        <v>353953.66</v>
      </c>
      <c r="L66" s="25">
        <f>K66/$A$1</f>
        <v>0.35395365999999995</v>
      </c>
      <c r="M66" s="24">
        <f t="shared" si="104"/>
        <v>0.34325365999999996</v>
      </c>
      <c r="N66" s="23">
        <v>378688.82</v>
      </c>
      <c r="O66" s="25">
        <f t="shared" si="105"/>
        <v>0.37868881999999998</v>
      </c>
      <c r="P66" s="24">
        <f t="shared" si="106"/>
        <v>0.36798881999999999</v>
      </c>
      <c r="Q66" s="23">
        <v>52574.79</v>
      </c>
      <c r="R66" s="25">
        <f t="shared" si="107"/>
        <v>5.2574790000000003E-2</v>
      </c>
      <c r="S66" s="24">
        <f t="shared" si="108"/>
        <v>4.1874790000000002E-2</v>
      </c>
      <c r="T66" s="23">
        <v>1093.8499999999999</v>
      </c>
      <c r="U66" s="25">
        <f t="shared" si="109"/>
        <v>1.0938499999999999E-3</v>
      </c>
      <c r="V66" s="24">
        <f t="shared" si="110"/>
        <v>-9.6061499999999991E-3</v>
      </c>
      <c r="W66" s="23">
        <v>390155.2</v>
      </c>
      <c r="X66" s="25">
        <f t="shared" si="111"/>
        <v>0.39015520000000004</v>
      </c>
      <c r="Y66" s="24">
        <f t="shared" si="112"/>
        <v>0.37945520000000005</v>
      </c>
      <c r="Z66" s="23">
        <v>415290.97</v>
      </c>
      <c r="AA66" s="25">
        <f t="shared" si="113"/>
        <v>0.41529096999999998</v>
      </c>
      <c r="AB66" s="24">
        <f t="shared" si="114"/>
        <v>0.40459096999999999</v>
      </c>
      <c r="AC66" s="23">
        <v>808610.62</v>
      </c>
      <c r="AD66" s="25">
        <f t="shared" si="115"/>
        <v>0.80861061999999995</v>
      </c>
      <c r="AE66" s="24">
        <f t="shared" si="116"/>
        <v>0.7979106199999999</v>
      </c>
      <c r="AF66" s="24">
        <v>1.0699999999999999E-2</v>
      </c>
    </row>
    <row r="67" spans="1:32" x14ac:dyDescent="0.25">
      <c r="A67" s="26" t="s">
        <v>26</v>
      </c>
      <c r="B67" s="27">
        <f t="shared" ref="B67" si="117">AVERAGE(B62:B66)</f>
        <v>216215.67400000003</v>
      </c>
      <c r="C67" s="24">
        <f>AVERAGE(C62:C66)</f>
        <v>0.21621567400000002</v>
      </c>
      <c r="D67" s="24"/>
      <c r="E67" s="27">
        <f t="shared" ref="E67" si="118">AVERAGE(E62:E66)</f>
        <v>287829.57</v>
      </c>
      <c r="F67" s="24">
        <f>AVERAGE(F62:F66)</f>
        <v>0.28782956999999998</v>
      </c>
      <c r="G67" s="24"/>
      <c r="H67" s="27">
        <f t="shared" ref="H67:O67" si="119">AVERAGE(H62:H66)</f>
        <v>244545.984</v>
      </c>
      <c r="I67" s="28">
        <f t="shared" si="119"/>
        <v>0.24454598399999999</v>
      </c>
      <c r="J67" s="28"/>
      <c r="K67" s="27">
        <f t="shared" si="119"/>
        <v>255721.87199999997</v>
      </c>
      <c r="L67" s="25">
        <f t="shared" si="119"/>
        <v>0.25572187199999996</v>
      </c>
      <c r="M67" s="25"/>
      <c r="N67" s="27">
        <f t="shared" si="119"/>
        <v>273238.788</v>
      </c>
      <c r="O67" s="25">
        <f t="shared" si="119"/>
        <v>0.27323878800000001</v>
      </c>
      <c r="P67" s="25"/>
      <c r="Q67" s="27">
        <f>AVERAGE(Q62:Q66)</f>
        <v>146127.93400000004</v>
      </c>
      <c r="R67" s="25">
        <f t="shared" ref="R67:X67" si="120">AVERAGE(R62:R66)</f>
        <v>0.14612793399999999</v>
      </c>
      <c r="S67" s="25"/>
      <c r="T67" s="27">
        <f t="shared" si="120"/>
        <v>184895.55600000001</v>
      </c>
      <c r="U67" s="25">
        <f t="shared" si="120"/>
        <v>0.18489555599999999</v>
      </c>
      <c r="V67" s="25"/>
      <c r="W67" s="27">
        <f t="shared" si="120"/>
        <v>209345.91</v>
      </c>
      <c r="X67" s="25">
        <f t="shared" si="120"/>
        <v>0.20934590999999997</v>
      </c>
      <c r="Y67" s="25"/>
      <c r="Z67" s="27">
        <f>AVERAGE(Z62:Z66)</f>
        <v>653509.93400000001</v>
      </c>
      <c r="AA67" s="29">
        <f>AVERAGE(AA62:AA66)</f>
        <v>0.6535099339999999</v>
      </c>
      <c r="AB67" s="29"/>
      <c r="AC67" s="27">
        <f>AVERAGE(AC62:AC66)</f>
        <v>406135.92200000008</v>
      </c>
      <c r="AD67" s="25">
        <f>AVERAGE(AD62:AD66)</f>
        <v>0.40613592200000009</v>
      </c>
      <c r="AE67" s="25"/>
      <c r="AF67" s="41"/>
    </row>
    <row r="68" spans="1:32" x14ac:dyDescent="0.25">
      <c r="A68" t="s">
        <v>27</v>
      </c>
      <c r="B68" s="32">
        <f>C67/(STDEV(D62:D66))</f>
        <v>0.6852158281394477</v>
      </c>
      <c r="E68" s="32">
        <f>F67/(STDEV(G62:G66))</f>
        <v>0.83232058832877853</v>
      </c>
      <c r="H68" s="32">
        <f>I67/(STDEV(J62:J66))</f>
        <v>0.77609267226629275</v>
      </c>
      <c r="K68" s="32">
        <f>L67/(STDEV(M62:M66))</f>
        <v>1.0039817819080448</v>
      </c>
      <c r="N68" s="32">
        <f>O67/(STDEV(P62:P66))</f>
        <v>0.75307472008240894</v>
      </c>
      <c r="Q68" s="32">
        <f>R67/(STDEV(S62:S66))</f>
        <v>0.36414069887356626</v>
      </c>
      <c r="T68" s="32">
        <f>U67/(STDEV(V62:V66))</f>
        <v>0.64472572815675944</v>
      </c>
      <c r="W68" s="32">
        <f>X67/(STDEV(Y62:Y66))</f>
        <v>0.53960737436808459</v>
      </c>
      <c r="Z68" s="32">
        <f>AA67/(STDEV(AB62:AB66))</f>
        <v>0.78944928434528661</v>
      </c>
      <c r="AC68" s="32">
        <f>AD67/(STDEV(AE62:AE66))</f>
        <v>0.83436562791004965</v>
      </c>
    </row>
  </sheetData>
  <mergeCells count="132">
    <mergeCell ref="Q60:S60"/>
    <mergeCell ref="T60:V60"/>
    <mergeCell ref="W60:Y60"/>
    <mergeCell ref="Z60:AB60"/>
    <mergeCell ref="AC60:AE60"/>
    <mergeCell ref="AF60:AF61"/>
    <mergeCell ref="T59:V59"/>
    <mergeCell ref="W59:Y59"/>
    <mergeCell ref="Z59:AB59"/>
    <mergeCell ref="AC59:AE59"/>
    <mergeCell ref="A60:A61"/>
    <mergeCell ref="B60:D60"/>
    <mergeCell ref="E60:G60"/>
    <mergeCell ref="H60:J60"/>
    <mergeCell ref="K60:M60"/>
    <mergeCell ref="N60:P60"/>
    <mergeCell ref="B59:D59"/>
    <mergeCell ref="E59:G59"/>
    <mergeCell ref="H59:J59"/>
    <mergeCell ref="K59:M59"/>
    <mergeCell ref="N59:P59"/>
    <mergeCell ref="Q59:S59"/>
    <mergeCell ref="Q49:S49"/>
    <mergeCell ref="T49:V49"/>
    <mergeCell ref="W49:Y49"/>
    <mergeCell ref="Z49:AB49"/>
    <mergeCell ref="AC49:AE49"/>
    <mergeCell ref="AF49:AF50"/>
    <mergeCell ref="T48:V48"/>
    <mergeCell ref="W48:Y48"/>
    <mergeCell ref="Z48:AB48"/>
    <mergeCell ref="AC48:AE48"/>
    <mergeCell ref="A49:A50"/>
    <mergeCell ref="B49:D49"/>
    <mergeCell ref="E49:G49"/>
    <mergeCell ref="H49:J49"/>
    <mergeCell ref="K49:M49"/>
    <mergeCell ref="N49:P49"/>
    <mergeCell ref="B48:D48"/>
    <mergeCell ref="E48:G48"/>
    <mergeCell ref="H48:J48"/>
    <mergeCell ref="K48:M48"/>
    <mergeCell ref="N48:P48"/>
    <mergeCell ref="Q48:S48"/>
    <mergeCell ref="Q37:S37"/>
    <mergeCell ref="T37:V37"/>
    <mergeCell ref="W37:Y37"/>
    <mergeCell ref="Z37:AB37"/>
    <mergeCell ref="AC37:AE37"/>
    <mergeCell ref="AF37:AF38"/>
    <mergeCell ref="T36:V36"/>
    <mergeCell ref="W36:Y36"/>
    <mergeCell ref="Z36:AB36"/>
    <mergeCell ref="AC36:AE36"/>
    <mergeCell ref="A37:A38"/>
    <mergeCell ref="B37:D37"/>
    <mergeCell ref="E37:G37"/>
    <mergeCell ref="H37:J37"/>
    <mergeCell ref="K37:M37"/>
    <mergeCell ref="N37:P37"/>
    <mergeCell ref="B36:D36"/>
    <mergeCell ref="E36:G36"/>
    <mergeCell ref="H36:J36"/>
    <mergeCell ref="K36:M36"/>
    <mergeCell ref="N36:P36"/>
    <mergeCell ref="Q36:S36"/>
    <mergeCell ref="Q26:S26"/>
    <mergeCell ref="T26:V26"/>
    <mergeCell ref="W26:Y26"/>
    <mergeCell ref="Z26:AB26"/>
    <mergeCell ref="AC26:AE26"/>
    <mergeCell ref="AF26:AF27"/>
    <mergeCell ref="T25:V25"/>
    <mergeCell ref="W25:Y25"/>
    <mergeCell ref="Z25:AB25"/>
    <mergeCell ref="AC25:AE25"/>
    <mergeCell ref="A26:A27"/>
    <mergeCell ref="B26:D26"/>
    <mergeCell ref="E26:G26"/>
    <mergeCell ref="H26:J26"/>
    <mergeCell ref="K26:M26"/>
    <mergeCell ref="N26:P26"/>
    <mergeCell ref="B25:D25"/>
    <mergeCell ref="E25:G25"/>
    <mergeCell ref="H25:J25"/>
    <mergeCell ref="K25:M25"/>
    <mergeCell ref="N25:P25"/>
    <mergeCell ref="Q25:S25"/>
    <mergeCell ref="Q15:S15"/>
    <mergeCell ref="T15:V15"/>
    <mergeCell ref="W15:Y15"/>
    <mergeCell ref="Z15:AB15"/>
    <mergeCell ref="AC15:AE15"/>
    <mergeCell ref="AF15:AF16"/>
    <mergeCell ref="T14:V14"/>
    <mergeCell ref="W14:Y14"/>
    <mergeCell ref="Z14:AB14"/>
    <mergeCell ref="AC14:AE14"/>
    <mergeCell ref="A15:A16"/>
    <mergeCell ref="B15:D15"/>
    <mergeCell ref="E15:G15"/>
    <mergeCell ref="H15:J15"/>
    <mergeCell ref="K15:M15"/>
    <mergeCell ref="N15:P15"/>
    <mergeCell ref="B14:D14"/>
    <mergeCell ref="E14:G14"/>
    <mergeCell ref="H14:J14"/>
    <mergeCell ref="K14:M14"/>
    <mergeCell ref="N14:P14"/>
    <mergeCell ref="Q14:S14"/>
    <mergeCell ref="Q3:S3"/>
    <mergeCell ref="T3:V3"/>
    <mergeCell ref="W3:Y3"/>
    <mergeCell ref="Z3:AB3"/>
    <mergeCell ref="AC3:AE3"/>
    <mergeCell ref="AF3:AF4"/>
    <mergeCell ref="T2:V2"/>
    <mergeCell ref="W2:Y2"/>
    <mergeCell ref="Z2:AB2"/>
    <mergeCell ref="AC2:AE2"/>
    <mergeCell ref="A3:A4"/>
    <mergeCell ref="B3:D3"/>
    <mergeCell ref="E3:G3"/>
    <mergeCell ref="H3:J3"/>
    <mergeCell ref="K3:M3"/>
    <mergeCell ref="N3:P3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2FD3-97DD-4660-87AF-EA0BB0F5B674}">
  <dimension ref="A1:W73"/>
  <sheetViews>
    <sheetView tabSelected="1" topLeftCell="A25" workbookViewId="0">
      <selection activeCell="M51" sqref="M51"/>
    </sheetView>
  </sheetViews>
  <sheetFormatPr defaultRowHeight="16.5" x14ac:dyDescent="0.25"/>
  <cols>
    <col min="2" max="2" width="10" bestFit="1" customWidth="1"/>
    <col min="4" max="4" width="9.75" customWidth="1"/>
    <col min="5" max="5" width="12.375" customWidth="1"/>
    <col min="6" max="6" width="11.625" bestFit="1" customWidth="1"/>
    <col min="7" max="8" width="9.25" bestFit="1" customWidth="1"/>
    <col min="9" max="9" width="9.625" bestFit="1" customWidth="1"/>
    <col min="10" max="10" width="10" bestFit="1" customWidth="1"/>
    <col min="11" max="11" width="8.625" bestFit="1" customWidth="1"/>
    <col min="12" max="12" width="9.25" bestFit="1" customWidth="1"/>
    <col min="13" max="13" width="8.375" bestFit="1" customWidth="1"/>
    <col min="14" max="14" width="8.5" bestFit="1" customWidth="1"/>
    <col min="15" max="15" width="7.625" bestFit="1" customWidth="1"/>
    <col min="16" max="16" width="9.25" bestFit="1" customWidth="1"/>
    <col min="17" max="17" width="8.375" bestFit="1" customWidth="1"/>
    <col min="18" max="18" width="10" bestFit="1" customWidth="1"/>
    <col min="19" max="19" width="8.625" bestFit="1" customWidth="1"/>
    <col min="20" max="20" width="9.25" bestFit="1" customWidth="1"/>
    <col min="21" max="21" width="8.375" bestFit="1" customWidth="1"/>
    <col min="22" max="22" width="16.5" customWidth="1"/>
    <col min="23" max="23" width="8.25" hidden="1" customWidth="1"/>
    <col min="24" max="24" width="11.625" bestFit="1" customWidth="1"/>
  </cols>
  <sheetData>
    <row r="1" spans="1:23" x14ac:dyDescent="0.25">
      <c r="A1">
        <v>1000000</v>
      </c>
      <c r="F1" s="48"/>
      <c r="G1" s="48"/>
    </row>
    <row r="2" spans="1:23" ht="19.5" customHeight="1" x14ac:dyDescent="0.25">
      <c r="A2" s="2" t="s">
        <v>0</v>
      </c>
      <c r="B2" s="49" t="s">
        <v>1</v>
      </c>
      <c r="C2" s="49"/>
      <c r="D2" s="49" t="s">
        <v>2</v>
      </c>
      <c r="E2" s="49"/>
      <c r="F2" s="50" t="s">
        <v>3</v>
      </c>
      <c r="G2" s="50"/>
      <c r="H2" s="49" t="s">
        <v>4</v>
      </c>
      <c r="I2" s="49"/>
      <c r="J2" s="49" t="s">
        <v>5</v>
      </c>
      <c r="K2" s="49"/>
      <c r="L2" s="3" t="s">
        <v>6</v>
      </c>
      <c r="M2" s="5"/>
      <c r="N2" s="3" t="s">
        <v>7</v>
      </c>
      <c r="O2" s="5"/>
      <c r="P2" s="3" t="s">
        <v>8</v>
      </c>
      <c r="Q2" s="5"/>
      <c r="R2" s="3" t="s">
        <v>9</v>
      </c>
      <c r="S2" s="5"/>
      <c r="T2" s="49" t="s">
        <v>10</v>
      </c>
      <c r="U2" s="49"/>
      <c r="V2" s="9"/>
    </row>
    <row r="3" spans="1:23" x14ac:dyDescent="0.25">
      <c r="A3" s="10" t="s">
        <v>11</v>
      </c>
      <c r="B3" s="51" t="s">
        <v>12</v>
      </c>
      <c r="C3" s="51"/>
      <c r="D3" s="51" t="s">
        <v>13</v>
      </c>
      <c r="E3" s="51"/>
      <c r="F3" s="52" t="s">
        <v>14</v>
      </c>
      <c r="G3" s="52"/>
      <c r="H3" s="51" t="s">
        <v>15</v>
      </c>
      <c r="I3" s="51"/>
      <c r="J3" s="51" t="s">
        <v>16</v>
      </c>
      <c r="K3" s="51"/>
      <c r="L3" s="11" t="s">
        <v>17</v>
      </c>
      <c r="M3" s="13"/>
      <c r="N3" s="11" t="s">
        <v>18</v>
      </c>
      <c r="O3" s="13"/>
      <c r="P3" s="11" t="s">
        <v>19</v>
      </c>
      <c r="Q3" s="13"/>
      <c r="R3" s="11" t="s">
        <v>20</v>
      </c>
      <c r="S3" s="13"/>
      <c r="T3" s="51" t="s">
        <v>21</v>
      </c>
      <c r="U3" s="51"/>
      <c r="V3" s="17" t="s">
        <v>22</v>
      </c>
    </row>
    <row r="4" spans="1:23" x14ac:dyDescent="0.25">
      <c r="A4" s="18"/>
      <c r="B4" s="19" t="s">
        <v>23</v>
      </c>
      <c r="C4" s="19" t="s">
        <v>24</v>
      </c>
      <c r="D4" s="19" t="s">
        <v>23</v>
      </c>
      <c r="E4" s="19" t="s">
        <v>24</v>
      </c>
      <c r="F4" s="53" t="s">
        <v>23</v>
      </c>
      <c r="G4" s="53" t="s">
        <v>24</v>
      </c>
      <c r="H4" s="19" t="s">
        <v>23</v>
      </c>
      <c r="I4" s="19" t="s">
        <v>24</v>
      </c>
      <c r="J4" s="19" t="s">
        <v>23</v>
      </c>
      <c r="K4" s="19" t="s">
        <v>24</v>
      </c>
      <c r="L4" s="19" t="s">
        <v>23</v>
      </c>
      <c r="M4" s="19" t="s">
        <v>24</v>
      </c>
      <c r="N4" s="19" t="s">
        <v>23</v>
      </c>
      <c r="O4" s="19" t="s">
        <v>24</v>
      </c>
      <c r="P4" s="19" t="s">
        <v>23</v>
      </c>
      <c r="Q4" s="19" t="s">
        <v>24</v>
      </c>
      <c r="R4" s="19" t="s">
        <v>23</v>
      </c>
      <c r="S4" s="19" t="s">
        <v>24</v>
      </c>
      <c r="T4" s="19" t="s">
        <v>23</v>
      </c>
      <c r="U4" s="19" t="s">
        <v>24</v>
      </c>
      <c r="V4" s="21"/>
    </row>
    <row r="5" spans="1:23" x14ac:dyDescent="0.25">
      <c r="A5" s="22">
        <v>2016</v>
      </c>
      <c r="B5" s="27">
        <f>811421.65-A1</f>
        <v>-188578.34999999998</v>
      </c>
      <c r="C5" s="24">
        <f>B5/$A$1</f>
        <v>-0.18857834999999998</v>
      </c>
      <c r="D5" s="27">
        <v>433837.35</v>
      </c>
      <c r="E5" s="24">
        <f>D5/$A$1</f>
        <v>0.43383734999999995</v>
      </c>
      <c r="F5" s="54">
        <v>465822.85</v>
      </c>
      <c r="G5" s="55">
        <f>F5/$A$1</f>
        <v>0.46582284999999996</v>
      </c>
      <c r="H5" s="27">
        <v>10835.42</v>
      </c>
      <c r="I5" s="25">
        <f>H5/$A$1</f>
        <v>1.083542E-2</v>
      </c>
      <c r="J5" s="27">
        <v>42600.63</v>
      </c>
      <c r="K5" s="25">
        <f>J5/$A$1</f>
        <v>4.260063E-2</v>
      </c>
      <c r="L5" s="27">
        <v>24955.48</v>
      </c>
      <c r="M5" s="25">
        <f>L5/$A$1</f>
        <v>2.4955479999999999E-2</v>
      </c>
      <c r="N5" s="27">
        <v>159747.31</v>
      </c>
      <c r="O5" s="25">
        <f>N5/$A$1</f>
        <v>0.15974731</v>
      </c>
      <c r="P5" s="27">
        <v>614814.86</v>
      </c>
      <c r="Q5" s="25">
        <f>P5/$A$1</f>
        <v>0.61481485999999996</v>
      </c>
      <c r="R5" s="27">
        <v>588587.55000000005</v>
      </c>
      <c r="S5" s="25">
        <f>R5/$A$1</f>
        <v>0.58858755000000007</v>
      </c>
      <c r="T5" s="27">
        <v>71361.53</v>
      </c>
      <c r="U5" s="25">
        <f>T5/$A$1</f>
        <v>7.1361529999999992E-2</v>
      </c>
      <c r="V5" s="24">
        <v>1.2500000000000001E-2</v>
      </c>
    </row>
    <row r="6" spans="1:23" x14ac:dyDescent="0.25">
      <c r="A6" s="22">
        <v>2017</v>
      </c>
      <c r="B6" s="27">
        <v>248273.29</v>
      </c>
      <c r="C6" s="24">
        <f t="shared" ref="C6:G9" si="0">B6/$A$1</f>
        <v>0.24827329000000001</v>
      </c>
      <c r="D6" s="27">
        <v>31464.78</v>
      </c>
      <c r="E6" s="24">
        <f t="shared" si="0"/>
        <v>3.1464779999999998E-2</v>
      </c>
      <c r="F6" s="54">
        <v>35640.769999999997</v>
      </c>
      <c r="G6" s="55">
        <f t="shared" si="0"/>
        <v>3.5640769999999995E-2</v>
      </c>
      <c r="H6" s="27">
        <v>228905.74</v>
      </c>
      <c r="I6" s="25">
        <f t="shared" ref="I6:I9" si="1">H6/$A$1</f>
        <v>0.22890574</v>
      </c>
      <c r="J6" s="27">
        <v>95425.77</v>
      </c>
      <c r="K6" s="25">
        <f t="shared" ref="K6:O9" si="2">J6/$A$1</f>
        <v>9.5425770000000007E-2</v>
      </c>
      <c r="L6" s="27">
        <v>400810.37</v>
      </c>
      <c r="M6" s="25">
        <f t="shared" ref="M6:M9" si="3">L6/$A$1</f>
        <v>0.40081036999999997</v>
      </c>
      <c r="N6" s="27">
        <v>555019.77</v>
      </c>
      <c r="O6" s="25">
        <f t="shared" si="2"/>
        <v>0.55501977000000002</v>
      </c>
      <c r="P6" s="27">
        <v>388492.82</v>
      </c>
      <c r="Q6" s="25">
        <f t="shared" ref="Q6:Q9" si="4">P6/$A$1</f>
        <v>0.38849282000000002</v>
      </c>
      <c r="R6" s="27">
        <v>376225.4</v>
      </c>
      <c r="S6" s="25">
        <f t="shared" ref="S6:S9" si="5">R6/$A$1</f>
        <v>0.37622540000000004</v>
      </c>
      <c r="T6" s="27">
        <v>858581.73</v>
      </c>
      <c r="U6" s="25">
        <f t="shared" ref="U6:U9" si="6">T6/$A$1</f>
        <v>0.85858172999999993</v>
      </c>
      <c r="V6" s="24">
        <v>1.0699999999999999E-2</v>
      </c>
    </row>
    <row r="7" spans="1:23" x14ac:dyDescent="0.25">
      <c r="A7" s="22">
        <v>2018</v>
      </c>
      <c r="B7" s="27">
        <v>17394.740000000002</v>
      </c>
      <c r="C7" s="24">
        <f t="shared" si="0"/>
        <v>1.7394740000000002E-2</v>
      </c>
      <c r="D7" s="27">
        <f>899186.52-A1</f>
        <v>-100813.47999999998</v>
      </c>
      <c r="E7" s="24">
        <f t="shared" si="0"/>
        <v>-0.10081347999999998</v>
      </c>
      <c r="F7" s="54">
        <f>977538.05-A1</f>
        <v>-22461.949999999953</v>
      </c>
      <c r="G7" s="55">
        <f t="shared" si="0"/>
        <v>-2.2461949999999953E-2</v>
      </c>
      <c r="H7" s="27">
        <f>896893.27-A1</f>
        <v>-103106.72999999998</v>
      </c>
      <c r="I7" s="25">
        <f t="shared" si="1"/>
        <v>-0.10310672999999998</v>
      </c>
      <c r="J7" s="27">
        <f>898735.920000001-A1</f>
        <v>-101264.07999999903</v>
      </c>
      <c r="K7" s="25">
        <f t="shared" si="2"/>
        <v>-0.10126407999999902</v>
      </c>
      <c r="L7" s="27">
        <v>858050.97</v>
      </c>
      <c r="M7" s="25">
        <f t="shared" si="3"/>
        <v>0.85805096999999997</v>
      </c>
      <c r="N7" s="27">
        <v>658046.39</v>
      </c>
      <c r="O7" s="25">
        <f t="shared" si="2"/>
        <v>0.65804638999999998</v>
      </c>
      <c r="P7" s="27">
        <v>789893.98</v>
      </c>
      <c r="Q7" s="25">
        <f t="shared" si="4"/>
        <v>0.78989398</v>
      </c>
      <c r="R7" s="27">
        <f>925854.53-A1</f>
        <v>-74145.469999999972</v>
      </c>
      <c r="S7" s="25">
        <f t="shared" si="5"/>
        <v>-7.4145469999999977E-2</v>
      </c>
      <c r="T7" s="27">
        <v>17294.59</v>
      </c>
      <c r="U7" s="25">
        <f t="shared" si="6"/>
        <v>1.7294589999999999E-2</v>
      </c>
      <c r="V7" s="24">
        <v>1.0699999999999999E-2</v>
      </c>
    </row>
    <row r="8" spans="1:23" x14ac:dyDescent="0.25">
      <c r="A8" s="22">
        <v>2019</v>
      </c>
      <c r="B8" s="27">
        <v>402412.65</v>
      </c>
      <c r="C8" s="24">
        <f t="shared" si="0"/>
        <v>0.40241265000000004</v>
      </c>
      <c r="D8" s="27">
        <v>234643.91</v>
      </c>
      <c r="E8" s="24">
        <f t="shared" si="0"/>
        <v>0.23464391000000001</v>
      </c>
      <c r="F8" s="54">
        <v>167107.79999999999</v>
      </c>
      <c r="G8" s="55">
        <f t="shared" si="0"/>
        <v>0.1671078</v>
      </c>
      <c r="H8" s="27">
        <v>294669.31</v>
      </c>
      <c r="I8" s="25">
        <f t="shared" si="1"/>
        <v>0.29466931000000002</v>
      </c>
      <c r="J8" s="27">
        <v>251357.66</v>
      </c>
      <c r="K8" s="25">
        <f t="shared" si="2"/>
        <v>0.25135765999999998</v>
      </c>
      <c r="L8" s="27">
        <v>208246.32</v>
      </c>
      <c r="M8" s="25">
        <f t="shared" si="3"/>
        <v>0.20824632000000001</v>
      </c>
      <c r="N8" s="27">
        <v>185163.47</v>
      </c>
      <c r="O8" s="25">
        <f t="shared" si="2"/>
        <v>0.18516347</v>
      </c>
      <c r="P8" s="27">
        <v>149552.82</v>
      </c>
      <c r="Q8" s="25">
        <f t="shared" si="4"/>
        <v>0.14955282</v>
      </c>
      <c r="R8" s="27">
        <v>189489.59</v>
      </c>
      <c r="S8" s="25">
        <f t="shared" si="5"/>
        <v>0.18948958999999999</v>
      </c>
      <c r="T8" s="27">
        <v>428800.14</v>
      </c>
      <c r="U8" s="25">
        <f t="shared" si="6"/>
        <v>0.42880014</v>
      </c>
      <c r="V8" s="24">
        <v>1.0699999999999999E-2</v>
      </c>
    </row>
    <row r="9" spans="1:23" x14ac:dyDescent="0.25">
      <c r="A9" s="22">
        <v>2020</v>
      </c>
      <c r="B9" s="27">
        <v>218531.01</v>
      </c>
      <c r="C9" s="24">
        <f t="shared" si="0"/>
        <v>0.21853101</v>
      </c>
      <c r="D9" s="27">
        <v>337179.76</v>
      </c>
      <c r="E9" s="24">
        <f t="shared" si="0"/>
        <v>0.33717976</v>
      </c>
      <c r="F9" s="54">
        <v>237157.43</v>
      </c>
      <c r="G9" s="55">
        <f t="shared" si="0"/>
        <v>0.23715743</v>
      </c>
      <c r="H9" s="27">
        <v>118668.85</v>
      </c>
      <c r="I9" s="25">
        <f t="shared" si="1"/>
        <v>0.11866885000000001</v>
      </c>
      <c r="J9" s="27">
        <v>213984.54</v>
      </c>
      <c r="K9" s="25">
        <f t="shared" si="2"/>
        <v>0.21398454</v>
      </c>
      <c r="L9" s="27">
        <v>82116.84</v>
      </c>
      <c r="M9" s="25">
        <f t="shared" si="3"/>
        <v>8.2116839999999997E-2</v>
      </c>
      <c r="N9" s="27">
        <v>328817.93</v>
      </c>
      <c r="O9" s="25">
        <f t="shared" si="2"/>
        <v>0.32881792999999998</v>
      </c>
      <c r="P9" s="27">
        <v>251958.55</v>
      </c>
      <c r="Q9" s="25">
        <f t="shared" si="4"/>
        <v>0.25195855</v>
      </c>
      <c r="R9" s="27">
        <v>53876.68</v>
      </c>
      <c r="S9" s="25">
        <f t="shared" si="5"/>
        <v>5.3876680000000003E-2</v>
      </c>
      <c r="T9" s="27">
        <v>309380.26</v>
      </c>
      <c r="U9" s="25">
        <f t="shared" si="6"/>
        <v>0.30938026000000002</v>
      </c>
      <c r="V9" s="24">
        <v>1.0699999999999999E-2</v>
      </c>
    </row>
    <row r="10" spans="1:23" x14ac:dyDescent="0.25">
      <c r="A10" s="26" t="s">
        <v>26</v>
      </c>
      <c r="B10" s="27">
        <f t="shared" ref="B10" si="7">AVERAGE(B5:B9)</f>
        <v>139606.66800000001</v>
      </c>
      <c r="C10" s="24">
        <f>AVERAGE(C5:C9)</f>
        <v>0.13960666800000002</v>
      </c>
      <c r="D10" s="27">
        <f t="shared" ref="D10:U10" si="8">AVERAGE(D5:D9)</f>
        <v>187262.46400000001</v>
      </c>
      <c r="E10" s="24">
        <f>AVERAGE(E5:E9)</f>
        <v>0.18726246399999996</v>
      </c>
      <c r="F10" s="54">
        <f t="shared" si="8"/>
        <v>176653.37999999998</v>
      </c>
      <c r="G10" s="56">
        <f t="shared" si="8"/>
        <v>0.17665338000000003</v>
      </c>
      <c r="H10" s="27">
        <f t="shared" si="8"/>
        <v>109994.518</v>
      </c>
      <c r="I10" s="25">
        <f t="shared" si="8"/>
        <v>0.10999451800000001</v>
      </c>
      <c r="J10" s="27">
        <f t="shared" si="8"/>
        <v>100420.90400000018</v>
      </c>
      <c r="K10" s="25">
        <f t="shared" si="8"/>
        <v>0.10042090400000019</v>
      </c>
      <c r="L10" s="27">
        <f t="shared" si="8"/>
        <v>314835.99599999998</v>
      </c>
      <c r="M10" s="25">
        <f t="shared" si="8"/>
        <v>0.31483599600000001</v>
      </c>
      <c r="N10" s="27">
        <f t="shared" si="8"/>
        <v>377358.97400000005</v>
      </c>
      <c r="O10" s="25">
        <f t="shared" si="8"/>
        <v>0.37735897400000001</v>
      </c>
      <c r="P10" s="27">
        <f t="shared" si="8"/>
        <v>438942.60599999997</v>
      </c>
      <c r="Q10" s="29">
        <f t="shared" si="8"/>
        <v>0.43894260600000001</v>
      </c>
      <c r="R10" s="27">
        <f t="shared" si="8"/>
        <v>226806.75</v>
      </c>
      <c r="S10" s="25">
        <f t="shared" si="8"/>
        <v>0.22680675000000003</v>
      </c>
      <c r="T10" s="27">
        <f t="shared" si="8"/>
        <v>337083.65</v>
      </c>
      <c r="U10" s="25">
        <f t="shared" si="8"/>
        <v>0.33708364999999996</v>
      </c>
      <c r="V10" s="9"/>
    </row>
    <row r="11" spans="1:23" x14ac:dyDescent="0.25">
      <c r="F11" s="48"/>
      <c r="G11" s="48"/>
      <c r="V11" s="57"/>
    </row>
    <row r="12" spans="1:23" ht="20.25" customHeight="1" x14ac:dyDescent="0.25">
      <c r="A12" s="2" t="s">
        <v>29</v>
      </c>
      <c r="B12" s="49" t="s">
        <v>1</v>
      </c>
      <c r="C12" s="49"/>
      <c r="D12" s="49" t="s">
        <v>2</v>
      </c>
      <c r="E12" s="49"/>
      <c r="F12" s="50" t="s">
        <v>3</v>
      </c>
      <c r="G12" s="50"/>
      <c r="H12" s="49" t="s">
        <v>4</v>
      </c>
      <c r="I12" s="49"/>
      <c r="J12" s="49" t="s">
        <v>5</v>
      </c>
      <c r="K12" s="49"/>
      <c r="L12" s="3" t="s">
        <v>6</v>
      </c>
      <c r="M12" s="5"/>
      <c r="N12" s="49" t="s">
        <v>7</v>
      </c>
      <c r="O12" s="49"/>
      <c r="P12" s="3" t="s">
        <v>8</v>
      </c>
      <c r="Q12" s="5"/>
      <c r="R12" s="3" t="s">
        <v>9</v>
      </c>
      <c r="S12" s="5"/>
      <c r="T12" s="49" t="s">
        <v>10</v>
      </c>
      <c r="U12" s="49"/>
      <c r="V12" s="9"/>
    </row>
    <row r="13" spans="1:23" x14ac:dyDescent="0.25">
      <c r="A13" s="10" t="s">
        <v>11</v>
      </c>
      <c r="B13" s="51" t="s">
        <v>12</v>
      </c>
      <c r="C13" s="51"/>
      <c r="D13" s="51" t="s">
        <v>13</v>
      </c>
      <c r="E13" s="51"/>
      <c r="F13" s="52" t="s">
        <v>14</v>
      </c>
      <c r="G13" s="52"/>
      <c r="H13" s="51" t="s">
        <v>15</v>
      </c>
      <c r="I13" s="51"/>
      <c r="J13" s="51" t="s">
        <v>16</v>
      </c>
      <c r="K13" s="51"/>
      <c r="L13" s="11" t="s">
        <v>17</v>
      </c>
      <c r="M13" s="13"/>
      <c r="N13" s="51" t="s">
        <v>18</v>
      </c>
      <c r="O13" s="51"/>
      <c r="P13" s="11" t="s">
        <v>19</v>
      </c>
      <c r="Q13" s="13"/>
      <c r="R13" s="11" t="s">
        <v>20</v>
      </c>
      <c r="S13" s="13"/>
      <c r="T13" s="51" t="s">
        <v>21</v>
      </c>
      <c r="U13" s="51"/>
      <c r="V13" s="17" t="s">
        <v>22</v>
      </c>
    </row>
    <row r="14" spans="1:23" x14ac:dyDescent="0.25">
      <c r="A14" s="18"/>
      <c r="B14" s="19" t="s">
        <v>23</v>
      </c>
      <c r="C14" s="19" t="s">
        <v>24</v>
      </c>
      <c r="D14" s="19" t="s">
        <v>23</v>
      </c>
      <c r="E14" s="19" t="s">
        <v>24</v>
      </c>
      <c r="F14" s="53" t="s">
        <v>23</v>
      </c>
      <c r="G14" s="53" t="s">
        <v>24</v>
      </c>
      <c r="H14" s="19" t="s">
        <v>23</v>
      </c>
      <c r="I14" s="19" t="s">
        <v>24</v>
      </c>
      <c r="J14" s="19" t="s">
        <v>23</v>
      </c>
      <c r="K14" s="19" t="s">
        <v>24</v>
      </c>
      <c r="L14" s="19" t="s">
        <v>23</v>
      </c>
      <c r="M14" s="19" t="s">
        <v>24</v>
      </c>
      <c r="N14" s="19" t="s">
        <v>23</v>
      </c>
      <c r="O14" s="19" t="s">
        <v>24</v>
      </c>
      <c r="P14" s="19" t="s">
        <v>23</v>
      </c>
      <c r="Q14" s="19" t="s">
        <v>24</v>
      </c>
      <c r="R14" s="19" t="s">
        <v>23</v>
      </c>
      <c r="S14" s="19" t="s">
        <v>24</v>
      </c>
      <c r="T14" s="38" t="s">
        <v>23</v>
      </c>
      <c r="U14" s="19" t="s">
        <v>24</v>
      </c>
      <c r="V14" s="21"/>
      <c r="W14" t="s">
        <v>31</v>
      </c>
    </row>
    <row r="15" spans="1:23" x14ac:dyDescent="0.25">
      <c r="A15" s="22">
        <v>2016</v>
      </c>
      <c r="B15" s="27">
        <v>212181.93</v>
      </c>
      <c r="C15" s="24">
        <f>B15/$A$1</f>
        <v>0.21218192999999999</v>
      </c>
      <c r="D15" s="27">
        <v>412927.6</v>
      </c>
      <c r="E15" s="24">
        <f>D15/$A$1</f>
        <v>0.41292759999999995</v>
      </c>
      <c r="F15" s="54">
        <v>391396.95</v>
      </c>
      <c r="G15" s="55">
        <f>F15/$A$1</f>
        <v>0.39139695000000002</v>
      </c>
      <c r="H15" s="27">
        <v>286257.33</v>
      </c>
      <c r="I15" s="25">
        <f>H15/$A$1</f>
        <v>0.28625733000000003</v>
      </c>
      <c r="J15" s="27">
        <v>388993.5</v>
      </c>
      <c r="K15" s="25">
        <f t="shared" ref="K15:K18" si="9">J15/$A$1</f>
        <v>0.38899349999999999</v>
      </c>
      <c r="L15" s="27">
        <v>272658</v>
      </c>
      <c r="M15" s="25">
        <f>L15/$A$1</f>
        <v>0.27265800000000001</v>
      </c>
      <c r="N15" s="27">
        <v>308438.90000000002</v>
      </c>
      <c r="O15" s="25">
        <f>N15/$A$1</f>
        <v>0.30843890000000002</v>
      </c>
      <c r="P15" s="27">
        <v>167258.01</v>
      </c>
      <c r="Q15" s="25">
        <f>P15/$A$1</f>
        <v>0.16725801000000001</v>
      </c>
      <c r="R15" s="27">
        <v>253811.18</v>
      </c>
      <c r="S15" s="25">
        <f>R15/$A$1</f>
        <v>0.25381117999999997</v>
      </c>
      <c r="T15" s="58">
        <v>295520.5</v>
      </c>
      <c r="U15" s="25">
        <f>T15/$A$1</f>
        <v>0.29552050000000002</v>
      </c>
      <c r="V15" s="24">
        <v>1.2500000000000001E-2</v>
      </c>
      <c r="W15" t="s">
        <v>31</v>
      </c>
    </row>
    <row r="16" spans="1:23" x14ac:dyDescent="0.25">
      <c r="A16" s="22">
        <v>2017</v>
      </c>
      <c r="B16" s="27">
        <v>202187.7</v>
      </c>
      <c r="C16" s="24">
        <f t="shared" ref="C16:E19" si="10">B16/$A$1</f>
        <v>0.2021877</v>
      </c>
      <c r="D16" s="27">
        <v>153658.67000000001</v>
      </c>
      <c r="E16" s="24">
        <f t="shared" si="10"/>
        <v>0.15365867000000002</v>
      </c>
      <c r="F16" s="54">
        <v>171133.54</v>
      </c>
      <c r="G16" s="55">
        <f t="shared" ref="G16:G19" si="11">F16/$A$1</f>
        <v>0.17113354</v>
      </c>
      <c r="H16" s="27">
        <v>98670.39</v>
      </c>
      <c r="I16" s="25">
        <f t="shared" ref="I16:I19" si="12">H16/$A$1</f>
        <v>9.8670389999999997E-2</v>
      </c>
      <c r="J16" s="27">
        <v>201937.33</v>
      </c>
      <c r="K16" s="25">
        <f t="shared" si="9"/>
        <v>0.20193733</v>
      </c>
      <c r="L16" s="27">
        <v>36101.360000000001</v>
      </c>
      <c r="M16" s="25">
        <f t="shared" ref="M16:M19" si="13">L16/$A$1</f>
        <v>3.6101359999999999E-2</v>
      </c>
      <c r="N16" s="27">
        <v>66694.92</v>
      </c>
      <c r="O16" s="25">
        <f t="shared" ref="O16:O19" si="14">N16/$A$1</f>
        <v>6.6694920000000005E-2</v>
      </c>
      <c r="P16" s="27">
        <v>83568.89</v>
      </c>
      <c r="Q16" s="25">
        <f t="shared" ref="Q16:Q19" si="15">P16/$A$1</f>
        <v>8.3568889999999993E-2</v>
      </c>
      <c r="R16" s="27">
        <v>137645.87</v>
      </c>
      <c r="S16" s="25">
        <f t="shared" ref="S16:S19" si="16">R16/$A$1</f>
        <v>0.13764587</v>
      </c>
      <c r="T16" s="58">
        <v>118919.24</v>
      </c>
      <c r="U16" s="25">
        <f t="shared" ref="U16:U19" si="17">T16/$A$1</f>
        <v>0.11891924000000001</v>
      </c>
      <c r="V16" s="24">
        <v>1.0699999999999999E-2</v>
      </c>
    </row>
    <row r="17" spans="1:23" x14ac:dyDescent="0.25">
      <c r="A17" s="22">
        <v>2018</v>
      </c>
      <c r="B17" s="27">
        <f>844528.75-A1</f>
        <v>-155471.25</v>
      </c>
      <c r="C17" s="24">
        <f t="shared" si="10"/>
        <v>-0.15547125000000001</v>
      </c>
      <c r="D17" s="27">
        <f>742703.89-A1</f>
        <v>-257296.11</v>
      </c>
      <c r="E17" s="24">
        <f t="shared" si="10"/>
        <v>-0.25729610999999997</v>
      </c>
      <c r="F17" s="54">
        <f>920466.82-1000000</f>
        <v>-79533.180000000051</v>
      </c>
      <c r="G17" s="55">
        <f t="shared" si="11"/>
        <v>-7.9533180000000051E-2</v>
      </c>
      <c r="H17" s="27">
        <v>16613.63</v>
      </c>
      <c r="I17" s="25">
        <f t="shared" si="12"/>
        <v>1.6613630000000001E-2</v>
      </c>
      <c r="J17" s="27">
        <v>44082.74</v>
      </c>
      <c r="K17" s="25">
        <f t="shared" si="9"/>
        <v>4.4082739999999995E-2</v>
      </c>
      <c r="L17" s="27">
        <f>879969.17-A1</f>
        <v>-120030.82999999996</v>
      </c>
      <c r="M17" s="25">
        <f t="shared" si="13"/>
        <v>-0.12003082999999996</v>
      </c>
      <c r="N17" s="27">
        <f>939674.14-A1</f>
        <v>-60325.859999999986</v>
      </c>
      <c r="O17" s="25">
        <f t="shared" si="14"/>
        <v>-6.0325859999999988E-2</v>
      </c>
      <c r="P17" s="27">
        <f>999058.63-A1</f>
        <v>-941.36999999999534</v>
      </c>
      <c r="Q17" s="25">
        <f t="shared" si="15"/>
        <v>-9.4136999999999531E-4</v>
      </c>
      <c r="R17" s="27">
        <v>242274.77</v>
      </c>
      <c r="S17" s="25">
        <f t="shared" si="16"/>
        <v>0.24227477</v>
      </c>
      <c r="T17" s="58">
        <v>208937.34</v>
      </c>
      <c r="U17" s="25">
        <f t="shared" si="17"/>
        <v>0.20893734</v>
      </c>
      <c r="V17" s="24">
        <v>1.0699999999999999E-2</v>
      </c>
    </row>
    <row r="18" spans="1:23" x14ac:dyDescent="0.25">
      <c r="A18" s="22">
        <v>2019</v>
      </c>
      <c r="B18" s="27">
        <v>167638.54999999999</v>
      </c>
      <c r="C18" s="24">
        <f t="shared" si="10"/>
        <v>0.16763855</v>
      </c>
      <c r="D18" s="27">
        <v>128162.38</v>
      </c>
      <c r="E18" s="24">
        <f t="shared" si="10"/>
        <v>0.12816237999999999</v>
      </c>
      <c r="F18" s="54">
        <v>255693.84</v>
      </c>
      <c r="G18" s="55">
        <f t="shared" si="11"/>
        <v>0.25569384000000001</v>
      </c>
      <c r="H18" s="27">
        <v>154009.17000000001</v>
      </c>
      <c r="I18" s="25">
        <f t="shared" si="12"/>
        <v>0.15400917</v>
      </c>
      <c r="J18" s="27">
        <v>261191.64</v>
      </c>
      <c r="K18" s="25">
        <f t="shared" si="9"/>
        <v>0.26119164</v>
      </c>
      <c r="L18" s="27">
        <v>276443.38</v>
      </c>
      <c r="M18" s="25">
        <f t="shared" si="13"/>
        <v>0.27644338000000002</v>
      </c>
      <c r="N18" s="27">
        <v>250937.04</v>
      </c>
      <c r="O18" s="25">
        <f t="shared" si="14"/>
        <v>0.25093704</v>
      </c>
      <c r="P18" s="27">
        <v>217619.64</v>
      </c>
      <c r="Q18" s="25">
        <f t="shared" si="15"/>
        <v>0.21761964</v>
      </c>
      <c r="R18" s="27">
        <v>213393.65</v>
      </c>
      <c r="S18" s="25">
        <f t="shared" si="16"/>
        <v>0.21339364999999999</v>
      </c>
      <c r="T18" s="58">
        <v>141992.04999999999</v>
      </c>
      <c r="U18" s="25">
        <f t="shared" si="17"/>
        <v>0.14199204999999998</v>
      </c>
      <c r="V18" s="24">
        <v>1.0699999999999999E-2</v>
      </c>
    </row>
    <row r="19" spans="1:23" x14ac:dyDescent="0.25">
      <c r="A19" s="22">
        <v>2020</v>
      </c>
      <c r="B19" s="27">
        <v>1145980.69</v>
      </c>
      <c r="C19" s="24">
        <f t="shared" si="10"/>
        <v>1.14598069</v>
      </c>
      <c r="D19" s="27">
        <v>203099.01</v>
      </c>
      <c r="E19" s="24">
        <f t="shared" si="10"/>
        <v>0.20309901</v>
      </c>
      <c r="F19" s="54">
        <v>277414.77</v>
      </c>
      <c r="G19" s="55">
        <f t="shared" si="11"/>
        <v>0.27741477000000003</v>
      </c>
      <c r="H19" s="27">
        <v>374803.32</v>
      </c>
      <c r="I19" s="25">
        <f t="shared" si="12"/>
        <v>0.37480332</v>
      </c>
      <c r="J19" s="27">
        <v>213984.54</v>
      </c>
      <c r="K19" s="25">
        <f>J19/$A$1</f>
        <v>0.21398454</v>
      </c>
      <c r="L19" s="27">
        <v>144605.78</v>
      </c>
      <c r="M19" s="25">
        <f t="shared" si="13"/>
        <v>0.14460577999999999</v>
      </c>
      <c r="N19" s="27">
        <v>126039.35</v>
      </c>
      <c r="O19" s="25">
        <f t="shared" si="14"/>
        <v>0.12603934999999999</v>
      </c>
      <c r="P19" s="27">
        <v>39406.03</v>
      </c>
      <c r="Q19" s="25">
        <f t="shared" si="15"/>
        <v>3.9406030000000002E-2</v>
      </c>
      <c r="R19" s="27">
        <v>66855.11</v>
      </c>
      <c r="S19" s="25">
        <f t="shared" si="16"/>
        <v>6.6855109999999995E-2</v>
      </c>
      <c r="T19" s="58">
        <f>985669.62-A1</f>
        <v>-14330.380000000005</v>
      </c>
      <c r="U19" s="25">
        <f t="shared" si="17"/>
        <v>-1.4330380000000005E-2</v>
      </c>
      <c r="V19" s="24">
        <v>1.0699999999999999E-2</v>
      </c>
    </row>
    <row r="20" spans="1:23" x14ac:dyDescent="0.25">
      <c r="A20" s="26" t="s">
        <v>26</v>
      </c>
      <c r="B20" s="27">
        <f>AVERAGE(B15:B19)</f>
        <v>314503.52399999998</v>
      </c>
      <c r="C20" s="40">
        <f>AVERAGE(C15:C19)</f>
        <v>0.31450352399999998</v>
      </c>
      <c r="D20" s="27">
        <f>AVERAGE(D15:D19)</f>
        <v>128110.31000000001</v>
      </c>
      <c r="E20" s="24">
        <f>AVERAGE(E15:E19)</f>
        <v>0.12811031000000001</v>
      </c>
      <c r="F20" s="54">
        <f t="shared" ref="F20:U20" si="18">AVERAGE(F15:F19)</f>
        <v>203221.18399999998</v>
      </c>
      <c r="G20" s="56">
        <f t="shared" si="18"/>
        <v>0.203221184</v>
      </c>
      <c r="H20" s="27">
        <f t="shared" si="18"/>
        <v>186070.76800000001</v>
      </c>
      <c r="I20" s="25">
        <f t="shared" si="18"/>
        <v>0.186070768</v>
      </c>
      <c r="J20" s="27">
        <f t="shared" si="18"/>
        <v>222037.95</v>
      </c>
      <c r="K20" s="29">
        <f t="shared" si="18"/>
        <v>0.22203794999999998</v>
      </c>
      <c r="L20" s="27">
        <f>AVERAGE(L15:L19)</f>
        <v>121955.53800000002</v>
      </c>
      <c r="M20" s="25">
        <f t="shared" si="18"/>
        <v>0.121955538</v>
      </c>
      <c r="N20" s="27">
        <f t="shared" si="18"/>
        <v>138356.87</v>
      </c>
      <c r="O20" s="25">
        <f t="shared" si="18"/>
        <v>0.13835686999999999</v>
      </c>
      <c r="P20" s="27">
        <f t="shared" si="18"/>
        <v>101382.24000000002</v>
      </c>
      <c r="Q20" s="25">
        <f t="shared" si="18"/>
        <v>0.10138224</v>
      </c>
      <c r="R20" s="27">
        <f t="shared" si="18"/>
        <v>182796.11599999998</v>
      </c>
      <c r="S20" s="25">
        <f t="shared" si="18"/>
        <v>0.18279611599999998</v>
      </c>
      <c r="T20" s="27">
        <f t="shared" si="18"/>
        <v>150207.74999999997</v>
      </c>
      <c r="U20" s="25">
        <f t="shared" si="18"/>
        <v>0.15020775000000003</v>
      </c>
      <c r="V20" s="41"/>
    </row>
    <row r="21" spans="1:23" x14ac:dyDescent="0.25">
      <c r="F21" s="48"/>
      <c r="G21" s="48"/>
    </row>
    <row r="22" spans="1:23" ht="24.75" customHeight="1" x14ac:dyDescent="0.25">
      <c r="A22" s="2" t="s">
        <v>30</v>
      </c>
      <c r="B22" s="49" t="s">
        <v>1</v>
      </c>
      <c r="C22" s="49"/>
      <c r="D22" s="49" t="s">
        <v>2</v>
      </c>
      <c r="E22" s="49"/>
      <c r="F22" s="50" t="s">
        <v>3</v>
      </c>
      <c r="G22" s="50"/>
      <c r="H22" s="49" t="s">
        <v>4</v>
      </c>
      <c r="I22" s="49"/>
      <c r="J22" s="49" t="s">
        <v>5</v>
      </c>
      <c r="K22" s="49"/>
      <c r="L22" s="3" t="s">
        <v>6</v>
      </c>
      <c r="M22" s="5"/>
      <c r="N22" s="49" t="s">
        <v>7</v>
      </c>
      <c r="O22" s="49"/>
      <c r="P22" s="3" t="s">
        <v>8</v>
      </c>
      <c r="Q22" s="5"/>
      <c r="R22" s="3" t="s">
        <v>9</v>
      </c>
      <c r="S22" s="5"/>
      <c r="T22" s="49" t="s">
        <v>10</v>
      </c>
      <c r="U22" s="49"/>
      <c r="V22" s="9"/>
    </row>
    <row r="23" spans="1:23" x14ac:dyDescent="0.25">
      <c r="A23" s="10" t="s">
        <v>11</v>
      </c>
      <c r="B23" s="51" t="s">
        <v>12</v>
      </c>
      <c r="C23" s="51"/>
      <c r="D23" s="51" t="s">
        <v>13</v>
      </c>
      <c r="E23" s="51"/>
      <c r="F23" s="52" t="s">
        <v>14</v>
      </c>
      <c r="G23" s="52"/>
      <c r="H23" s="51" t="s">
        <v>15</v>
      </c>
      <c r="I23" s="51"/>
      <c r="J23" s="51" t="s">
        <v>16</v>
      </c>
      <c r="K23" s="51"/>
      <c r="L23" s="11" t="s">
        <v>17</v>
      </c>
      <c r="M23" s="13"/>
      <c r="N23" s="51" t="s">
        <v>18</v>
      </c>
      <c r="O23" s="51"/>
      <c r="P23" s="11" t="s">
        <v>19</v>
      </c>
      <c r="Q23" s="13"/>
      <c r="R23" s="11" t="s">
        <v>20</v>
      </c>
      <c r="S23" s="13"/>
      <c r="T23" s="51" t="s">
        <v>21</v>
      </c>
      <c r="U23" s="51"/>
      <c r="V23" s="17" t="s">
        <v>22</v>
      </c>
    </row>
    <row r="24" spans="1:23" x14ac:dyDescent="0.25">
      <c r="A24" s="18"/>
      <c r="B24" s="19" t="s">
        <v>23</v>
      </c>
      <c r="C24" s="19" t="s">
        <v>24</v>
      </c>
      <c r="D24" s="19" t="s">
        <v>23</v>
      </c>
      <c r="E24" s="19" t="s">
        <v>24</v>
      </c>
      <c r="F24" s="53" t="s">
        <v>23</v>
      </c>
      <c r="G24" s="53" t="s">
        <v>24</v>
      </c>
      <c r="H24" s="19" t="s">
        <v>23</v>
      </c>
      <c r="I24" s="19" t="s">
        <v>24</v>
      </c>
      <c r="J24" s="19" t="s">
        <v>23</v>
      </c>
      <c r="K24" s="19" t="s">
        <v>24</v>
      </c>
      <c r="L24" s="19" t="s">
        <v>23</v>
      </c>
      <c r="M24" s="19" t="s">
        <v>24</v>
      </c>
      <c r="N24" s="19" t="s">
        <v>23</v>
      </c>
      <c r="O24" s="19" t="s">
        <v>24</v>
      </c>
      <c r="P24" s="19" t="s">
        <v>23</v>
      </c>
      <c r="Q24" s="19" t="s">
        <v>24</v>
      </c>
      <c r="R24" s="19" t="s">
        <v>23</v>
      </c>
      <c r="S24" s="19" t="s">
        <v>24</v>
      </c>
      <c r="T24" s="19" t="s">
        <v>23</v>
      </c>
      <c r="U24" s="19" t="s">
        <v>24</v>
      </c>
      <c r="V24" s="21"/>
    </row>
    <row r="25" spans="1:23" x14ac:dyDescent="0.25">
      <c r="A25" s="22">
        <v>2016</v>
      </c>
      <c r="B25" s="27">
        <v>542461.93000000005</v>
      </c>
      <c r="C25" s="24">
        <f>B25/$A$1</f>
        <v>0.54246193000000009</v>
      </c>
      <c r="D25" s="27">
        <v>258097.23</v>
      </c>
      <c r="E25" s="24">
        <f>D25/$A$1</f>
        <v>0.25809723000000001</v>
      </c>
      <c r="F25" s="54">
        <v>334936.61</v>
      </c>
      <c r="G25" s="55">
        <f>F25/$A$1</f>
        <v>0.33493660999999997</v>
      </c>
      <c r="H25" s="27">
        <v>450901.59</v>
      </c>
      <c r="I25" s="25">
        <f>H25/$A$1</f>
        <v>0.45090159000000002</v>
      </c>
      <c r="J25" s="27">
        <v>770736.76</v>
      </c>
      <c r="K25" s="25">
        <f>J25/$A$1</f>
        <v>0.77073676000000002</v>
      </c>
      <c r="L25" s="27">
        <v>477239.12</v>
      </c>
      <c r="M25" s="25">
        <f>L25/$A$1</f>
        <v>0.47723912000000002</v>
      </c>
      <c r="N25" s="27">
        <v>635964.93000000005</v>
      </c>
      <c r="O25" s="25">
        <f>N25/$A$1</f>
        <v>0.63596493000000009</v>
      </c>
      <c r="P25" s="27">
        <v>859883.59</v>
      </c>
      <c r="Q25" s="25">
        <f>P25/$A$1</f>
        <v>0.85988358999999992</v>
      </c>
      <c r="R25" s="27">
        <v>802622.09</v>
      </c>
      <c r="S25" s="25">
        <f>R25/$A$1</f>
        <v>0.80262208999999995</v>
      </c>
      <c r="T25" s="27">
        <v>719714.13</v>
      </c>
      <c r="U25" s="25">
        <f>T25/$A$1</f>
        <v>0.71971412999999995</v>
      </c>
      <c r="V25" s="24">
        <v>1.2500000000000001E-2</v>
      </c>
      <c r="W25" t="s">
        <v>31</v>
      </c>
    </row>
    <row r="26" spans="1:23" x14ac:dyDescent="0.25">
      <c r="A26" s="22">
        <v>2017</v>
      </c>
      <c r="B26" s="27">
        <v>404976.3</v>
      </c>
      <c r="C26" s="24">
        <f t="shared" ref="C26:E29" si="19">B26/$A$1</f>
        <v>0.40497630000000001</v>
      </c>
      <c r="D26" s="27">
        <v>826996.76</v>
      </c>
      <c r="E26" s="24">
        <f t="shared" si="19"/>
        <v>0.82699676</v>
      </c>
      <c r="F26" s="54">
        <v>636345.5</v>
      </c>
      <c r="G26" s="55">
        <f t="shared" ref="G26:G29" si="20">F26/$A$1</f>
        <v>0.63634550000000001</v>
      </c>
      <c r="H26" s="27">
        <v>704312.2</v>
      </c>
      <c r="I26" s="25">
        <f t="shared" ref="I26:I29" si="21">H26/$A$1</f>
        <v>0.70431219999999994</v>
      </c>
      <c r="J26" s="27">
        <v>711943.09</v>
      </c>
      <c r="K26" s="25">
        <f t="shared" ref="K26:K29" si="22">J26/$A$1</f>
        <v>0.71194309</v>
      </c>
      <c r="L26" s="27">
        <v>90278.44</v>
      </c>
      <c r="M26" s="25">
        <f t="shared" ref="M26:M29" si="23">L26/$A$1</f>
        <v>9.0278440000000001E-2</v>
      </c>
      <c r="N26" s="27">
        <v>525708.05000000005</v>
      </c>
      <c r="O26" s="25">
        <f t="shared" ref="O26:O29" si="24">N26/$A$1</f>
        <v>0.52570805000000009</v>
      </c>
      <c r="P26" s="27">
        <v>299235.81</v>
      </c>
      <c r="Q26" s="25">
        <f t="shared" ref="Q26:Q29" si="25">P26/$A$1</f>
        <v>0.29923580999999999</v>
      </c>
      <c r="R26" s="27">
        <v>1183814.55</v>
      </c>
      <c r="S26" s="25">
        <f t="shared" ref="S26:S29" si="26">R26/$A$1</f>
        <v>1.1838145500000001</v>
      </c>
      <c r="T26" s="27">
        <v>770416.28</v>
      </c>
      <c r="U26" s="25">
        <f t="shared" ref="U26:U29" si="27">T26/$A$1</f>
        <v>0.77041628000000006</v>
      </c>
      <c r="V26" s="24">
        <v>1.0699999999999999E-2</v>
      </c>
      <c r="W26" t="s">
        <v>31</v>
      </c>
    </row>
    <row r="27" spans="1:23" x14ac:dyDescent="0.25">
      <c r="A27" s="22">
        <v>2018</v>
      </c>
      <c r="B27" s="27">
        <f>712330.68-A1</f>
        <v>-287669.31999999995</v>
      </c>
      <c r="C27" s="24">
        <f t="shared" si="19"/>
        <v>-0.28766931999999995</v>
      </c>
      <c r="D27" s="27">
        <f>827134.01-A1</f>
        <v>-172865.99</v>
      </c>
      <c r="E27" s="24">
        <f t="shared" si="19"/>
        <v>-0.17286599</v>
      </c>
      <c r="F27" s="54">
        <f>736885.56-1000000</f>
        <v>-263114.43999999994</v>
      </c>
      <c r="G27" s="55">
        <f t="shared" si="20"/>
        <v>-0.26311443999999995</v>
      </c>
      <c r="H27" s="27">
        <v>-108033.71999999997</v>
      </c>
      <c r="I27" s="25">
        <f t="shared" si="21"/>
        <v>-0.10803371999999997</v>
      </c>
      <c r="J27" s="27">
        <f>781869.63-A1</f>
        <v>-218130.37</v>
      </c>
      <c r="K27" s="25">
        <f t="shared" si="22"/>
        <v>-0.21813036999999999</v>
      </c>
      <c r="L27" s="27">
        <f>679874.47-A1</f>
        <v>-320125.53000000003</v>
      </c>
      <c r="M27" s="25">
        <f t="shared" si="23"/>
        <v>-0.32012553000000005</v>
      </c>
      <c r="N27" s="27">
        <f>910272.31-A1</f>
        <v>-89727.689999999944</v>
      </c>
      <c r="O27" s="25">
        <f t="shared" si="24"/>
        <v>-8.9727689999999943E-2</v>
      </c>
      <c r="P27" s="27">
        <f>625857.64-A1</f>
        <v>-374142.36</v>
      </c>
      <c r="Q27" s="25">
        <f t="shared" si="25"/>
        <v>-0.37414236000000001</v>
      </c>
      <c r="R27" s="27">
        <f>572922.3-A1</f>
        <v>-427077.69999999995</v>
      </c>
      <c r="S27" s="25">
        <f t="shared" si="26"/>
        <v>-0.42707769999999995</v>
      </c>
      <c r="T27" s="27">
        <f>652134.99-A1</f>
        <v>-347865.01</v>
      </c>
      <c r="U27" s="25">
        <f t="shared" si="27"/>
        <v>-0.34786501000000003</v>
      </c>
      <c r="V27" s="24">
        <v>1.0699999999999999E-2</v>
      </c>
      <c r="W27" t="s">
        <v>31</v>
      </c>
    </row>
    <row r="28" spans="1:23" x14ac:dyDescent="0.25">
      <c r="A28" s="22">
        <v>2019</v>
      </c>
      <c r="B28" s="27">
        <v>325112.61</v>
      </c>
      <c r="C28" s="24">
        <f t="shared" si="19"/>
        <v>0.32511260999999997</v>
      </c>
      <c r="D28" s="27">
        <v>341085.32</v>
      </c>
      <c r="E28" s="24">
        <f t="shared" si="19"/>
        <v>0.34108532000000003</v>
      </c>
      <c r="F28" s="54">
        <v>406808.85</v>
      </c>
      <c r="G28" s="55">
        <f t="shared" si="20"/>
        <v>0.40680885</v>
      </c>
      <c r="H28" s="27">
        <v>286908.27</v>
      </c>
      <c r="I28" s="25">
        <f t="shared" si="21"/>
        <v>0.28690827000000002</v>
      </c>
      <c r="J28" s="27">
        <v>390916.28</v>
      </c>
      <c r="K28" s="25">
        <f t="shared" si="22"/>
        <v>0.39091628</v>
      </c>
      <c r="L28" s="27">
        <v>842098.24</v>
      </c>
      <c r="M28" s="25">
        <f t="shared" si="23"/>
        <v>0.84209824</v>
      </c>
      <c r="N28" s="27">
        <v>536092.84</v>
      </c>
      <c r="O28" s="25">
        <f t="shared" si="24"/>
        <v>0.53609284000000001</v>
      </c>
      <c r="P28" s="27">
        <v>270735.25</v>
      </c>
      <c r="Q28" s="25">
        <f t="shared" si="25"/>
        <v>0.27073524999999998</v>
      </c>
      <c r="R28" s="27">
        <v>1091653.4099999999</v>
      </c>
      <c r="S28" s="25">
        <f t="shared" si="26"/>
        <v>1.0916534099999999</v>
      </c>
      <c r="T28" s="27">
        <v>775894.07</v>
      </c>
      <c r="U28" s="25">
        <f t="shared" si="27"/>
        <v>0.77589406999999999</v>
      </c>
      <c r="V28" s="24">
        <v>1.0699999999999999E-2</v>
      </c>
    </row>
    <row r="29" spans="1:23" x14ac:dyDescent="0.25">
      <c r="A29" s="22">
        <v>2020</v>
      </c>
      <c r="B29" s="27">
        <v>502124.51</v>
      </c>
      <c r="C29" s="24">
        <f t="shared" si="19"/>
        <v>0.50212451000000002</v>
      </c>
      <c r="D29" s="27">
        <v>517736.71</v>
      </c>
      <c r="E29" s="24">
        <f t="shared" si="19"/>
        <v>0.51773670999999999</v>
      </c>
      <c r="F29" s="54">
        <v>483888.57</v>
      </c>
      <c r="G29" s="55">
        <f t="shared" si="20"/>
        <v>0.48388857000000002</v>
      </c>
      <c r="H29" s="27">
        <v>598912.24</v>
      </c>
      <c r="I29" s="25">
        <f t="shared" si="21"/>
        <v>0.59891223999999998</v>
      </c>
      <c r="J29" s="27">
        <v>562800.81999999995</v>
      </c>
      <c r="K29" s="25">
        <f t="shared" si="22"/>
        <v>0.56280081999999998</v>
      </c>
      <c r="L29" s="27">
        <v>146558.53</v>
      </c>
      <c r="M29" s="25">
        <f t="shared" si="23"/>
        <v>0.14655852999999999</v>
      </c>
      <c r="N29" s="27">
        <v>602166.86</v>
      </c>
      <c r="O29" s="25">
        <f t="shared" si="24"/>
        <v>0.60216685999999997</v>
      </c>
      <c r="P29" s="27">
        <v>732342.13</v>
      </c>
      <c r="Q29" s="25">
        <f t="shared" si="25"/>
        <v>0.73234213000000004</v>
      </c>
      <c r="R29" s="27">
        <v>668150.77</v>
      </c>
      <c r="S29" s="25">
        <f t="shared" si="26"/>
        <v>0.66815077</v>
      </c>
      <c r="T29" s="27">
        <v>891418.46</v>
      </c>
      <c r="U29" s="25">
        <f t="shared" si="27"/>
        <v>0.89141845999999991</v>
      </c>
      <c r="V29" s="24">
        <v>1.0699999999999999E-2</v>
      </c>
    </row>
    <row r="30" spans="1:23" x14ac:dyDescent="0.25">
      <c r="A30" s="26" t="s">
        <v>26</v>
      </c>
      <c r="B30" s="27">
        <f t="shared" ref="B30" si="28">AVERAGE(B25:B29)</f>
        <v>297401.20600000001</v>
      </c>
      <c r="C30" s="24">
        <f>AVERAGE(C25:C29)</f>
        <v>0.29740120600000003</v>
      </c>
      <c r="D30" s="27">
        <f t="shared" ref="D30" si="29">AVERAGE(D25:D29)</f>
        <v>354210.00599999999</v>
      </c>
      <c r="E30" s="24">
        <f>AVERAGE(E25:E29)</f>
        <v>0.35421000600000002</v>
      </c>
      <c r="F30" s="54">
        <f t="shared" ref="F30:Q30" si="30">AVERAGE(F25:F29)</f>
        <v>319773.01800000004</v>
      </c>
      <c r="G30" s="56">
        <f t="shared" si="30"/>
        <v>0.31977301799999996</v>
      </c>
      <c r="H30" s="27">
        <f t="shared" si="30"/>
        <v>386600.11600000004</v>
      </c>
      <c r="I30" s="25">
        <f t="shared" si="30"/>
        <v>0.38660011599999999</v>
      </c>
      <c r="J30" s="27">
        <f t="shared" si="30"/>
        <v>443653.31599999999</v>
      </c>
      <c r="K30" s="25">
        <f t="shared" si="30"/>
        <v>0.44365331600000008</v>
      </c>
      <c r="L30" s="27">
        <f>AVERAGE(L25:L29)</f>
        <v>247209.76</v>
      </c>
      <c r="M30" s="25">
        <f t="shared" si="30"/>
        <v>0.24720976</v>
      </c>
      <c r="N30" s="27">
        <f t="shared" si="30"/>
        <v>442040.99799999996</v>
      </c>
      <c r="O30" s="25">
        <f t="shared" si="30"/>
        <v>0.44204099800000007</v>
      </c>
      <c r="P30" s="27">
        <f t="shared" si="30"/>
        <v>357610.88399999996</v>
      </c>
      <c r="Q30" s="25">
        <f t="shared" si="30"/>
        <v>0.35761088399999996</v>
      </c>
      <c r="R30" s="27">
        <f>AVERAGE(R25:R29)</f>
        <v>663832.62400000007</v>
      </c>
      <c r="S30" s="29">
        <f>AVERAGE(S25:S29)</f>
        <v>0.66383262400000009</v>
      </c>
      <c r="T30" s="27">
        <f>AVERAGE(T25:T29)</f>
        <v>561915.58600000001</v>
      </c>
      <c r="U30" s="25">
        <f>AVERAGE(U25:U29)</f>
        <v>0.56191558599999991</v>
      </c>
      <c r="V30" s="41"/>
    </row>
    <row r="32" spans="1:23" hidden="1" x14ac:dyDescent="0.25"/>
    <row r="33" spans="1:13" ht="20.25" hidden="1" x14ac:dyDescent="0.25">
      <c r="A33" s="2" t="s">
        <v>30</v>
      </c>
      <c r="B33" s="2"/>
      <c r="C33" s="2"/>
      <c r="D33" s="2"/>
      <c r="E33" s="2"/>
      <c r="F33" s="49" t="s">
        <v>32</v>
      </c>
      <c r="G33" s="49"/>
      <c r="L33" s="3" t="s">
        <v>33</v>
      </c>
      <c r="M33" s="5"/>
    </row>
    <row r="34" spans="1:13" hidden="1" x14ac:dyDescent="0.25">
      <c r="A34" s="10" t="s">
        <v>11</v>
      </c>
      <c r="B34" s="59"/>
      <c r="C34" s="59"/>
      <c r="D34" s="59"/>
      <c r="E34" s="59"/>
      <c r="F34" s="51" t="s">
        <v>14</v>
      </c>
      <c r="G34" s="51"/>
      <c r="L34" s="11" t="s">
        <v>17</v>
      </c>
      <c r="M34" s="13"/>
    </row>
    <row r="35" spans="1:13" hidden="1" x14ac:dyDescent="0.25">
      <c r="A35" s="18"/>
      <c r="B35" s="60"/>
      <c r="C35" s="60"/>
      <c r="D35" s="60"/>
      <c r="E35" s="60"/>
      <c r="F35" s="19" t="s">
        <v>23</v>
      </c>
      <c r="G35" s="19" t="s">
        <v>24</v>
      </c>
      <c r="L35" s="19" t="s">
        <v>23</v>
      </c>
      <c r="M35" s="19" t="s">
        <v>24</v>
      </c>
    </row>
    <row r="36" spans="1:13" hidden="1" x14ac:dyDescent="0.25">
      <c r="A36" s="22">
        <v>2016</v>
      </c>
      <c r="B36" s="22"/>
      <c r="C36" s="22"/>
      <c r="D36" s="22"/>
      <c r="E36" s="22"/>
      <c r="F36" s="27">
        <v>300407.49</v>
      </c>
      <c r="G36" s="25">
        <f>F36/$A$1</f>
        <v>0.30040749</v>
      </c>
      <c r="L36" s="27">
        <v>653940.54</v>
      </c>
      <c r="M36" s="25">
        <f>L36/1000000</f>
        <v>0.65394054000000001</v>
      </c>
    </row>
    <row r="37" spans="1:13" hidden="1" x14ac:dyDescent="0.25">
      <c r="A37" s="22">
        <v>2017</v>
      </c>
      <c r="B37" s="22"/>
      <c r="C37" s="22"/>
      <c r="D37" s="22"/>
      <c r="E37" s="22"/>
      <c r="F37" s="27">
        <v>962129.06</v>
      </c>
      <c r="G37" s="25">
        <f t="shared" ref="G37:G40" si="31">F37/$A$1</f>
        <v>0.96212906000000009</v>
      </c>
      <c r="L37" s="27">
        <v>129584.4</v>
      </c>
      <c r="M37" s="25">
        <f>L37/1000000</f>
        <v>0.12958439999999999</v>
      </c>
    </row>
    <row r="38" spans="1:13" hidden="1" x14ac:dyDescent="0.25">
      <c r="A38" s="22">
        <v>2018</v>
      </c>
      <c r="B38" s="22"/>
      <c r="C38" s="22"/>
      <c r="D38" s="22"/>
      <c r="E38" s="22"/>
      <c r="F38" s="27">
        <f>882032.12-A1</f>
        <v>-117967.88</v>
      </c>
      <c r="G38" s="25">
        <f t="shared" si="31"/>
        <v>-0.11796788000000001</v>
      </c>
      <c r="L38" s="27">
        <f>732970.04-A1</f>
        <v>-267029.95999999996</v>
      </c>
      <c r="M38" s="25">
        <f>L38/1000000</f>
        <v>-0.26702995999999996</v>
      </c>
    </row>
    <row r="39" spans="1:13" hidden="1" x14ac:dyDescent="0.25">
      <c r="A39" s="22">
        <v>2019</v>
      </c>
      <c r="B39" s="22"/>
      <c r="C39" s="22"/>
      <c r="D39" s="22"/>
      <c r="E39" s="22"/>
      <c r="F39" s="27">
        <v>250596.57</v>
      </c>
      <c r="G39" s="25">
        <f t="shared" si="31"/>
        <v>0.25059657000000002</v>
      </c>
      <c r="L39" s="27">
        <v>794971.22</v>
      </c>
      <c r="M39" s="25">
        <f>L39/1000000</f>
        <v>0.79497121999999998</v>
      </c>
    </row>
    <row r="40" spans="1:13" hidden="1" x14ac:dyDescent="0.25">
      <c r="A40" s="22">
        <v>2020</v>
      </c>
      <c r="B40" s="22"/>
      <c r="C40" s="22"/>
      <c r="D40" s="22"/>
      <c r="E40" s="22"/>
      <c r="F40" s="27">
        <v>483888.57</v>
      </c>
      <c r="G40" s="25">
        <f t="shared" si="31"/>
        <v>0.48388857000000002</v>
      </c>
      <c r="L40" s="27">
        <v>308829.46999999997</v>
      </c>
      <c r="M40" s="25">
        <f>L40/1000000</f>
        <v>0.30882946999999999</v>
      </c>
    </row>
    <row r="41" spans="1:13" hidden="1" x14ac:dyDescent="0.25">
      <c r="A41" s="26" t="s">
        <v>26</v>
      </c>
      <c r="B41" s="26"/>
      <c r="C41" s="26"/>
      <c r="D41" s="26"/>
      <c r="E41" s="26"/>
      <c r="F41" s="27">
        <f>AVERAGE(F36:F40)</f>
        <v>375810.76199999999</v>
      </c>
      <c r="G41" s="25">
        <f t="shared" ref="G41" si="32">AVERAGE(G36:G40)</f>
        <v>0.37581076200000008</v>
      </c>
      <c r="L41" s="27">
        <f t="shared" ref="L41:M41" si="33">AVERAGE(L36:L40)</f>
        <v>324059.13400000002</v>
      </c>
      <c r="M41" s="25">
        <f t="shared" si="33"/>
        <v>0.32405913399999997</v>
      </c>
    </row>
    <row r="43" spans="1:13" ht="20.25" customHeight="1" x14ac:dyDescent="0.25">
      <c r="A43" s="2" t="s">
        <v>0</v>
      </c>
      <c r="B43" s="3" t="s">
        <v>3</v>
      </c>
      <c r="C43" s="5"/>
      <c r="D43" s="2" t="s">
        <v>29</v>
      </c>
      <c r="E43" s="3" t="s">
        <v>3</v>
      </c>
      <c r="F43" s="5"/>
    </row>
    <row r="44" spans="1:13" x14ac:dyDescent="0.25">
      <c r="A44" s="10" t="s">
        <v>11</v>
      </c>
      <c r="B44" s="11" t="s">
        <v>34</v>
      </c>
      <c r="C44" s="13"/>
      <c r="D44" s="59" t="s">
        <v>11</v>
      </c>
      <c r="E44" s="11" t="s">
        <v>34</v>
      </c>
      <c r="F44" s="13"/>
    </row>
    <row r="45" spans="1:13" x14ac:dyDescent="0.25">
      <c r="A45" s="18"/>
      <c r="B45" s="19" t="s">
        <v>23</v>
      </c>
      <c r="C45" s="19" t="s">
        <v>24</v>
      </c>
      <c r="D45" s="60"/>
      <c r="E45" s="19" t="s">
        <v>23</v>
      </c>
      <c r="F45" s="19" t="s">
        <v>24</v>
      </c>
    </row>
    <row r="46" spans="1:13" x14ac:dyDescent="0.25">
      <c r="A46" s="22">
        <v>2016</v>
      </c>
      <c r="B46" s="27">
        <v>319394.46999999997</v>
      </c>
      <c r="C46" s="25">
        <f>B46/$A$1</f>
        <v>0.31939446999999999</v>
      </c>
      <c r="D46" s="22">
        <v>2016</v>
      </c>
      <c r="E46" s="27">
        <v>301418.90000000002</v>
      </c>
      <c r="F46" s="25">
        <f>E46/$A$1</f>
        <v>0.30141890000000005</v>
      </c>
    </row>
    <row r="47" spans="1:13" x14ac:dyDescent="0.25">
      <c r="A47" s="22">
        <v>2017</v>
      </c>
      <c r="B47" s="27">
        <v>97548.82</v>
      </c>
      <c r="C47" s="25">
        <f>B47/$A$1</f>
        <v>9.7548820000000008E-2</v>
      </c>
      <c r="D47" s="22">
        <v>2017</v>
      </c>
      <c r="E47" s="27">
        <v>39706.5</v>
      </c>
      <c r="F47" s="25">
        <f>E47/$A$1</f>
        <v>3.9706499999999999E-2</v>
      </c>
    </row>
    <row r="48" spans="1:13" x14ac:dyDescent="0.25">
      <c r="A48" s="22">
        <v>2018</v>
      </c>
      <c r="B48" s="27">
        <f>969176.09-A1</f>
        <v>-30823.910000000033</v>
      </c>
      <c r="C48" s="25">
        <f>B48/$A$1</f>
        <v>-3.0823910000000034E-2</v>
      </c>
      <c r="D48" s="22">
        <v>2018</v>
      </c>
      <c r="E48" s="27">
        <v>66754.960000000006</v>
      </c>
      <c r="F48" s="25">
        <f>E48/$A$1</f>
        <v>6.6754960000000002E-2</v>
      </c>
    </row>
    <row r="49" spans="1:9" x14ac:dyDescent="0.25">
      <c r="A49" s="22">
        <v>2019</v>
      </c>
      <c r="B49" s="27">
        <v>275151.53999999998</v>
      </c>
      <c r="C49" s="25">
        <f>B49/$A$1</f>
        <v>0.27515153999999997</v>
      </c>
      <c r="D49" s="22">
        <v>2019</v>
      </c>
      <c r="E49" s="27">
        <v>218831.4</v>
      </c>
      <c r="F49" s="25">
        <f>E49/$A$1</f>
        <v>0.21883139999999998</v>
      </c>
    </row>
    <row r="50" spans="1:9" x14ac:dyDescent="0.25">
      <c r="A50" s="22">
        <v>2020</v>
      </c>
      <c r="B50" s="27">
        <v>158084.98000000001</v>
      </c>
      <c r="C50" s="25">
        <f>B50/$A$1</f>
        <v>0.15808498000000001</v>
      </c>
      <c r="D50" s="22">
        <v>2020</v>
      </c>
      <c r="E50" s="27">
        <v>229646.77</v>
      </c>
      <c r="F50" s="25">
        <f>E50/$A$1</f>
        <v>0.22964677</v>
      </c>
    </row>
    <row r="51" spans="1:9" x14ac:dyDescent="0.25">
      <c r="A51" s="26" t="s">
        <v>26</v>
      </c>
      <c r="B51" s="27">
        <f>AVERAGE(B46:B50)</f>
        <v>163871.18</v>
      </c>
      <c r="C51" s="25">
        <f>AVERAGE(C46:C50)</f>
        <v>0.16387118000000001</v>
      </c>
      <c r="D51" s="26" t="s">
        <v>26</v>
      </c>
      <c r="E51" s="27">
        <f>AVERAGE(E46:E50)</f>
        <v>171271.70600000001</v>
      </c>
      <c r="F51" s="25">
        <f>AVERAGE(F46:F50)</f>
        <v>0.17127170600000002</v>
      </c>
    </row>
    <row r="54" spans="1:9" ht="20.25" customHeight="1" x14ac:dyDescent="0.25">
      <c r="A54" s="2" t="s">
        <v>0</v>
      </c>
      <c r="B54" s="49" t="s">
        <v>3</v>
      </c>
      <c r="C54" s="49"/>
      <c r="D54" s="2" t="s">
        <v>29</v>
      </c>
      <c r="E54" s="3" t="s">
        <v>3</v>
      </c>
      <c r="F54" s="5"/>
      <c r="G54" s="2" t="s">
        <v>30</v>
      </c>
      <c r="H54" s="49" t="s">
        <v>3</v>
      </c>
      <c r="I54" s="49"/>
    </row>
    <row r="55" spans="1:9" x14ac:dyDescent="0.25">
      <c r="A55" s="10" t="s">
        <v>11</v>
      </c>
      <c r="B55" s="51" t="s">
        <v>35</v>
      </c>
      <c r="C55" s="51"/>
      <c r="D55" s="10" t="s">
        <v>11</v>
      </c>
      <c r="E55" s="11" t="s">
        <v>35</v>
      </c>
      <c r="F55" s="13"/>
      <c r="G55" s="10" t="s">
        <v>11</v>
      </c>
      <c r="H55" s="51" t="s">
        <v>35</v>
      </c>
      <c r="I55" s="51"/>
    </row>
    <row r="56" spans="1:9" x14ac:dyDescent="0.25">
      <c r="A56" s="18"/>
      <c r="B56" s="19" t="s">
        <v>23</v>
      </c>
      <c r="C56" s="19" t="s">
        <v>24</v>
      </c>
      <c r="D56" s="18"/>
      <c r="E56" s="19" t="s">
        <v>23</v>
      </c>
      <c r="F56" s="19" t="s">
        <v>24</v>
      </c>
      <c r="G56" s="18"/>
      <c r="H56" s="19" t="s">
        <v>23</v>
      </c>
      <c r="I56" s="19" t="s">
        <v>24</v>
      </c>
    </row>
    <row r="57" spans="1:9" x14ac:dyDescent="0.25">
      <c r="A57" s="22">
        <v>2016</v>
      </c>
      <c r="B57" s="27">
        <v>842318.62</v>
      </c>
      <c r="C57" s="25">
        <f>B57/$A$1</f>
        <v>0.84231862000000002</v>
      </c>
      <c r="D57" s="22">
        <v>2016</v>
      </c>
      <c r="E57" s="27">
        <v>182609.83</v>
      </c>
      <c r="F57" s="25">
        <f>E57/$A$1</f>
        <v>0.18260983</v>
      </c>
      <c r="G57" s="22">
        <v>2016</v>
      </c>
      <c r="H57" s="27">
        <v>590380.11</v>
      </c>
      <c r="I57" s="25">
        <f>H57/$A$1</f>
        <v>0.59038011000000001</v>
      </c>
    </row>
    <row r="58" spans="1:9" x14ac:dyDescent="0.25">
      <c r="A58" s="22">
        <v>2017</v>
      </c>
      <c r="B58" s="27">
        <v>170722.93</v>
      </c>
      <c r="C58" s="25">
        <f t="shared" ref="C58:C61" si="34">B58/$A$1</f>
        <v>0.17072292999999999</v>
      </c>
      <c r="D58" s="22">
        <v>2017</v>
      </c>
      <c r="E58" s="27">
        <v>126239.63</v>
      </c>
      <c r="F58" s="25">
        <f>E58/$A$1</f>
        <v>0.12623962999999999</v>
      </c>
      <c r="G58" s="22">
        <v>2017</v>
      </c>
      <c r="H58" s="27">
        <v>293217.24</v>
      </c>
      <c r="I58" s="25">
        <f>H58/$A$1</f>
        <v>0.29321723999999999</v>
      </c>
    </row>
    <row r="59" spans="1:9" x14ac:dyDescent="0.25">
      <c r="A59" s="22">
        <v>2018</v>
      </c>
      <c r="B59" s="27">
        <v>92932.23</v>
      </c>
      <c r="C59" s="25">
        <f t="shared" si="34"/>
        <v>9.2932229999999991E-2</v>
      </c>
      <c r="D59" s="22">
        <v>2018</v>
      </c>
      <c r="E59" s="27">
        <f>831109.67-A1</f>
        <v>-168890.32999999996</v>
      </c>
      <c r="F59" s="25">
        <f>E59/$A$1</f>
        <v>-0.16889032999999995</v>
      </c>
      <c r="G59" s="22">
        <v>2018</v>
      </c>
      <c r="H59" s="27">
        <f>831760.579999999-A1</f>
        <v>-168239.42000000097</v>
      </c>
      <c r="I59" s="25">
        <f>H59/$A$1</f>
        <v>-0.16823942000000097</v>
      </c>
    </row>
    <row r="60" spans="1:9" x14ac:dyDescent="0.25">
      <c r="A60" s="22">
        <v>2019</v>
      </c>
      <c r="B60" s="27">
        <v>123896.32000000001</v>
      </c>
      <c r="C60" s="25">
        <f t="shared" si="34"/>
        <v>0.12389632</v>
      </c>
      <c r="D60" s="22">
        <v>2019</v>
      </c>
      <c r="E60" s="27">
        <v>133219.57</v>
      </c>
      <c r="F60" s="25">
        <f>E60/$A$1</f>
        <v>0.13321957000000001</v>
      </c>
      <c r="G60" s="22">
        <v>2019</v>
      </c>
      <c r="H60" s="27">
        <v>1825397.46</v>
      </c>
      <c r="I60" s="25">
        <f>H60/$A$1</f>
        <v>1.82539746</v>
      </c>
    </row>
    <row r="61" spans="1:9" x14ac:dyDescent="0.25">
      <c r="A61" s="22">
        <v>2020</v>
      </c>
      <c r="B61" s="27">
        <v>509545.06</v>
      </c>
      <c r="C61" s="25">
        <f t="shared" si="34"/>
        <v>0.50954505999999999</v>
      </c>
      <c r="D61" s="22">
        <v>2020</v>
      </c>
      <c r="E61" s="27">
        <v>367362.73</v>
      </c>
      <c r="F61" s="25">
        <f>E61/$A$1</f>
        <v>0.36736272999999997</v>
      </c>
      <c r="G61" s="22">
        <v>2020</v>
      </c>
      <c r="H61" s="27">
        <v>371478.61</v>
      </c>
      <c r="I61" s="25">
        <f>H61/$A$1</f>
        <v>0.37147860999999999</v>
      </c>
    </row>
    <row r="62" spans="1:9" x14ac:dyDescent="0.25">
      <c r="A62" s="26" t="s">
        <v>26</v>
      </c>
      <c r="B62" s="27">
        <f t="shared" ref="B62:C62" si="35">AVERAGE(B57:B61)</f>
        <v>347883.03200000001</v>
      </c>
      <c r="C62" s="25">
        <f t="shared" si="35"/>
        <v>0.34788303200000004</v>
      </c>
      <c r="D62" s="26" t="s">
        <v>26</v>
      </c>
      <c r="E62" s="27">
        <f>AVERAGE(E57:E61)</f>
        <v>128108.28599999999</v>
      </c>
      <c r="F62" s="25">
        <f>AVERAGE(F57:F61)</f>
        <v>0.12810828600000002</v>
      </c>
      <c r="G62" s="26" t="s">
        <v>26</v>
      </c>
      <c r="H62" s="27">
        <f>AVERAGE(H57:H61)</f>
        <v>582446.7999999997</v>
      </c>
      <c r="I62" s="25">
        <f>AVERAGE(I57:I61)</f>
        <v>0.58244679999999982</v>
      </c>
    </row>
    <row r="65" spans="1:9" ht="20.25" customHeight="1" x14ac:dyDescent="0.25">
      <c r="A65" s="2" t="s">
        <v>0</v>
      </c>
      <c r="B65" s="49" t="s">
        <v>3</v>
      </c>
      <c r="C65" s="49"/>
      <c r="D65" s="2" t="s">
        <v>29</v>
      </c>
      <c r="E65" s="3" t="s">
        <v>3</v>
      </c>
      <c r="F65" s="5"/>
      <c r="G65" s="2" t="s">
        <v>30</v>
      </c>
      <c r="H65" s="49" t="s">
        <v>3</v>
      </c>
      <c r="I65" s="49"/>
    </row>
    <row r="66" spans="1:9" x14ac:dyDescent="0.25">
      <c r="A66" s="10" t="s">
        <v>11</v>
      </c>
      <c r="B66" s="51" t="s">
        <v>36</v>
      </c>
      <c r="C66" s="51"/>
      <c r="D66" s="10" t="s">
        <v>11</v>
      </c>
      <c r="E66" s="11" t="s">
        <v>36</v>
      </c>
      <c r="F66" s="13"/>
      <c r="G66" s="10" t="s">
        <v>11</v>
      </c>
      <c r="H66" s="51" t="s">
        <v>36</v>
      </c>
      <c r="I66" s="51"/>
    </row>
    <row r="67" spans="1:9" x14ac:dyDescent="0.25">
      <c r="A67" s="18"/>
      <c r="B67" s="19" t="s">
        <v>23</v>
      </c>
      <c r="C67" s="19" t="s">
        <v>24</v>
      </c>
      <c r="D67" s="18"/>
      <c r="E67" s="19" t="s">
        <v>23</v>
      </c>
      <c r="F67" s="19" t="s">
        <v>24</v>
      </c>
      <c r="G67" s="18"/>
      <c r="H67" s="19" t="s">
        <v>23</v>
      </c>
      <c r="I67" s="19" t="s">
        <v>24</v>
      </c>
    </row>
    <row r="68" spans="1:9" x14ac:dyDescent="0.25">
      <c r="A68" s="22">
        <v>2016</v>
      </c>
      <c r="B68" s="27">
        <v>306996.89</v>
      </c>
      <c r="C68" s="25">
        <f>B68/$A$1</f>
        <v>0.30699689000000002</v>
      </c>
      <c r="D68" s="22">
        <v>2016</v>
      </c>
      <c r="E68" s="27">
        <v>271967.01</v>
      </c>
      <c r="F68" s="25">
        <f>E68/$A$1</f>
        <v>0.27196701000000001</v>
      </c>
      <c r="G68" s="22">
        <v>2016</v>
      </c>
      <c r="H68" s="27">
        <v>121573.02</v>
      </c>
      <c r="I68" s="25">
        <f>H68/$A$1</f>
        <v>0.12157302</v>
      </c>
    </row>
    <row r="69" spans="1:9" x14ac:dyDescent="0.25">
      <c r="A69" s="22">
        <v>2017</v>
      </c>
      <c r="B69" s="27">
        <v>56029.760000000002</v>
      </c>
      <c r="C69" s="25">
        <f t="shared" ref="C69:C72" si="36">B69/$A$1</f>
        <v>5.6029760000000005E-2</v>
      </c>
      <c r="D69" s="22">
        <v>2017</v>
      </c>
      <c r="E69" s="27">
        <v>150884.72</v>
      </c>
      <c r="F69" s="25">
        <f t="shared" ref="F69:F72" si="37">E69/$A$1</f>
        <v>0.15088472</v>
      </c>
      <c r="G69" s="22">
        <v>2017</v>
      </c>
      <c r="H69" s="27">
        <v>318142.65999999997</v>
      </c>
      <c r="I69" s="25">
        <f>H69/$A$1</f>
        <v>0.31814265999999997</v>
      </c>
    </row>
    <row r="70" spans="1:9" x14ac:dyDescent="0.25">
      <c r="A70" s="22">
        <v>2018</v>
      </c>
      <c r="B70" s="27">
        <v>18997.02</v>
      </c>
      <c r="C70" s="25">
        <f t="shared" si="36"/>
        <v>1.899702E-2</v>
      </c>
      <c r="D70" s="22">
        <v>2018</v>
      </c>
      <c r="E70" s="27">
        <v>57972.47</v>
      </c>
      <c r="F70" s="25">
        <f t="shared" si="37"/>
        <v>5.7972469999999998E-2</v>
      </c>
      <c r="G70" s="22">
        <v>2018</v>
      </c>
      <c r="H70" s="27">
        <f>688466.69-A1</f>
        <v>-311533.31000000006</v>
      </c>
      <c r="I70" s="25">
        <f>H70/$A$1</f>
        <v>-0.31153331000000006</v>
      </c>
    </row>
    <row r="71" spans="1:9" x14ac:dyDescent="0.25">
      <c r="A71" s="22">
        <v>2019</v>
      </c>
      <c r="B71" s="27">
        <v>230317.76</v>
      </c>
      <c r="C71" s="25">
        <f t="shared" si="36"/>
        <v>0.23031776000000001</v>
      </c>
      <c r="D71" s="22">
        <v>2019</v>
      </c>
      <c r="E71" s="27">
        <v>254982.84</v>
      </c>
      <c r="F71" s="25">
        <f t="shared" si="37"/>
        <v>0.25498283999999999</v>
      </c>
      <c r="G71" s="22">
        <v>2019</v>
      </c>
      <c r="H71" s="27">
        <v>296341.69</v>
      </c>
      <c r="I71" s="25">
        <f>H71/$A$1</f>
        <v>0.29634168999999999</v>
      </c>
    </row>
    <row r="72" spans="1:9" x14ac:dyDescent="0.25">
      <c r="A72" s="22">
        <v>2020</v>
      </c>
      <c r="B72" s="27">
        <v>173386.74</v>
      </c>
      <c r="C72" s="25">
        <f t="shared" si="36"/>
        <v>0.17338673999999998</v>
      </c>
      <c r="D72" s="22">
        <v>2020</v>
      </c>
      <c r="E72" s="27">
        <v>225200.44</v>
      </c>
      <c r="F72" s="25">
        <f t="shared" si="37"/>
        <v>0.22520044</v>
      </c>
      <c r="G72" s="22">
        <v>2020</v>
      </c>
      <c r="H72" s="27">
        <v>795021.28</v>
      </c>
      <c r="I72" s="25">
        <f>H72/$A$1</f>
        <v>0.79502128000000005</v>
      </c>
    </row>
    <row r="73" spans="1:9" x14ac:dyDescent="0.25">
      <c r="A73" s="26" t="s">
        <v>26</v>
      </c>
      <c r="B73" s="27">
        <f>AVERAGE(B68:B72)</f>
        <v>157145.63400000002</v>
      </c>
      <c r="C73" s="25">
        <f t="shared" ref="C73" si="38">AVERAGE(C68:C72)</f>
        <v>0.15714563399999998</v>
      </c>
      <c r="D73" s="26" t="s">
        <v>26</v>
      </c>
      <c r="E73" s="27">
        <f>AVERAGE(E68:E72)</f>
        <v>192201.49599999998</v>
      </c>
      <c r="F73" s="25">
        <f>AVERAGE(F68:F72)</f>
        <v>0.19220149599999997</v>
      </c>
      <c r="G73" s="26" t="s">
        <v>26</v>
      </c>
      <c r="H73" s="27">
        <f>AVERAGE(H68:H72)</f>
        <v>243909.06799999997</v>
      </c>
      <c r="I73" s="25">
        <f>AVERAGE(I68:I72)</f>
        <v>0.24390906799999995</v>
      </c>
    </row>
  </sheetData>
  <mergeCells count="94">
    <mergeCell ref="B65:C65"/>
    <mergeCell ref="E65:F65"/>
    <mergeCell ref="H65:I65"/>
    <mergeCell ref="A66:A67"/>
    <mergeCell ref="B66:C66"/>
    <mergeCell ref="D66:D67"/>
    <mergeCell ref="E66:F66"/>
    <mergeCell ref="G66:G67"/>
    <mergeCell ref="H66:I66"/>
    <mergeCell ref="A55:A56"/>
    <mergeCell ref="B55:C55"/>
    <mergeCell ref="D55:D56"/>
    <mergeCell ref="E55:F55"/>
    <mergeCell ref="G55:G56"/>
    <mergeCell ref="H55:I55"/>
    <mergeCell ref="A44:A45"/>
    <mergeCell ref="B44:C44"/>
    <mergeCell ref="E44:F44"/>
    <mergeCell ref="B54:C54"/>
    <mergeCell ref="E54:F54"/>
    <mergeCell ref="H54:I54"/>
    <mergeCell ref="F33:G33"/>
    <mergeCell ref="L33:M33"/>
    <mergeCell ref="A34:A35"/>
    <mergeCell ref="F34:G34"/>
    <mergeCell ref="L34:M34"/>
    <mergeCell ref="B43:C43"/>
    <mergeCell ref="E43:F43"/>
    <mergeCell ref="L23:M23"/>
    <mergeCell ref="N23:O23"/>
    <mergeCell ref="P23:Q23"/>
    <mergeCell ref="R23:S23"/>
    <mergeCell ref="T23:U23"/>
    <mergeCell ref="V23:V24"/>
    <mergeCell ref="N22:O22"/>
    <mergeCell ref="P22:Q22"/>
    <mergeCell ref="R22:S22"/>
    <mergeCell ref="T22:U22"/>
    <mergeCell ref="A23:A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L22:M22"/>
    <mergeCell ref="L13:M13"/>
    <mergeCell ref="N13:O13"/>
    <mergeCell ref="P13:Q13"/>
    <mergeCell ref="R13:S13"/>
    <mergeCell ref="T13:U13"/>
    <mergeCell ref="V13:V14"/>
    <mergeCell ref="N12:O12"/>
    <mergeCell ref="P12:Q12"/>
    <mergeCell ref="R12:S12"/>
    <mergeCell ref="T12:U12"/>
    <mergeCell ref="A13:A14"/>
    <mergeCell ref="B13:C13"/>
    <mergeCell ref="D13:E13"/>
    <mergeCell ref="F13:G13"/>
    <mergeCell ref="H13:I13"/>
    <mergeCell ref="J13:K13"/>
    <mergeCell ref="B12:C12"/>
    <mergeCell ref="D12:E12"/>
    <mergeCell ref="F12:G12"/>
    <mergeCell ref="H12:I12"/>
    <mergeCell ref="J12:K12"/>
    <mergeCell ref="L12:M12"/>
    <mergeCell ref="L3:M3"/>
    <mergeCell ref="N3:O3"/>
    <mergeCell ref="P3:Q3"/>
    <mergeCell ref="R3:S3"/>
    <mergeCell ref="T3:U3"/>
    <mergeCell ref="V3:V4"/>
    <mergeCell ref="N2:O2"/>
    <mergeCell ref="P2:Q2"/>
    <mergeCell ref="R2:S2"/>
    <mergeCell ref="T2:U2"/>
    <mergeCell ref="A3:A4"/>
    <mergeCell ref="B3:C3"/>
    <mergeCell ref="D3:E3"/>
    <mergeCell ref="F3:G3"/>
    <mergeCell ref="H3:I3"/>
    <mergeCell ref="J3:K3"/>
    <mergeCell ref="B2:C2"/>
    <mergeCell ref="D2:E2"/>
    <mergeCell ref="F2:G2"/>
    <mergeCell ref="H2:I2"/>
    <mergeCell ref="J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2022-06-05T23:37:01Z</dcterms:created>
  <dcterms:modified xsi:type="dcterms:W3CDTF">2022-06-05T23:38:10Z</dcterms:modified>
</cp:coreProperties>
</file>