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tle/src/T_cell_fluxomics/"/>
    </mc:Choice>
  </mc:AlternateContent>
  <xr:revisionPtr revIDLastSave="0" documentId="13_ncr:1_{EE66BBA3-7FDE-184D-8B7E-C9DF923CD66A}" xr6:coauthVersionLast="36" xr6:coauthVersionMax="36" xr10:uidLastSave="{00000000-0000-0000-0000-000000000000}"/>
  <bookViews>
    <workbookView xWindow="9200" yWindow="1340" windowWidth="25700" windowHeight="16900" activeTab="3" xr2:uid="{E1C82D43-D6BB-9045-9E67-4E1F4C57AEF0}"/>
  </bookViews>
  <sheets>
    <sheet name="biomolecule" sheetId="1" r:id="rId1"/>
    <sheet name="exchange" sheetId="2" r:id="rId2"/>
    <sheet name="calc protein syn from AA uptake" sheetId="3" r:id="rId3"/>
    <sheet name="additional constraint" sheetId="4" r:id="rId4"/>
    <sheet name="NADPH pathway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3" l="1" a="1"/>
  <c r="E22" i="3" s="1"/>
  <c r="B22" i="3" a="1"/>
  <c r="B22" i="3" s="1"/>
  <c r="H3" i="3" s="1"/>
  <c r="F23" i="3" l="1"/>
  <c r="E23" i="3"/>
  <c r="F22" i="3"/>
  <c r="C23" i="3"/>
  <c r="B23" i="3"/>
  <c r="C22" i="3"/>
  <c r="E19" i="5" l="1"/>
  <c r="C19" i="5"/>
  <c r="D19" i="5"/>
  <c r="B19" i="5"/>
  <c r="E14" i="5"/>
  <c r="E15" i="5"/>
  <c r="C15" i="5"/>
  <c r="C14" i="5"/>
  <c r="D15" i="5"/>
  <c r="D14" i="5"/>
  <c r="B15" i="5"/>
  <c r="B14" i="5"/>
  <c r="E12" i="5"/>
  <c r="D12" i="5"/>
  <c r="E11" i="5"/>
  <c r="D11" i="5"/>
  <c r="C12" i="5"/>
  <c r="B12" i="5"/>
  <c r="C11" i="5"/>
  <c r="B11" i="5"/>
  <c r="K3" i="3" l="1"/>
  <c r="J3" i="3"/>
  <c r="I3" i="3"/>
  <c r="D10" i="1" l="1"/>
  <c r="G28" i="2" l="1"/>
  <c r="F28" i="2"/>
  <c r="E28" i="2"/>
  <c r="D28" i="2"/>
  <c r="E27" i="2"/>
  <c r="F27" i="2"/>
  <c r="G27" i="2"/>
  <c r="D27" i="2"/>
  <c r="F13" i="1" l="1"/>
  <c r="G13" i="1" s="1"/>
  <c r="D13" i="1"/>
  <c r="E13" i="1" s="1"/>
  <c r="F12" i="1" l="1"/>
  <c r="G12" i="1" s="1"/>
  <c r="D12" i="1"/>
  <c r="E12" i="1" s="1"/>
  <c r="F11" i="1"/>
  <c r="G11" i="1" s="1"/>
  <c r="F10" i="1"/>
  <c r="G10" i="1" s="1"/>
  <c r="E10" i="1"/>
</calcChain>
</file>

<file path=xl/sharedStrings.xml><?xml version="1.0" encoding="utf-8"?>
<sst xmlns="http://schemas.openxmlformats.org/spreadsheetml/2006/main" count="272" uniqueCount="140">
  <si>
    <t>naïve</t>
  </si>
  <si>
    <t>activated</t>
  </si>
  <si>
    <t>protein</t>
  </si>
  <si>
    <t>measurement</t>
  </si>
  <si>
    <t>unit</t>
  </si>
  <si>
    <t>ug/E6 cells</t>
  </si>
  <si>
    <t>naïve error</t>
  </si>
  <si>
    <t>activated error</t>
  </si>
  <si>
    <t>DNA</t>
  </si>
  <si>
    <t>RNA</t>
  </si>
  <si>
    <t>protein.fraction.renewed</t>
  </si>
  <si>
    <t>DNA.fraction.renewed</t>
  </si>
  <si>
    <t>RNA.fraction.renewed</t>
  </si>
  <si>
    <t>protein.synthesis</t>
  </si>
  <si>
    <t>ug/h/E6 cells</t>
  </si>
  <si>
    <t>DNA.synthesis</t>
  </si>
  <si>
    <t>RNA.synthesis</t>
  </si>
  <si>
    <t>Arg</t>
  </si>
  <si>
    <t>Asp</t>
  </si>
  <si>
    <t>Gln</t>
  </si>
  <si>
    <t>Glu</t>
  </si>
  <si>
    <t>glucose</t>
  </si>
  <si>
    <t>Gly</t>
  </si>
  <si>
    <t>Ile</t>
  </si>
  <si>
    <t>Leu</t>
  </si>
  <si>
    <t>Lys</t>
  </si>
  <si>
    <t>Met</t>
  </si>
  <si>
    <t>Phe</t>
  </si>
  <si>
    <t>Pro</t>
  </si>
  <si>
    <t>Ser</t>
  </si>
  <si>
    <t>Thr</t>
  </si>
  <si>
    <t>Val</t>
  </si>
  <si>
    <t>umole/E6/h</t>
  </si>
  <si>
    <t>BiGG</t>
  </si>
  <si>
    <t>arg__L</t>
  </si>
  <si>
    <t>asp__L</t>
  </si>
  <si>
    <t>gln__L</t>
  </si>
  <si>
    <t>glu__L</t>
  </si>
  <si>
    <t>glc__D</t>
  </si>
  <si>
    <t>gly</t>
  </si>
  <si>
    <t>ile__L</t>
  </si>
  <si>
    <t>leu__L</t>
  </si>
  <si>
    <t>lys__L</t>
  </si>
  <si>
    <t>met__L</t>
  </si>
  <si>
    <t>phe__L</t>
  </si>
  <si>
    <t>pro__L</t>
  </si>
  <si>
    <t>ser__L</t>
  </si>
  <si>
    <t>thr__L</t>
  </si>
  <si>
    <t>val__L</t>
  </si>
  <si>
    <t>Lac</t>
  </si>
  <si>
    <t>lac__L</t>
  </si>
  <si>
    <t>o2</t>
  </si>
  <si>
    <t>o2 [m]</t>
  </si>
  <si>
    <t>o2 [c]</t>
  </si>
  <si>
    <t>include in MFA</t>
  </si>
  <si>
    <t>Y</t>
  </si>
  <si>
    <t>Ala</t>
  </si>
  <si>
    <t>glycerol-3-phosphate</t>
  </si>
  <si>
    <t>umole/E6 cells</t>
  </si>
  <si>
    <t>g3p.fraction.renewed</t>
  </si>
  <si>
    <t>g3p.synthesis</t>
  </si>
  <si>
    <t>umole/h/E6 cells</t>
  </si>
  <si>
    <t>Ala__L</t>
  </si>
  <si>
    <t>average</t>
  </si>
  <si>
    <t>amino acid</t>
  </si>
  <si>
    <t>ile__L_c</t>
  </si>
  <si>
    <t>leu__L_c</t>
  </si>
  <si>
    <t>lys__L_c</t>
  </si>
  <si>
    <t>met__L_c</t>
  </si>
  <si>
    <t>phe__L_c</t>
  </si>
  <si>
    <t>val__L_c</t>
  </si>
  <si>
    <t>uptake flux (umol/h/E6 cells)</t>
  </si>
  <si>
    <t>coeff (mmol/gProtein)</t>
  </si>
  <si>
    <t>composition in protein</t>
  </si>
  <si>
    <t>protein synthesis calculated from uptake (ugProtein/h/E6 cells)</t>
  </si>
  <si>
    <t>calculated from fraction renewal and mass</t>
  </si>
  <si>
    <t>id</t>
  </si>
  <si>
    <t>naive</t>
  </si>
  <si>
    <t>reason</t>
  </si>
  <si>
    <t>FBP_c</t>
  </si>
  <si>
    <t>PPCKg_m</t>
  </si>
  <si>
    <t>GLUDC_m</t>
  </si>
  <si>
    <t>SK_accoa_c</t>
  </si>
  <si>
    <t>EX_glc__D_e</t>
  </si>
  <si>
    <t>&gt;0</t>
  </si>
  <si>
    <t>experimental data</t>
  </si>
  <si>
    <t>EX_lac__L_e</t>
  </si>
  <si>
    <t>NADHBAL_c</t>
  </si>
  <si>
    <t>NADPHBAL_c</t>
  </si>
  <si>
    <t>calculated from net uptake of essential amino acids, see 'calc protein breakdown'</t>
  </si>
  <si>
    <t>linear regression y = k*x</t>
  </si>
  <si>
    <t>slope</t>
  </si>
  <si>
    <t>value</t>
  </si>
  <si>
    <t>error</t>
  </si>
  <si>
    <t>intercept</t>
  </si>
  <si>
    <t>PPCKg_c</t>
  </si>
  <si>
    <t>G6PDH2i_c</t>
  </si>
  <si>
    <t>0.30 ± 0.07</t>
  </si>
  <si>
    <t>3.79 ± 0.65</t>
  </si>
  <si>
    <t>H2O exchange</t>
  </si>
  <si>
    <t>naïve CD8+</t>
  </si>
  <si>
    <t>activated CD8+</t>
  </si>
  <si>
    <t>1-2H glucose</t>
  </si>
  <si>
    <t>mean</t>
  </si>
  <si>
    <t>3-2H glucose</t>
  </si>
  <si>
    <t>4-2H glucose</t>
  </si>
  <si>
    <t>2H5 glutamine</t>
  </si>
  <si>
    <t>oxPPP</t>
  </si>
  <si>
    <t>hydride labeling, Fig S10c</t>
  </si>
  <si>
    <t>NADPH contribution, Fig. 3c</t>
  </si>
  <si>
    <t>ME1+IDH1</t>
  </si>
  <si>
    <t>normalized</t>
  </si>
  <si>
    <t>oxPPP flux</t>
  </si>
  <si>
    <t>oxPPP flux, Fig. 3b</t>
  </si>
  <si>
    <t>IDH1 flux</t>
  </si>
  <si>
    <t>ICDHyi_c</t>
  </si>
  <si>
    <t>0.42 ± 0.26</t>
  </si>
  <si>
    <t>0.64 ± 0.31</t>
  </si>
  <si>
    <t>all in nmol/h/E6</t>
  </si>
  <si>
    <t>from Ghergurovich et al, Nat Chem Biol 2020, https://doi.org/10.1038/s41589-020-0533-x</t>
  </si>
  <si>
    <t>protein was not detected, also create futile cycle</t>
  </si>
  <si>
    <t>ME2_c</t>
  </si>
  <si>
    <t>protein was not detected, flux was almost zero based on Gherguurovich et al, Nat Chem Biol 2020, https://doi.org/10.1038/s41589-020-0533-x</t>
  </si>
  <si>
    <t>0.727 ± 0.006</t>
  </si>
  <si>
    <t>0.861 ± 0.022</t>
  </si>
  <si>
    <t>ATP-linked OCR / mitochondrial OCR from Seahorse, see method</t>
  </si>
  <si>
    <t>coupling efficiency of ATPS_m</t>
  </si>
  <si>
    <t>thr__L_c</t>
  </si>
  <si>
    <t>no fatty acid was labeled from Uglc or Ugln in naïve cells, about 30% C14:1 and 12% C16:0 and 24% C16:1 and C16:1 and 7% C18:1 were renewed after 5h labeling. Assuming 17pg lipid/cell (based on a lipid:protein ratio of 0.25 [https://doi.org/10.1016/j.ymben.2020.06.002] and ~69ug protein), according to the fatty acid composition of Jurkat cell (C14 3%, C16 30%, C18:1 30%) and 25% of these are non-essential fatty acids [jurkat, PMID: 12133900], this is about 4nmole/E6/h accoa_c</t>
  </si>
  <si>
    <t>method</t>
  </si>
  <si>
    <t>LC-MS</t>
  </si>
  <si>
    <t>YSI</t>
  </si>
  <si>
    <t>mitochondria specific OCR by Seahorse</t>
  </si>
  <si>
    <t>non-mitochondria OCR by Seahorse</t>
  </si>
  <si>
    <t>glycolytic PER by Seahorse (ECAR - mitoPER)</t>
  </si>
  <si>
    <t>LC-MS analysis of hydrolysate</t>
  </si>
  <si>
    <t>LC-MS analysis of hydrolysate (* rescaled to 2.57ug/E6 cell, based on 2.5E9 bp genome and 310g/mole average MW)</t>
  </si>
  <si>
    <t>LC-MS analysis of hydrolysate (seems consistent with 1~2pg/cell, https://www.nature.com/articles/s41598-019-44902-z)</t>
  </si>
  <si>
    <t>LC-MS analysis of hydrolysate and corresponding soluble precursor after 5hr labeling</t>
  </si>
  <si>
    <t>see sheet 'NADPH pathways'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</si>
</sst>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7" formatCode="0.0E+00"/>
  </numFmts>
  <fonts count="9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164" fontId="0" fillId="0" borderId="0" xfId="0" applyNumberFormat="1"/>
    <xf numFmtId="0" fontId="0" fillId="0" borderId="1" xfId="0" applyFont="1" applyBorder="1"/>
    <xf numFmtId="2" fontId="0" fillId="0" borderId="1" xfId="0" applyNumberFormat="1" applyFont="1" applyBorder="1" applyAlignment="1"/>
    <xf numFmtId="164" fontId="0" fillId="0" borderId="1" xfId="0" applyNumberFormat="1" applyBorder="1"/>
    <xf numFmtId="0" fontId="0" fillId="0" borderId="1" xfId="0" applyBorder="1"/>
    <xf numFmtId="0" fontId="5" fillId="0" borderId="1" xfId="0" applyFont="1" applyBorder="1"/>
    <xf numFmtId="2" fontId="5" fillId="0" borderId="1" xfId="0" applyNumberFormat="1" applyFont="1" applyBorder="1"/>
    <xf numFmtId="11" fontId="0" fillId="4" borderId="1" xfId="0" applyNumberFormat="1" applyFill="1" applyBorder="1"/>
    <xf numFmtId="164" fontId="0" fillId="4" borderId="1" xfId="0" applyNumberFormat="1" applyFill="1" applyBorder="1"/>
    <xf numFmtId="11" fontId="0" fillId="0" borderId="1" xfId="0" applyNumberFormat="1" applyFont="1" applyBorder="1"/>
    <xf numFmtId="11" fontId="0" fillId="0" borderId="1" xfId="0" applyNumberFormat="1" applyBorder="1"/>
    <xf numFmtId="0" fontId="7" fillId="0" borderId="0" xfId="0" applyFont="1"/>
    <xf numFmtId="2" fontId="0" fillId="0" borderId="0" xfId="0" applyNumberFormat="1"/>
    <xf numFmtId="0" fontId="2" fillId="5" borderId="0" xfId="0" applyFont="1" applyFill="1"/>
    <xf numFmtId="2" fontId="0" fillId="0" borderId="2" xfId="0" applyNumberFormat="1" applyFont="1" applyFill="1" applyBorder="1" applyAlignment="1"/>
    <xf numFmtId="0" fontId="0" fillId="0" borderId="2" xfId="0" applyFont="1" applyFill="1" applyBorder="1"/>
    <xf numFmtId="0" fontId="0" fillId="0" borderId="0" xfId="0" applyFill="1" applyAlignment="1">
      <alignment wrapText="1"/>
    </xf>
    <xf numFmtId="0" fontId="6" fillId="0" borderId="0" xfId="0" applyFont="1" applyFill="1"/>
    <xf numFmtId="0" fontId="1" fillId="0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/>
    <xf numFmtId="11" fontId="0" fillId="0" borderId="0" xfId="0" applyNumberFormat="1" applyFill="1" applyBorder="1"/>
    <xf numFmtId="0" fontId="0" fillId="0" borderId="0" xfId="0" applyFill="1" applyBorder="1" applyAlignment="1"/>
    <xf numFmtId="0" fontId="2" fillId="0" borderId="0" xfId="0" applyFont="1" applyFill="1"/>
    <xf numFmtId="0" fontId="4" fillId="0" borderId="0" xfId="0" applyFont="1" applyFill="1" applyAlignment="1"/>
    <xf numFmtId="0" fontId="3" fillId="0" borderId="0" xfId="0" applyFont="1" applyFill="1"/>
    <xf numFmtId="0" fontId="8" fillId="0" borderId="0" xfId="0" applyFont="1"/>
    <xf numFmtId="0" fontId="8" fillId="0" borderId="0" xfId="0" applyFont="1" applyFill="1"/>
    <xf numFmtId="165" fontId="8" fillId="0" borderId="0" xfId="0" applyNumberFormat="1" applyFont="1"/>
    <xf numFmtId="165" fontId="3" fillId="0" borderId="0" xfId="0" applyNumberFormat="1" applyFont="1"/>
    <xf numFmtId="165" fontId="8" fillId="0" borderId="0" xfId="0" applyNumberFormat="1" applyFont="1" applyFill="1"/>
    <xf numFmtId="165" fontId="3" fillId="0" borderId="0" xfId="0" applyNumberFormat="1" applyFont="1" applyFill="1"/>
    <xf numFmtId="167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 protein syn from AA uptake'!$C$2</c:f>
              <c:strCache>
                <c:ptCount val="1"/>
                <c:pt idx="0">
                  <c:v>naïve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2"/>
            <c:intercept val="0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'calc protein syn from AA uptake'!$B$3:$B$9</c:f>
              <c:numCache>
                <c:formatCode>0.00</c:formatCode>
                <c:ptCount val="7"/>
                <c:pt idx="0">
                  <c:v>0.4111812996542582</c:v>
                </c:pt>
                <c:pt idx="1">
                  <c:v>0.68204288817494407</c:v>
                </c:pt>
                <c:pt idx="2">
                  <c:v>0.18752207919930758</c:v>
                </c:pt>
                <c:pt idx="3">
                  <c:v>0.23136187830160942</c:v>
                </c:pt>
                <c:pt idx="4">
                  <c:v>0.59192147568383224</c:v>
                </c:pt>
                <c:pt idx="5">
                  <c:v>1.0747101307321403</c:v>
                </c:pt>
                <c:pt idx="6">
                  <c:v>0.5</c:v>
                </c:pt>
              </c:numCache>
            </c:numRef>
          </c:xVal>
          <c:yVal>
            <c:numRef>
              <c:f>'calc protein syn from AA uptake'!$C$3:$C$9</c:f>
              <c:numCache>
                <c:formatCode>0.00000</c:formatCode>
                <c:ptCount val="7"/>
                <c:pt idx="0">
                  <c:v>4.3319522949689598E-4</c:v>
                </c:pt>
                <c:pt idx="1">
                  <c:v>4.5824543551484497E-4</c:v>
                </c:pt>
                <c:pt idx="2">
                  <c:v>5.0354967626450597E-5</c:v>
                </c:pt>
                <c:pt idx="3">
                  <c:v>1.0296845803599E-4</c:v>
                </c:pt>
                <c:pt idx="4">
                  <c:v>1.9093380610872801E-4</c:v>
                </c:pt>
                <c:pt idx="5">
                  <c:v>2.1175665775557999E-4</c:v>
                </c:pt>
                <c:pt idx="6">
                  <c:v>2.0894683044802E-4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A-E14D-BD26-3FEFF3873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62144"/>
        <c:axId val="511865728"/>
      </c:scatterChart>
      <c:valAx>
        <c:axId val="56216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65728"/>
        <c:crosses val="autoZero"/>
        <c:crossBetween val="midCat"/>
      </c:valAx>
      <c:valAx>
        <c:axId val="5118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6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 protein syn from AA uptake'!$E$2</c:f>
              <c:strCache>
                <c:ptCount val="1"/>
                <c:pt idx="0">
                  <c:v>activated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2"/>
            <c:intercept val="0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'calc protein syn from AA uptake'!$B$3:$B$9</c:f>
              <c:numCache>
                <c:formatCode>0.00</c:formatCode>
                <c:ptCount val="7"/>
                <c:pt idx="0">
                  <c:v>0.4111812996542582</c:v>
                </c:pt>
                <c:pt idx="1">
                  <c:v>0.68204288817494407</c:v>
                </c:pt>
                <c:pt idx="2">
                  <c:v>0.18752207919930758</c:v>
                </c:pt>
                <c:pt idx="3">
                  <c:v>0.23136187830160942</c:v>
                </c:pt>
                <c:pt idx="4">
                  <c:v>0.59192147568383224</c:v>
                </c:pt>
                <c:pt idx="5">
                  <c:v>1.0747101307321403</c:v>
                </c:pt>
                <c:pt idx="6">
                  <c:v>0.5</c:v>
                </c:pt>
              </c:numCache>
            </c:numRef>
          </c:xVal>
          <c:yVal>
            <c:numRef>
              <c:f>'calc protein syn from AA uptake'!$E$3:$E$9</c:f>
              <c:numCache>
                <c:formatCode>0.00000</c:formatCode>
                <c:ptCount val="7"/>
                <c:pt idx="0">
                  <c:v>4.9680340887773601E-3</c:v>
                </c:pt>
                <c:pt idx="1">
                  <c:v>7.2231749941068799E-3</c:v>
                </c:pt>
                <c:pt idx="2">
                  <c:v>2.37925433942763E-3</c:v>
                </c:pt>
                <c:pt idx="3">
                  <c:v>2.5235331265140702E-3</c:v>
                </c:pt>
                <c:pt idx="4">
                  <c:v>4.7513065904711696E-3</c:v>
                </c:pt>
                <c:pt idx="5">
                  <c:v>6.6498093617277203E-3</c:v>
                </c:pt>
                <c:pt idx="6">
                  <c:v>4.3760666526482901E-3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0-7B48-B29C-AB9872282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62144"/>
        <c:axId val="511865728"/>
      </c:scatterChart>
      <c:valAx>
        <c:axId val="56216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65728"/>
        <c:crosses val="autoZero"/>
        <c:crossBetween val="midCat"/>
      </c:valAx>
      <c:valAx>
        <c:axId val="5118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6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184150</xdr:rowOff>
    </xdr:from>
    <xdr:to>
      <xdr:col>3</xdr:col>
      <xdr:colOff>139700</xdr:colOff>
      <xdr:row>19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3B09BC-86D0-D849-9535-1FEDAAFB4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165100</xdr:colOff>
      <xdr:row>8</xdr:row>
      <xdr:rowOff>190500</xdr:rowOff>
    </xdr:from>
    <xdr:to>
      <xdr:col>6</xdr:col>
      <xdr:colOff>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3A3816-CBCB-2E46-B6E2-F67D36527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0</xdr:rowOff>
    </xdr:from>
    <xdr:to>
      <xdr:col>5</xdr:col>
      <xdr:colOff>1498600</xdr:colOff>
      <xdr:row>24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DC62BD-5197-4B4E-8749-03E40CA61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600" y="3251200"/>
          <a:ext cx="1498600" cy="16891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7</xdr:row>
      <xdr:rowOff>88900</xdr:rowOff>
    </xdr:from>
    <xdr:to>
      <xdr:col>5</xdr:col>
      <xdr:colOff>1625600</xdr:colOff>
      <xdr:row>16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61CA40-F658-BA4B-A27A-881BD0952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8300" y="1511300"/>
          <a:ext cx="1612900" cy="177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1740569</xdr:colOff>
      <xdr:row>1</xdr:row>
      <xdr:rowOff>25400</xdr:rowOff>
    </xdr:from>
    <xdr:to>
      <xdr:col>5</xdr:col>
      <xdr:colOff>5029200</xdr:colOff>
      <xdr:row>16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1E53CC-5AB3-4448-A76C-E7B984442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6169" y="228600"/>
          <a:ext cx="3288631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0C42-3BEF-0C44-BA38-AFB262AAEAB0}">
  <dimension ref="A1:R16"/>
  <sheetViews>
    <sheetView zoomScale="129" zoomScaleNormal="129" workbookViewId="0">
      <selection activeCell="E15" sqref="E15"/>
    </sheetView>
  </sheetViews>
  <sheetFormatPr baseColWidth="10" defaultRowHeight="14"/>
  <cols>
    <col min="1" max="1" width="14.5" style="38" customWidth="1"/>
    <col min="2" max="2" width="21.83203125" style="38" bestFit="1" customWidth="1"/>
    <col min="3" max="3" width="18.5" style="38" customWidth="1"/>
    <col min="4" max="5" width="12.5" style="40" bestFit="1" customWidth="1"/>
    <col min="6" max="6" width="10.83203125" style="40"/>
    <col min="7" max="7" width="13.1640625" style="40" bestFit="1" customWidth="1"/>
    <col min="8" max="8" width="12.33203125" style="38" customWidth="1"/>
    <col min="9" max="16384" width="10.83203125" style="38"/>
  </cols>
  <sheetData>
    <row r="1" spans="1:18">
      <c r="A1" s="38" t="s">
        <v>54</v>
      </c>
      <c r="B1" s="38" t="s">
        <v>3</v>
      </c>
      <c r="C1" s="38" t="s">
        <v>4</v>
      </c>
      <c r="D1" s="40" t="s">
        <v>0</v>
      </c>
      <c r="E1" s="40" t="s">
        <v>6</v>
      </c>
      <c r="F1" s="40" t="s">
        <v>1</v>
      </c>
      <c r="G1" s="40" t="s">
        <v>7</v>
      </c>
      <c r="H1" s="38" t="s">
        <v>129</v>
      </c>
    </row>
    <row r="2" spans="1:18">
      <c r="B2" s="38" t="s">
        <v>2</v>
      </c>
      <c r="C2" s="38" t="s">
        <v>5</v>
      </c>
      <c r="D2" s="40">
        <v>25.8</v>
      </c>
      <c r="E2" s="40">
        <v>3.7016725447518368</v>
      </c>
      <c r="F2" s="40">
        <v>61.892293335898309</v>
      </c>
      <c r="G2" s="40">
        <v>4.2046901132374348</v>
      </c>
      <c r="H2" s="38" t="s">
        <v>135</v>
      </c>
    </row>
    <row r="3" spans="1:18">
      <c r="B3" s="38" t="s">
        <v>8</v>
      </c>
      <c r="C3" s="38" t="s">
        <v>5</v>
      </c>
      <c r="D3" s="40">
        <v>2.682219817930211</v>
      </c>
      <c r="E3" s="40">
        <v>0.2225897329892981</v>
      </c>
      <c r="F3" s="40">
        <v>2.4581072982478411</v>
      </c>
      <c r="G3" s="40">
        <v>0.32978935897957462</v>
      </c>
      <c r="H3" s="38" t="s">
        <v>136</v>
      </c>
    </row>
    <row r="4" spans="1:18">
      <c r="B4" s="38" t="s">
        <v>9</v>
      </c>
      <c r="C4" s="38" t="s">
        <v>5</v>
      </c>
      <c r="D4" s="40">
        <v>0.84829838616987696</v>
      </c>
      <c r="E4" s="40">
        <v>9.4641711462147296E-2</v>
      </c>
      <c r="F4" s="40">
        <v>6.0415767508759695</v>
      </c>
      <c r="G4" s="40">
        <v>1.6591583832355599</v>
      </c>
      <c r="H4" s="38" t="s">
        <v>137</v>
      </c>
    </row>
    <row r="5" spans="1:18">
      <c r="B5" s="38" t="s">
        <v>57</v>
      </c>
      <c r="C5" s="38" t="s">
        <v>58</v>
      </c>
      <c r="D5" s="40">
        <v>1.1498229999999999E-3</v>
      </c>
      <c r="E5" s="40">
        <v>2.0282850000000001E-4</v>
      </c>
      <c r="F5" s="40">
        <v>3.88098E-3</v>
      </c>
      <c r="G5" s="40">
        <v>3.2635800000000001E-4</v>
      </c>
      <c r="H5" s="38" t="s">
        <v>135</v>
      </c>
    </row>
    <row r="6" spans="1:18">
      <c r="B6" s="38" t="s">
        <v>10</v>
      </c>
      <c r="D6" s="41">
        <v>0.220443</v>
      </c>
      <c r="E6" s="41">
        <v>4.5066988000000002E-2</v>
      </c>
      <c r="F6" s="41">
        <v>0.2267332</v>
      </c>
      <c r="G6" s="41">
        <v>6.6343799999999996E-3</v>
      </c>
      <c r="H6" s="5" t="s">
        <v>138</v>
      </c>
    </row>
    <row r="7" spans="1:18">
      <c r="B7" s="38" t="s">
        <v>11</v>
      </c>
      <c r="D7" s="41">
        <v>0</v>
      </c>
      <c r="E7" s="41">
        <v>0</v>
      </c>
      <c r="F7" s="41">
        <v>0.1821731</v>
      </c>
      <c r="G7" s="41">
        <v>1.4709099999999999E-2</v>
      </c>
      <c r="H7" s="5" t="s">
        <v>138</v>
      </c>
      <c r="O7" s="6"/>
      <c r="P7" s="6"/>
    </row>
    <row r="8" spans="1:18">
      <c r="B8" s="38" t="s">
        <v>12</v>
      </c>
      <c r="D8" s="41">
        <v>0.13808529999999999</v>
      </c>
      <c r="E8" s="41">
        <v>3.8876710000000001E-3</v>
      </c>
      <c r="F8" s="41">
        <v>0.3272622</v>
      </c>
      <c r="G8" s="41">
        <v>2.9809960000000001E-3</v>
      </c>
      <c r="H8" s="5" t="s">
        <v>138</v>
      </c>
      <c r="O8" s="5"/>
      <c r="P8" s="5"/>
      <c r="Q8" s="5"/>
      <c r="R8" s="5"/>
    </row>
    <row r="9" spans="1:18">
      <c r="B9" s="38" t="s">
        <v>59</v>
      </c>
      <c r="D9" s="41">
        <v>5.24086E-2</v>
      </c>
      <c r="E9" s="41">
        <v>1.7291450000000001E-3</v>
      </c>
      <c r="F9" s="41">
        <v>0.21269959999999999</v>
      </c>
      <c r="G9" s="41">
        <v>5.9146390000000002E-3</v>
      </c>
      <c r="H9" s="5" t="s">
        <v>138</v>
      </c>
      <c r="O9" s="5"/>
      <c r="P9" s="5"/>
      <c r="Q9" s="5"/>
      <c r="R9" s="5"/>
    </row>
    <row r="10" spans="1:18" s="39" customFormat="1">
      <c r="B10" s="39" t="s">
        <v>13</v>
      </c>
      <c r="C10" s="39" t="s">
        <v>14</v>
      </c>
      <c r="D10" s="42">
        <f>D2*D6/5</f>
        <v>1.1374858800000001</v>
      </c>
      <c r="E10" s="42">
        <f>(E2/D2+E6/D6)*D10</f>
        <v>0.39574721823654591</v>
      </c>
      <c r="F10" s="42">
        <f>F2*F6/5</f>
        <v>2.8066075446773797</v>
      </c>
      <c r="G10" s="42">
        <f>(G2/F2+G6/F6)*F10</f>
        <v>0.27279196748890056</v>
      </c>
      <c r="H10" s="37" t="s">
        <v>75</v>
      </c>
      <c r="O10" s="37"/>
      <c r="P10" s="37"/>
      <c r="Q10" s="37"/>
      <c r="R10" s="37"/>
    </row>
    <row r="11" spans="1:18" s="39" customFormat="1">
      <c r="A11" s="39" t="s">
        <v>55</v>
      </c>
      <c r="B11" s="39" t="s">
        <v>15</v>
      </c>
      <c r="C11" s="39" t="s">
        <v>14</v>
      </c>
      <c r="D11" s="43">
        <v>0</v>
      </c>
      <c r="E11" s="43">
        <v>0</v>
      </c>
      <c r="F11" s="42">
        <f>F3*F7/5</f>
        <v>8.9560205330886752E-2</v>
      </c>
      <c r="G11" s="42">
        <f>(G3/F3+G7/F7)*F11</f>
        <v>1.924705918659585E-2</v>
      </c>
      <c r="H11" s="37" t="s">
        <v>75</v>
      </c>
      <c r="M11" s="37"/>
      <c r="N11" s="37"/>
      <c r="O11" s="37"/>
      <c r="P11" s="37"/>
      <c r="Q11" s="37"/>
      <c r="R11" s="37"/>
    </row>
    <row r="12" spans="1:18" s="39" customFormat="1">
      <c r="A12" s="39" t="s">
        <v>55</v>
      </c>
      <c r="B12" s="39" t="s">
        <v>16</v>
      </c>
      <c r="C12" s="39" t="s">
        <v>14</v>
      </c>
      <c r="D12" s="42">
        <f>D4*D8/5</f>
        <v>2.3427507428756662E-2</v>
      </c>
      <c r="E12" s="42">
        <f>(E4/D4+E8/D8)*D12</f>
        <v>3.2733068310046962E-3</v>
      </c>
      <c r="F12" s="42">
        <f>F4*F8/5</f>
        <v>0.39543593979210434</v>
      </c>
      <c r="G12" s="42">
        <f>(G4/F4+G8/F8)*F12</f>
        <v>0.11219794775483334</v>
      </c>
      <c r="H12" s="37" t="s">
        <v>75</v>
      </c>
      <c r="M12" s="37"/>
      <c r="N12" s="37"/>
      <c r="O12" s="37"/>
      <c r="P12" s="37"/>
      <c r="Q12" s="37"/>
      <c r="R12" s="37"/>
    </row>
    <row r="13" spans="1:18">
      <c r="A13" s="39" t="s">
        <v>55</v>
      </c>
      <c r="B13" s="39" t="s">
        <v>60</v>
      </c>
      <c r="C13" s="38" t="s">
        <v>61</v>
      </c>
      <c r="D13" s="44">
        <f>D5*D9/5</f>
        <v>1.2052122735559999E-5</v>
      </c>
      <c r="E13" s="44">
        <f>(E5/D5+E9/D9)*D13</f>
        <v>2.5236336832869999E-6</v>
      </c>
      <c r="F13" s="44">
        <f>F5*F9/5</f>
        <v>1.6509657872159999E-4</v>
      </c>
      <c r="G13" s="44">
        <f>(G5/F5+G9/F9)*F13</f>
        <v>1.8474162344604E-5</v>
      </c>
      <c r="H13" s="37" t="s">
        <v>75</v>
      </c>
      <c r="M13" s="5"/>
      <c r="N13" s="5"/>
    </row>
    <row r="14" spans="1:18">
      <c r="A14" s="39" t="s">
        <v>55</v>
      </c>
      <c r="B14" s="39" t="s">
        <v>13</v>
      </c>
      <c r="C14" s="39" t="s">
        <v>14</v>
      </c>
      <c r="D14" s="40">
        <v>0.39099042235700426</v>
      </c>
      <c r="E14" s="40">
        <v>0.10271113757065999</v>
      </c>
      <c r="F14" s="40">
        <v>8.1290369666371287</v>
      </c>
      <c r="G14" s="40">
        <v>0.86239698201084325</v>
      </c>
      <c r="H14" s="37" t="s">
        <v>89</v>
      </c>
      <c r="M14" s="5"/>
      <c r="N14" s="5"/>
    </row>
    <row r="15" spans="1:18">
      <c r="C15" s="39"/>
      <c r="M15" s="5"/>
      <c r="N15" s="5"/>
    </row>
    <row r="16" spans="1:18">
      <c r="C16" s="5"/>
      <c r="D16" s="41"/>
      <c r="E16" s="41"/>
      <c r="F16" s="41"/>
      <c r="M16" s="5"/>
      <c r="N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B902-E7CE-134E-AFD4-CEC5ABB6CB9A}">
  <dimension ref="A1:P28"/>
  <sheetViews>
    <sheetView topLeftCell="A4" zoomScale="145" zoomScaleNormal="145" workbookViewId="0">
      <selection activeCell="E21" sqref="E21"/>
    </sheetView>
  </sheetViews>
  <sheetFormatPr baseColWidth="10" defaultRowHeight="16"/>
  <cols>
    <col min="1" max="1" width="13.33203125" style="4" bestFit="1" customWidth="1"/>
    <col min="2" max="8" width="10.83203125" style="4"/>
    <col min="9" max="9" width="34.1640625" style="35" customWidth="1"/>
    <col min="10" max="16384" width="10.83203125" style="35"/>
  </cols>
  <sheetData>
    <row r="1" spans="1:9">
      <c r="A1" s="4" t="s">
        <v>54</v>
      </c>
      <c r="B1" s="4" t="s">
        <v>3</v>
      </c>
      <c r="C1" s="4" t="s">
        <v>4</v>
      </c>
      <c r="D1" s="4" t="s">
        <v>0</v>
      </c>
      <c r="E1" s="4" t="s">
        <v>6</v>
      </c>
      <c r="F1" s="4" t="s">
        <v>1</v>
      </c>
      <c r="G1" s="4" t="s">
        <v>7</v>
      </c>
      <c r="H1" s="4" t="s">
        <v>33</v>
      </c>
      <c r="I1" s="35" t="s">
        <v>129</v>
      </c>
    </row>
    <row r="2" spans="1:9">
      <c r="A2" s="4" t="s">
        <v>55</v>
      </c>
      <c r="B2" s="4" t="s">
        <v>56</v>
      </c>
      <c r="C2" s="4" t="s">
        <v>32</v>
      </c>
      <c r="D2" s="4">
        <v>-1.96602410746753E-4</v>
      </c>
      <c r="E2" s="4">
        <v>9.13478016020083E-5</v>
      </c>
      <c r="F2" s="4">
        <v>4.15280576627188E-3</v>
      </c>
      <c r="G2" s="4">
        <v>3.9180657921147801E-4</v>
      </c>
      <c r="H2" s="4" t="s">
        <v>62</v>
      </c>
      <c r="I2" s="35" t="s">
        <v>130</v>
      </c>
    </row>
    <row r="3" spans="1:9">
      <c r="A3" s="4" t="s">
        <v>55</v>
      </c>
      <c r="B3" s="4" t="s">
        <v>17</v>
      </c>
      <c r="C3" s="4" t="s">
        <v>32</v>
      </c>
      <c r="D3" s="4">
        <v>1.3022940564403999E-4</v>
      </c>
      <c r="E3" s="4">
        <v>3.8659852366654799E-4</v>
      </c>
      <c r="F3" s="4">
        <v>2.9170772742983901E-3</v>
      </c>
      <c r="G3" s="4">
        <v>2.7343425757454598E-3</v>
      </c>
      <c r="H3" s="5" t="s">
        <v>34</v>
      </c>
      <c r="I3" s="35" t="s">
        <v>130</v>
      </c>
    </row>
    <row r="4" spans="1:9">
      <c r="A4" s="4" t="s">
        <v>55</v>
      </c>
      <c r="B4" s="4" t="s">
        <v>18</v>
      </c>
      <c r="C4" s="4" t="s">
        <v>32</v>
      </c>
      <c r="D4" s="4">
        <v>2.28151440188089E-4</v>
      </c>
      <c r="E4" s="4">
        <v>5.0402974604907299E-5</v>
      </c>
      <c r="F4" s="4">
        <v>-7.5402078187477705E-4</v>
      </c>
      <c r="G4" s="4">
        <v>3.9610732448443198E-4</v>
      </c>
      <c r="H4" s="5" t="s">
        <v>35</v>
      </c>
      <c r="I4" s="35" t="s">
        <v>130</v>
      </c>
    </row>
    <row r="5" spans="1:9">
      <c r="A5" s="4" t="s">
        <v>55</v>
      </c>
      <c r="B5" s="4" t="s">
        <v>19</v>
      </c>
      <c r="C5" s="4" t="s">
        <v>32</v>
      </c>
      <c r="D5" s="4">
        <v>9.3031283223592304E-3</v>
      </c>
      <c r="E5" s="4">
        <v>1.4206239357775E-3</v>
      </c>
      <c r="F5" s="4">
        <v>6.7742904771738999E-2</v>
      </c>
      <c r="G5" s="4">
        <v>3.2864191359752099E-3</v>
      </c>
      <c r="H5" s="4" t="s">
        <v>36</v>
      </c>
      <c r="I5" s="35" t="s">
        <v>130</v>
      </c>
    </row>
    <row r="6" spans="1:9">
      <c r="A6" s="4" t="s">
        <v>55</v>
      </c>
      <c r="B6" s="4" t="s">
        <v>20</v>
      </c>
      <c r="C6" s="4" t="s">
        <v>32</v>
      </c>
      <c r="D6" s="4">
        <v>-1.7790889408206901E-3</v>
      </c>
      <c r="E6" s="4">
        <v>3.0589299382469701E-4</v>
      </c>
      <c r="F6" s="4">
        <v>-3.2148281546468E-3</v>
      </c>
      <c r="G6" s="4">
        <v>5.6768328503339601E-4</v>
      </c>
      <c r="H6" s="4" t="s">
        <v>37</v>
      </c>
      <c r="I6" s="35" t="s">
        <v>130</v>
      </c>
    </row>
    <row r="7" spans="1:9">
      <c r="A7" s="9"/>
      <c r="B7" s="9" t="s">
        <v>21</v>
      </c>
      <c r="C7" s="9" t="s">
        <v>32</v>
      </c>
      <c r="D7" s="9">
        <v>1.19289664032926E-2</v>
      </c>
      <c r="E7" s="9">
        <v>3.5811160083567902E-3</v>
      </c>
      <c r="F7" s="9">
        <v>0.25045755002786502</v>
      </c>
      <c r="G7" s="9">
        <v>2.0890816088442201E-2</v>
      </c>
      <c r="H7" s="9" t="s">
        <v>38</v>
      </c>
      <c r="I7" s="35" t="s">
        <v>130</v>
      </c>
    </row>
    <row r="8" spans="1:9">
      <c r="A8" s="4" t="s">
        <v>55</v>
      </c>
      <c r="B8" s="4" t="s">
        <v>22</v>
      </c>
      <c r="C8" s="4" t="s">
        <v>32</v>
      </c>
      <c r="D8" s="4">
        <v>-2.2812197261715399E-4</v>
      </c>
      <c r="E8" s="4">
        <v>1.11960823722732E-4</v>
      </c>
      <c r="F8" s="4">
        <v>7.28873044006775E-4</v>
      </c>
      <c r="G8" s="4">
        <v>3.0911002663536701E-4</v>
      </c>
      <c r="H8" s="4" t="s">
        <v>39</v>
      </c>
      <c r="I8" s="35" t="s">
        <v>130</v>
      </c>
    </row>
    <row r="9" spans="1:9">
      <c r="A9" s="4" t="s">
        <v>55</v>
      </c>
      <c r="B9" s="4" t="s">
        <v>23</v>
      </c>
      <c r="C9" s="4" t="s">
        <v>32</v>
      </c>
      <c r="D9" s="4">
        <v>4.3319522949689598E-4</v>
      </c>
      <c r="E9" s="4">
        <v>1.21939628454956E-4</v>
      </c>
      <c r="F9" s="4">
        <v>4.9680340887773601E-3</v>
      </c>
      <c r="G9" s="4">
        <v>8.7139206648425898E-4</v>
      </c>
      <c r="H9" s="4" t="s">
        <v>40</v>
      </c>
      <c r="I9" s="35" t="s">
        <v>130</v>
      </c>
    </row>
    <row r="10" spans="1:9">
      <c r="A10" s="7"/>
      <c r="B10" s="7" t="s">
        <v>49</v>
      </c>
      <c r="C10" s="7" t="s">
        <v>32</v>
      </c>
      <c r="D10" s="7">
        <v>6.3271571091011898E-3</v>
      </c>
      <c r="E10" s="7">
        <v>9.2357354326820702E-4</v>
      </c>
      <c r="F10" s="7">
        <v>-0.45968911445042698</v>
      </c>
      <c r="G10" s="7">
        <v>1.51372063780979E-2</v>
      </c>
      <c r="H10" s="7" t="s">
        <v>50</v>
      </c>
      <c r="I10" s="35" t="s">
        <v>130</v>
      </c>
    </row>
    <row r="11" spans="1:9">
      <c r="A11" s="4" t="s">
        <v>55</v>
      </c>
      <c r="B11" s="4" t="s">
        <v>24</v>
      </c>
      <c r="C11" s="4" t="s">
        <v>32</v>
      </c>
      <c r="D11" s="4">
        <v>4.5824543551484497E-4</v>
      </c>
      <c r="E11" s="4">
        <v>1.39797378312924E-4</v>
      </c>
      <c r="F11" s="4">
        <v>7.2231749941068799E-3</v>
      </c>
      <c r="G11" s="4">
        <v>8.4326749007937202E-4</v>
      </c>
      <c r="H11" s="4" t="s">
        <v>41</v>
      </c>
      <c r="I11" s="35" t="s">
        <v>130</v>
      </c>
    </row>
    <row r="12" spans="1:9">
      <c r="A12" s="4" t="s">
        <v>55</v>
      </c>
      <c r="B12" s="4" t="s">
        <v>25</v>
      </c>
      <c r="C12" s="4" t="s">
        <v>32</v>
      </c>
      <c r="D12" s="4">
        <v>2.1175665775557999E-4</v>
      </c>
      <c r="E12" s="4">
        <v>8.6453985934464001E-5</v>
      </c>
      <c r="F12" s="4">
        <v>6.6498093617277203E-3</v>
      </c>
      <c r="G12" s="4">
        <v>1.89572248290237E-4</v>
      </c>
      <c r="H12" s="4" t="s">
        <v>42</v>
      </c>
      <c r="I12" s="35" t="s">
        <v>130</v>
      </c>
    </row>
    <row r="13" spans="1:9">
      <c r="A13" s="4" t="s">
        <v>55</v>
      </c>
      <c r="B13" s="4" t="s">
        <v>26</v>
      </c>
      <c r="C13" s="4" t="s">
        <v>32</v>
      </c>
      <c r="D13" s="4">
        <v>5.0354967626450597E-5</v>
      </c>
      <c r="E13" s="4">
        <v>3.69230288575845E-5</v>
      </c>
      <c r="F13" s="4">
        <v>2.37925433942763E-3</v>
      </c>
      <c r="G13" s="4">
        <v>2.3823266777406999E-4</v>
      </c>
      <c r="H13" s="4" t="s">
        <v>43</v>
      </c>
      <c r="I13" s="35" t="s">
        <v>130</v>
      </c>
    </row>
    <row r="14" spans="1:9">
      <c r="A14" s="4" t="s">
        <v>55</v>
      </c>
      <c r="B14" s="4" t="s">
        <v>27</v>
      </c>
      <c r="C14" s="4" t="s">
        <v>32</v>
      </c>
      <c r="D14" s="4">
        <v>1.0296845803599E-4</v>
      </c>
      <c r="E14" s="4">
        <v>3.3357586741445102E-5</v>
      </c>
      <c r="F14" s="4">
        <v>2.5235331265140702E-3</v>
      </c>
      <c r="G14" s="4">
        <v>1.5943480914223701E-4</v>
      </c>
      <c r="H14" s="4" t="s">
        <v>44</v>
      </c>
      <c r="I14" s="35" t="s">
        <v>130</v>
      </c>
    </row>
    <row r="15" spans="1:9">
      <c r="A15" s="4" t="s">
        <v>55</v>
      </c>
      <c r="B15" s="4" t="s">
        <v>28</v>
      </c>
      <c r="C15" s="4" t="s">
        <v>32</v>
      </c>
      <c r="D15" s="4">
        <v>1.7807634702938E-4</v>
      </c>
      <c r="E15" s="4">
        <v>6.90346780157504E-5</v>
      </c>
      <c r="F15" s="4">
        <v>2.7975489331716502E-3</v>
      </c>
      <c r="G15" s="4">
        <v>3.7296991566164803E-4</v>
      </c>
      <c r="H15" s="4" t="s">
        <v>45</v>
      </c>
      <c r="I15" s="35" t="s">
        <v>130</v>
      </c>
    </row>
    <row r="16" spans="1:9">
      <c r="A16" s="4" t="s">
        <v>55</v>
      </c>
      <c r="B16" s="4" t="s">
        <v>29</v>
      </c>
      <c r="C16" s="4" t="s">
        <v>32</v>
      </c>
      <c r="D16" s="4">
        <v>6.9271991918157098E-4</v>
      </c>
      <c r="E16" s="4">
        <v>1.0595320068358599E-4</v>
      </c>
      <c r="F16" s="4">
        <v>9.2631125577694196E-3</v>
      </c>
      <c r="G16" s="4">
        <v>4.4899551907989001E-4</v>
      </c>
      <c r="H16" s="4" t="s">
        <v>46</v>
      </c>
      <c r="I16" s="35" t="s">
        <v>130</v>
      </c>
    </row>
    <row r="17" spans="1:16">
      <c r="A17" s="4" t="s">
        <v>55</v>
      </c>
      <c r="B17" s="4" t="s">
        <v>30</v>
      </c>
      <c r="C17" s="4" t="s">
        <v>32</v>
      </c>
      <c r="D17" s="4">
        <v>2.0894683044802E-4</v>
      </c>
      <c r="E17" s="4">
        <v>7.3523406926161394E-5</v>
      </c>
      <c r="F17" s="4">
        <v>4.3760666526482901E-3</v>
      </c>
      <c r="G17" s="4">
        <v>3.9532838248386697E-4</v>
      </c>
      <c r="H17" s="4" t="s">
        <v>47</v>
      </c>
      <c r="I17" s="35" t="s">
        <v>130</v>
      </c>
    </row>
    <row r="18" spans="1:16">
      <c r="A18" s="4" t="s">
        <v>55</v>
      </c>
      <c r="B18" s="4" t="s">
        <v>31</v>
      </c>
      <c r="C18" s="4" t="s">
        <v>32</v>
      </c>
      <c r="D18" s="4">
        <v>1.9093380610872801E-4</v>
      </c>
      <c r="E18" s="4">
        <v>5.8421042688655801E-5</v>
      </c>
      <c r="F18" s="4">
        <v>4.7513065904711696E-3</v>
      </c>
      <c r="G18" s="4">
        <v>3.2625403742886897E-4</v>
      </c>
      <c r="H18" s="4" t="s">
        <v>48</v>
      </c>
      <c r="I18" s="35" t="s">
        <v>130</v>
      </c>
    </row>
    <row r="20" spans="1:16">
      <c r="A20" s="9"/>
      <c r="B20" s="9" t="s">
        <v>21</v>
      </c>
      <c r="C20" s="9" t="s">
        <v>32</v>
      </c>
      <c r="D20" s="9">
        <v>-2.0502465271346599E-2</v>
      </c>
      <c r="E20" s="9">
        <v>8.7440795610394494E-3</v>
      </c>
      <c r="F20" s="9">
        <v>0.174837421743327</v>
      </c>
      <c r="G20" s="9">
        <v>1.8975404821408901E-2</v>
      </c>
      <c r="H20" s="9" t="s">
        <v>38</v>
      </c>
      <c r="I20" s="35" t="s">
        <v>131</v>
      </c>
    </row>
    <row r="21" spans="1:16">
      <c r="A21" s="7"/>
      <c r="B21" s="7" t="s">
        <v>49</v>
      </c>
      <c r="C21" s="7" t="s">
        <v>32</v>
      </c>
      <c r="D21" s="7">
        <v>-4.64210765582843E-4</v>
      </c>
      <c r="E21" s="7">
        <v>2.38319632376499E-4</v>
      </c>
      <c r="F21" s="7">
        <v>-0.26650040086607701</v>
      </c>
      <c r="G21" s="7">
        <v>5.0136443401174596E-3</v>
      </c>
      <c r="H21" s="7" t="s">
        <v>50</v>
      </c>
      <c r="I21" s="35" t="s">
        <v>131</v>
      </c>
    </row>
    <row r="23" spans="1:16">
      <c r="A23" s="4" t="s">
        <v>55</v>
      </c>
      <c r="B23" s="4" t="s">
        <v>51</v>
      </c>
      <c r="C23" s="4" t="s">
        <v>32</v>
      </c>
      <c r="D23" s="4">
        <v>1.3674449999999999E-2</v>
      </c>
      <c r="E23" s="4">
        <v>3.7661569999999998E-4</v>
      </c>
      <c r="F23" s="4">
        <v>0.13683619999999999</v>
      </c>
      <c r="G23" s="4">
        <v>1.0914323199999999E-2</v>
      </c>
      <c r="H23" s="4" t="s">
        <v>52</v>
      </c>
      <c r="I23" s="35" t="s">
        <v>132</v>
      </c>
      <c r="L23" s="36"/>
      <c r="M23" s="36"/>
      <c r="N23" s="36"/>
      <c r="O23" s="36"/>
      <c r="P23" s="36"/>
    </row>
    <row r="24" spans="1:16">
      <c r="A24" s="4" t="s">
        <v>55</v>
      </c>
      <c r="B24" s="4" t="s">
        <v>51</v>
      </c>
      <c r="C24" s="4" t="s">
        <v>32</v>
      </c>
      <c r="D24" s="4">
        <v>3.0151790000000002E-3</v>
      </c>
      <c r="E24" s="4">
        <v>7.531282E-4</v>
      </c>
      <c r="F24" s="4">
        <v>1.6432225000000002E-2</v>
      </c>
      <c r="G24" s="4">
        <v>2.4514309E-3</v>
      </c>
      <c r="H24" s="4" t="s">
        <v>53</v>
      </c>
      <c r="I24" s="35" t="s">
        <v>133</v>
      </c>
      <c r="K24" s="37"/>
    </row>
    <row r="25" spans="1:16">
      <c r="A25" s="7"/>
      <c r="B25" s="7" t="s">
        <v>49</v>
      </c>
      <c r="C25" s="7" t="s">
        <v>32</v>
      </c>
      <c r="D25" s="8"/>
      <c r="E25" s="8"/>
      <c r="F25" s="8">
        <v>-0.43644221</v>
      </c>
      <c r="G25" s="8">
        <v>3.0224997999999999E-2</v>
      </c>
      <c r="H25" s="7" t="s">
        <v>50</v>
      </c>
      <c r="I25" s="35" t="s">
        <v>134</v>
      </c>
      <c r="K25" s="37"/>
    </row>
    <row r="26" spans="1:16">
      <c r="D26" s="1"/>
      <c r="E26" s="1"/>
      <c r="F26" s="1"/>
      <c r="G26" s="1"/>
    </row>
    <row r="27" spans="1:16">
      <c r="A27" s="23" t="s">
        <v>55</v>
      </c>
      <c r="B27" s="23" t="s">
        <v>21</v>
      </c>
      <c r="C27" s="23" t="s">
        <v>32</v>
      </c>
      <c r="D27" s="23">
        <f>AVERAGE(D7,D20)</f>
        <v>-4.2867494340269995E-3</v>
      </c>
      <c r="E27" s="23">
        <f t="shared" ref="E27:G27" si="0">AVERAGE(E7,E20)</f>
        <v>6.1625977846981195E-3</v>
      </c>
      <c r="F27" s="23">
        <f t="shared" si="0"/>
        <v>0.21264748588559601</v>
      </c>
      <c r="G27" s="23">
        <f t="shared" si="0"/>
        <v>1.9933110454925553E-2</v>
      </c>
      <c r="H27" s="23" t="s">
        <v>38</v>
      </c>
      <c r="I27" s="35" t="s">
        <v>63</v>
      </c>
    </row>
    <row r="28" spans="1:16">
      <c r="A28" s="23" t="s">
        <v>55</v>
      </c>
      <c r="B28" s="23" t="s">
        <v>49</v>
      </c>
      <c r="C28" s="23" t="s">
        <v>32</v>
      </c>
      <c r="D28" s="23">
        <f>AVERAGE(D10,D21)</f>
        <v>2.9314731717591733E-3</v>
      </c>
      <c r="E28" s="23">
        <f t="shared" ref="E28" si="1">AVERAGE(E10,E21)</f>
        <v>5.8094658782235301E-4</v>
      </c>
      <c r="F28" s="23">
        <f>AVERAGE(F10,F21,F25)</f>
        <v>-0.38754390843883463</v>
      </c>
      <c r="G28" s="23">
        <f>AVERAGE(G10,G21,G25)</f>
        <v>1.6791949572738454E-2</v>
      </c>
      <c r="H28" s="23" t="s">
        <v>50</v>
      </c>
      <c r="I28" s="3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0B30-8919-164B-B933-13BACA5A8CB5}">
  <dimension ref="A1:K23"/>
  <sheetViews>
    <sheetView workbookViewId="0">
      <selection activeCell="I9" sqref="I9"/>
    </sheetView>
  </sheetViews>
  <sheetFormatPr baseColWidth="10" defaultRowHeight="16"/>
  <cols>
    <col min="3" max="6" width="10.83203125" style="10"/>
    <col min="8" max="11" width="11.33203125" customWidth="1"/>
  </cols>
  <sheetData>
    <row r="1" spans="1:11">
      <c r="A1" s="29" t="s">
        <v>73</v>
      </c>
      <c r="B1" s="29"/>
      <c r="C1" s="30" t="s">
        <v>71</v>
      </c>
      <c r="D1" s="30"/>
      <c r="E1" s="30"/>
      <c r="F1" s="30"/>
      <c r="H1" s="13" t="s">
        <v>0</v>
      </c>
      <c r="I1" s="13" t="s">
        <v>6</v>
      </c>
      <c r="J1" s="13" t="s">
        <v>1</v>
      </c>
      <c r="K1" s="13" t="s">
        <v>7</v>
      </c>
    </row>
    <row r="2" spans="1:11">
      <c r="A2" s="15" t="s">
        <v>64</v>
      </c>
      <c r="B2" s="16" t="s">
        <v>72</v>
      </c>
      <c r="C2" s="13" t="s">
        <v>0</v>
      </c>
      <c r="D2" s="13" t="s">
        <v>6</v>
      </c>
      <c r="E2" s="13" t="s">
        <v>1</v>
      </c>
      <c r="F2" s="13" t="s">
        <v>7</v>
      </c>
      <c r="H2" s="29" t="s">
        <v>74</v>
      </c>
      <c r="I2" s="29"/>
      <c r="J2" s="29"/>
      <c r="K2" s="29"/>
    </row>
    <row r="3" spans="1:11">
      <c r="A3" s="11" t="s">
        <v>65</v>
      </c>
      <c r="B3" s="12">
        <v>0.4111812996542582</v>
      </c>
      <c r="C3" s="13">
        <v>4.3319522949689598E-4</v>
      </c>
      <c r="D3" s="13">
        <v>1.21939628454956E-4</v>
      </c>
      <c r="E3" s="13">
        <v>4.9680340887773601E-3</v>
      </c>
      <c r="F3" s="13">
        <v>8.7139206648425898E-4</v>
      </c>
      <c r="H3" s="17">
        <f>B22*1000</f>
        <v>0.39099042235700426</v>
      </c>
      <c r="I3" s="20">
        <f>B23*1000</f>
        <v>0.10271113757065999</v>
      </c>
      <c r="J3" s="18">
        <f>E22*1000</f>
        <v>8.1290369666371287</v>
      </c>
      <c r="K3" s="20">
        <f>E23*1000</f>
        <v>0.86239698201084325</v>
      </c>
    </row>
    <row r="4" spans="1:11">
      <c r="A4" s="11" t="s">
        <v>66</v>
      </c>
      <c r="B4" s="12">
        <v>0.68204288817494407</v>
      </c>
      <c r="C4" s="13">
        <v>4.5824543551484497E-4</v>
      </c>
      <c r="D4" s="13">
        <v>1.39797378312924E-4</v>
      </c>
      <c r="E4" s="13">
        <v>7.2231749941068799E-3</v>
      </c>
      <c r="F4" s="13">
        <v>8.4326749007937202E-4</v>
      </c>
    </row>
    <row r="5" spans="1:11">
      <c r="A5" s="11" t="s">
        <v>68</v>
      </c>
      <c r="B5" s="12">
        <v>0.18752207919930758</v>
      </c>
      <c r="C5" s="13">
        <v>5.0354967626450597E-5</v>
      </c>
      <c r="D5" s="13">
        <v>3.69230288575845E-5</v>
      </c>
      <c r="E5" s="13">
        <v>2.37925433942763E-3</v>
      </c>
      <c r="F5" s="13">
        <v>2.3823266777406999E-4</v>
      </c>
      <c r="H5" s="34"/>
      <c r="I5" s="34"/>
      <c r="J5" s="34"/>
      <c r="K5" s="34"/>
    </row>
    <row r="6" spans="1:11">
      <c r="A6" s="11" t="s">
        <v>69</v>
      </c>
      <c r="B6" s="12">
        <v>0.23136187830160942</v>
      </c>
      <c r="C6" s="13">
        <v>1.0296845803599E-4</v>
      </c>
      <c r="D6" s="13">
        <v>3.3357586741445102E-5</v>
      </c>
      <c r="E6" s="13">
        <v>2.5235331265140702E-3</v>
      </c>
      <c r="F6" s="13">
        <v>1.5943480914223701E-4</v>
      </c>
      <c r="H6" s="32"/>
      <c r="I6" s="32"/>
      <c r="J6" s="32"/>
      <c r="K6" s="32"/>
    </row>
    <row r="7" spans="1:11">
      <c r="A7" s="11" t="s">
        <v>70</v>
      </c>
      <c r="B7" s="12">
        <v>0.59192147568383224</v>
      </c>
      <c r="C7" s="13">
        <v>1.9093380610872801E-4</v>
      </c>
      <c r="D7" s="13">
        <v>5.8421042688655801E-5</v>
      </c>
      <c r="E7" s="13">
        <v>4.7513065904711696E-3</v>
      </c>
      <c r="F7" s="13">
        <v>3.2625403742886897E-4</v>
      </c>
      <c r="H7" s="32"/>
      <c r="I7" s="32"/>
      <c r="J7" s="32"/>
      <c r="K7" s="32"/>
    </row>
    <row r="8" spans="1:11">
      <c r="A8" s="11" t="s">
        <v>67</v>
      </c>
      <c r="B8" s="12">
        <v>1.0747101307321403</v>
      </c>
      <c r="C8" s="13">
        <v>2.1175665775557999E-4</v>
      </c>
      <c r="D8" s="13">
        <v>8.6453985934464001E-5</v>
      </c>
      <c r="E8" s="13">
        <v>6.6498093617277203E-3</v>
      </c>
      <c r="F8" s="13">
        <v>1.89572248290237E-4</v>
      </c>
      <c r="H8" s="34"/>
      <c r="I8" s="34"/>
      <c r="J8" s="34"/>
      <c r="K8" s="34"/>
    </row>
    <row r="9" spans="1:11">
      <c r="A9" s="25" t="s">
        <v>127</v>
      </c>
      <c r="B9" s="24">
        <v>0.5</v>
      </c>
      <c r="C9" s="10">
        <v>2.0894683044802E-4</v>
      </c>
      <c r="D9" s="10">
        <v>7.3523406926161394E-5</v>
      </c>
      <c r="E9" s="10">
        <v>4.3760666526482901E-3</v>
      </c>
      <c r="F9" s="10">
        <v>3.9532838248386697E-4</v>
      </c>
      <c r="H9" s="33"/>
      <c r="I9" s="32"/>
      <c r="J9" s="32"/>
      <c r="K9" s="32"/>
    </row>
    <row r="20" spans="1:6">
      <c r="B20" t="s">
        <v>90</v>
      </c>
      <c r="E20" t="s">
        <v>90</v>
      </c>
    </row>
    <row r="21" spans="1:6">
      <c r="A21" s="14"/>
      <c r="B21" s="14" t="s">
        <v>91</v>
      </c>
      <c r="C21" s="13" t="s">
        <v>94</v>
      </c>
      <c r="D21" s="14"/>
      <c r="E21" s="14" t="s">
        <v>91</v>
      </c>
      <c r="F21" s="13" t="s">
        <v>94</v>
      </c>
    </row>
    <row r="22" spans="1:6">
      <c r="A22" s="14" t="s">
        <v>92</v>
      </c>
      <c r="B22" s="19">
        <f t="array" ref="B22:C23">LINEST(C3:C9,B3:B9,FALSE,2)</f>
        <v>3.9099042235700426E-4</v>
      </c>
      <c r="C22" s="19">
        <v>0</v>
      </c>
      <c r="D22" s="14" t="s">
        <v>92</v>
      </c>
      <c r="E22" s="19">
        <f t="array" ref="E22:F23">LINEST(E3:E9,B3:B9,FALSE,2)</f>
        <v>8.1290369666371289E-3</v>
      </c>
      <c r="F22" s="19">
        <v>0</v>
      </c>
    </row>
    <row r="23" spans="1:6">
      <c r="A23" s="14" t="s">
        <v>93</v>
      </c>
      <c r="B23" s="19">
        <v>1.0271113757065998E-4</v>
      </c>
      <c r="C23" s="19" t="e">
        <v>#N/A</v>
      </c>
      <c r="D23" s="14" t="s">
        <v>93</v>
      </c>
      <c r="E23" s="19">
        <v>8.6239698201084328E-4</v>
      </c>
      <c r="F23" s="19" t="e">
        <v>#N/A</v>
      </c>
    </row>
  </sheetData>
  <mergeCells count="3">
    <mergeCell ref="C1:F1"/>
    <mergeCell ref="A1:B1"/>
    <mergeCell ref="H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7F01-5090-CD4A-84C5-BA4441123B0C}">
  <dimension ref="A1:D15"/>
  <sheetViews>
    <sheetView tabSelected="1" workbookViewId="0">
      <selection activeCell="D15" sqref="D15"/>
    </sheetView>
  </sheetViews>
  <sheetFormatPr baseColWidth="10" defaultRowHeight="16"/>
  <cols>
    <col min="1" max="1" width="19.33203125" style="2" customWidth="1"/>
    <col min="2" max="3" width="16.33203125" style="2" bestFit="1" customWidth="1"/>
    <col min="4" max="4" width="110.1640625" style="2" customWidth="1"/>
    <col min="5" max="16384" width="10.83203125" style="2"/>
  </cols>
  <sheetData>
    <row r="1" spans="1:4">
      <c r="A1" s="2" t="s">
        <v>76</v>
      </c>
      <c r="B1" s="2" t="s">
        <v>77</v>
      </c>
      <c r="C1" s="2" t="s">
        <v>1</v>
      </c>
      <c r="D1" s="2" t="s">
        <v>78</v>
      </c>
    </row>
    <row r="2" spans="1:4">
      <c r="A2" s="2" t="s">
        <v>79</v>
      </c>
      <c r="B2" s="2">
        <v>0</v>
      </c>
      <c r="C2" s="2">
        <v>0</v>
      </c>
      <c r="D2" s="2" t="s">
        <v>120</v>
      </c>
    </row>
    <row r="3" spans="1:4">
      <c r="A3" s="2" t="s">
        <v>80</v>
      </c>
      <c r="B3" s="2">
        <v>0</v>
      </c>
      <c r="C3" s="2">
        <v>0</v>
      </c>
      <c r="D3" s="2" t="s">
        <v>120</v>
      </c>
    </row>
    <row r="4" spans="1:4">
      <c r="A4" s="2" t="s">
        <v>95</v>
      </c>
      <c r="B4" s="2">
        <v>0</v>
      </c>
      <c r="C4" s="2">
        <v>0</v>
      </c>
      <c r="D4" s="2" t="s">
        <v>120</v>
      </c>
    </row>
    <row r="5" spans="1:4">
      <c r="A5" s="2" t="s">
        <v>81</v>
      </c>
      <c r="B5" s="2">
        <v>0</v>
      </c>
      <c r="C5" s="2">
        <v>0</v>
      </c>
      <c r="D5" s="2" t="s">
        <v>120</v>
      </c>
    </row>
    <row r="6" spans="1:4" ht="68">
      <c r="A6" s="3" t="s">
        <v>82</v>
      </c>
      <c r="B6" s="2">
        <v>0</v>
      </c>
      <c r="C6" s="2">
        <v>4</v>
      </c>
      <c r="D6" s="26" t="s">
        <v>128</v>
      </c>
    </row>
    <row r="7" spans="1:4">
      <c r="A7" s="3" t="s">
        <v>83</v>
      </c>
      <c r="B7" s="2" t="s">
        <v>84</v>
      </c>
      <c r="C7" s="2" t="s">
        <v>85</v>
      </c>
    </row>
    <row r="8" spans="1:4">
      <c r="A8" s="3" t="s">
        <v>86</v>
      </c>
      <c r="B8" s="2" t="s">
        <v>84</v>
      </c>
      <c r="C8" s="2" t="s">
        <v>85</v>
      </c>
    </row>
    <row r="9" spans="1:4">
      <c r="A9" s="3" t="s">
        <v>87</v>
      </c>
      <c r="B9" s="2" t="s">
        <v>84</v>
      </c>
      <c r="C9" s="2" t="s">
        <v>84</v>
      </c>
      <c r="D9" s="27"/>
    </row>
    <row r="10" spans="1:4">
      <c r="A10" s="3" t="s">
        <v>88</v>
      </c>
      <c r="B10" s="2" t="s">
        <v>84</v>
      </c>
      <c r="C10" s="2" t="s">
        <v>84</v>
      </c>
      <c r="D10" s="27"/>
    </row>
    <row r="11" spans="1:4">
      <c r="A11" s="3" t="s">
        <v>96</v>
      </c>
      <c r="B11" s="2" t="s">
        <v>97</v>
      </c>
      <c r="C11" s="2" t="s">
        <v>98</v>
      </c>
      <c r="D11" s="2" t="s">
        <v>139</v>
      </c>
    </row>
    <row r="12" spans="1:4">
      <c r="A12" s="3" t="s">
        <v>115</v>
      </c>
      <c r="B12" s="2" t="s">
        <v>116</v>
      </c>
      <c r="C12" s="2" t="s">
        <v>117</v>
      </c>
      <c r="D12" s="2" t="s">
        <v>139</v>
      </c>
    </row>
    <row r="13" spans="1:4">
      <c r="A13" s="2" t="s">
        <v>121</v>
      </c>
      <c r="B13" s="2">
        <v>0</v>
      </c>
      <c r="C13" s="2">
        <v>0</v>
      </c>
      <c r="D13" s="2" t="s">
        <v>122</v>
      </c>
    </row>
    <row r="15" spans="1:4" ht="31">
      <c r="A15" s="28" t="s">
        <v>126</v>
      </c>
      <c r="B15" s="2" t="s">
        <v>124</v>
      </c>
      <c r="C15" s="2" t="s">
        <v>123</v>
      </c>
      <c r="D15" s="2" t="s">
        <v>125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5C20-909F-8E40-B5BB-741111950A45}">
  <dimension ref="A1:F19"/>
  <sheetViews>
    <sheetView workbookViewId="0">
      <selection activeCell="F19" sqref="F19"/>
    </sheetView>
  </sheetViews>
  <sheetFormatPr baseColWidth="10" defaultRowHeight="16"/>
  <cols>
    <col min="1" max="1" width="24" bestFit="1" customWidth="1"/>
    <col min="2" max="2" width="10.33203125" style="22" bestFit="1" customWidth="1"/>
    <col min="3" max="3" width="10.33203125" style="22" customWidth="1"/>
    <col min="4" max="4" width="13.33203125" style="22" bestFit="1" customWidth="1"/>
    <col min="5" max="5" width="13.33203125" style="22" customWidth="1"/>
    <col min="6" max="6" width="86" bestFit="1" customWidth="1"/>
  </cols>
  <sheetData>
    <row r="1" spans="1:6">
      <c r="A1" t="s">
        <v>108</v>
      </c>
      <c r="B1" s="31" t="s">
        <v>100</v>
      </c>
      <c r="C1" s="31"/>
      <c r="D1" s="31" t="s">
        <v>101</v>
      </c>
      <c r="E1" s="31"/>
      <c r="F1" t="s">
        <v>119</v>
      </c>
    </row>
    <row r="2" spans="1:6">
      <c r="B2" s="22" t="s">
        <v>103</v>
      </c>
      <c r="C2" s="22" t="s">
        <v>93</v>
      </c>
      <c r="D2" s="22" t="s">
        <v>103</v>
      </c>
      <c r="E2" s="22" t="s">
        <v>93</v>
      </c>
      <c r="F2" s="22" t="s">
        <v>118</v>
      </c>
    </row>
    <row r="3" spans="1:6">
      <c r="A3" t="s">
        <v>99</v>
      </c>
      <c r="B3" s="22">
        <v>0.17399999999999999</v>
      </c>
      <c r="C3" s="22">
        <v>2.3E-2</v>
      </c>
      <c r="D3" s="22">
        <v>0.15414110429447853</v>
      </c>
      <c r="E3" s="22">
        <v>9.202453987730062E-3</v>
      </c>
    </row>
    <row r="4" spans="1:6">
      <c r="A4" t="s">
        <v>102</v>
      </c>
      <c r="B4" s="22">
        <v>5.7046979865771818E-3</v>
      </c>
      <c r="C4" s="22">
        <v>1.6778523489932888E-3</v>
      </c>
      <c r="D4" s="22">
        <v>5.5214723926380369E-2</v>
      </c>
      <c r="E4" s="22">
        <v>1.303680981595092E-2</v>
      </c>
    </row>
    <row r="5" spans="1:6">
      <c r="A5" t="s">
        <v>104</v>
      </c>
      <c r="B5" s="22">
        <v>3.4563758389261748E-2</v>
      </c>
      <c r="C5" s="22">
        <v>7.3825503355704706E-3</v>
      </c>
      <c r="D5" s="22">
        <v>0.20705521472392638</v>
      </c>
      <c r="E5" s="22">
        <v>9.9693251533742328E-3</v>
      </c>
    </row>
    <row r="6" spans="1:6">
      <c r="A6" s="21" t="s">
        <v>105</v>
      </c>
      <c r="B6" s="22">
        <v>0</v>
      </c>
      <c r="C6" s="22">
        <v>0</v>
      </c>
      <c r="D6" s="22">
        <v>0</v>
      </c>
      <c r="E6" s="22">
        <v>0</v>
      </c>
    </row>
    <row r="7" spans="1:6">
      <c r="A7" t="s">
        <v>106</v>
      </c>
      <c r="B7" s="22">
        <v>6.3758389261744973E-3</v>
      </c>
      <c r="C7" s="22">
        <v>0</v>
      </c>
      <c r="D7" s="22">
        <v>7.6687116564417178E-3</v>
      </c>
      <c r="E7" s="22">
        <v>0</v>
      </c>
    </row>
    <row r="9" spans="1:6">
      <c r="A9" t="s">
        <v>109</v>
      </c>
      <c r="B9" s="31" t="s">
        <v>100</v>
      </c>
      <c r="C9" s="31"/>
      <c r="D9" s="31" t="s">
        <v>101</v>
      </c>
      <c r="E9" s="31"/>
    </row>
    <row r="10" spans="1:6">
      <c r="B10" s="22" t="s">
        <v>103</v>
      </c>
      <c r="C10" s="22" t="s">
        <v>93</v>
      </c>
      <c r="D10" s="22" t="s">
        <v>103</v>
      </c>
      <c r="E10" s="22" t="s">
        <v>93</v>
      </c>
    </row>
    <row r="11" spans="1:6">
      <c r="A11" t="s">
        <v>107</v>
      </c>
      <c r="B11" s="22">
        <f>(664-502)/(664-328)</f>
        <v>0.48214285714285715</v>
      </c>
      <c r="C11" s="22">
        <f>44/(664-328)</f>
        <v>0.13095238095238096</v>
      </c>
      <c r="D11" s="22">
        <f>(664-267)/(664-328)</f>
        <v>1.1815476190476191</v>
      </c>
      <c r="E11" s="22">
        <f>26/(664-328)</f>
        <v>7.7380952380952384E-2</v>
      </c>
    </row>
    <row r="12" spans="1:6">
      <c r="A12" t="s">
        <v>110</v>
      </c>
      <c r="B12" s="22">
        <f>(664-272)/(664-328)-B11</f>
        <v>0.68452380952380953</v>
      </c>
      <c r="C12" s="22">
        <f>24/(664-328)</f>
        <v>7.1428571428571425E-2</v>
      </c>
      <c r="D12" s="22">
        <f>(664-200)/(664-328)-D11</f>
        <v>0.19940476190476186</v>
      </c>
      <c r="E12" s="22">
        <f>17/(664-328)</f>
        <v>5.0595238095238096E-2</v>
      </c>
    </row>
    <row r="13" spans="1:6">
      <c r="A13" t="s">
        <v>111</v>
      </c>
    </row>
    <row r="14" spans="1:6">
      <c r="A14" t="s">
        <v>107</v>
      </c>
      <c r="B14" s="22">
        <f>B11/SUM(B$11:B$12)</f>
        <v>0.41326530612244894</v>
      </c>
      <c r="C14" s="22">
        <f>C11/SUM(B$11:B$12)</f>
        <v>0.11224489795918367</v>
      </c>
      <c r="D14" s="22">
        <f>D11/SUM(D$11:D$12)</f>
        <v>0.8556034482758621</v>
      </c>
      <c r="E14" s="22">
        <f>E11/SUM(D$11:D$12)</f>
        <v>5.6034482758620691E-2</v>
      </c>
    </row>
    <row r="15" spans="1:6">
      <c r="A15" t="s">
        <v>110</v>
      </c>
      <c r="B15" s="22">
        <f>B12/SUM(B$11:B$12)</f>
        <v>0.58673469387755095</v>
      </c>
      <c r="C15" s="22">
        <f>C12/SUM(B$11:B$12)</f>
        <v>6.1224489795918359E-2</v>
      </c>
      <c r="D15" s="22">
        <f>D12/SUM(D$11:D$12)</f>
        <v>0.1443965517241379</v>
      </c>
      <c r="E15" s="22">
        <f>E12/SUM(D$11:D$12)</f>
        <v>3.6637931034482762E-2</v>
      </c>
    </row>
    <row r="17" spans="1:5">
      <c r="A17" t="s">
        <v>113</v>
      </c>
      <c r="B17" s="31" t="s">
        <v>100</v>
      </c>
      <c r="C17" s="31"/>
      <c r="D17" s="31" t="s">
        <v>101</v>
      </c>
      <c r="E17" s="31"/>
    </row>
    <row r="18" spans="1:5">
      <c r="A18" t="s">
        <v>112</v>
      </c>
      <c r="B18" s="22">
        <v>0.3</v>
      </c>
      <c r="C18" s="22">
        <v>7.0000000000000007E-2</v>
      </c>
      <c r="D18" s="22">
        <v>3.79</v>
      </c>
      <c r="E18" s="22">
        <v>0.65</v>
      </c>
    </row>
    <row r="19" spans="1:5">
      <c r="A19" t="s">
        <v>114</v>
      </c>
      <c r="B19" s="22">
        <f>B15/B14*B18</f>
        <v>0.42592592592592587</v>
      </c>
      <c r="C19" s="22">
        <f>(C18/B18+C15/B15+C14/B14)*B19</f>
        <v>0.25951074531321444</v>
      </c>
      <c r="D19" s="22">
        <f>D15/D14*D18</f>
        <v>0.6396221662468512</v>
      </c>
      <c r="E19" s="22">
        <f>(E18/D18+E15/D15+E14/D14)*D19</f>
        <v>0.31387953733606577</v>
      </c>
    </row>
  </sheetData>
  <mergeCells count="6">
    <mergeCell ref="B1:C1"/>
    <mergeCell ref="D1:E1"/>
    <mergeCell ref="B9:C9"/>
    <mergeCell ref="D9:E9"/>
    <mergeCell ref="B17:C17"/>
    <mergeCell ref="D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biomolecule</vt:lpstr>
      <vt:lpstr>exchange</vt:lpstr>
      <vt:lpstr>calc protein syn from AA uptake</vt:lpstr>
      <vt:lpstr>additional constraint</vt:lpstr>
      <vt:lpstr>NADPH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Shen</dc:creator>
  <cp:lastModifiedBy>Yihui Shen</cp:lastModifiedBy>
  <dcterms:created xsi:type="dcterms:W3CDTF">2022-11-02T20:15:35Z</dcterms:created>
  <dcterms:modified xsi:type="dcterms:W3CDTF">2023-02-15T22:38:10Z</dcterms:modified>
</cp:coreProperties>
</file>